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256" windowHeight="13176"/>
  </bookViews>
  <sheets>
    <sheet name="Birleşik Ağaç" sheetId="4" r:id="rId1"/>
    <sheet name="Standart Ağaç" sheetId="1" r:id="rId2"/>
    <sheet name="BOM Tanımları" sheetId="3" r:id="rId3"/>
    <sheet name="Sabit Fiyatlar ve Dönüşümler" sheetId="5" r:id="rId4"/>
    <sheet name="Maliyet-fiyat" sheetId="6" r:id="rId5"/>
  </sheets>
  <definedNames>
    <definedName name="_xlnm._FilterDatabase" localSheetId="0" hidden="1">'Birleşik Ağaç'!$A$1:$K$63</definedName>
    <definedName name="_xlnm._FilterDatabase" localSheetId="1" hidden="1">'Standart Ağaç'!$A$1:$F$161</definedName>
  </definedNames>
  <calcPr calcId="144525"/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2" i="5"/>
  <c r="W3" i="5"/>
  <c r="W4" i="5"/>
  <c r="W5" i="5"/>
  <c r="W6" i="5"/>
  <c r="W7" i="5"/>
  <c r="W8" i="5"/>
  <c r="W9" i="5"/>
  <c r="W10" i="5"/>
  <c r="W11" i="5"/>
  <c r="W12" i="5"/>
  <c r="W2" i="5"/>
  <c r="V3" i="5"/>
  <c r="V4" i="5"/>
  <c r="V5" i="5"/>
  <c r="V6" i="5"/>
  <c r="V7" i="5"/>
  <c r="V8" i="5"/>
  <c r="V9" i="5"/>
  <c r="V10" i="5"/>
  <c r="V11" i="5"/>
  <c r="V12" i="5"/>
  <c r="V2" i="5"/>
  <c r="T3" i="5"/>
  <c r="I8" i="4" s="1"/>
  <c r="T4" i="5"/>
  <c r="T5" i="5"/>
  <c r="T6" i="5"/>
  <c r="T7" i="5"/>
  <c r="T8" i="5"/>
  <c r="T9" i="5"/>
  <c r="T10" i="5"/>
  <c r="T11" i="5"/>
  <c r="T12" i="5"/>
  <c r="T2" i="5"/>
  <c r="J55" i="4" l="1"/>
  <c r="K55" i="4" s="1"/>
  <c r="I25" i="4"/>
  <c r="I24" i="4"/>
  <c r="I22" i="4"/>
  <c r="I23" i="4"/>
  <c r="I26" i="4"/>
  <c r="I27" i="4"/>
  <c r="I28" i="4"/>
  <c r="I30" i="4"/>
  <c r="I31" i="4"/>
  <c r="I63" i="4"/>
  <c r="I60" i="4"/>
  <c r="I58" i="4"/>
  <c r="I57" i="4"/>
  <c r="I55" i="4"/>
  <c r="I52" i="4"/>
  <c r="I51" i="4"/>
  <c r="I43" i="4"/>
  <c r="I35" i="4"/>
  <c r="I32" i="4"/>
  <c r="I29" i="4"/>
  <c r="I18" i="4"/>
  <c r="I16" i="4"/>
  <c r="J63" i="4"/>
  <c r="K63" i="4" s="1"/>
  <c r="J32" i="4"/>
  <c r="K32" i="4" s="1"/>
  <c r="J29" i="4"/>
  <c r="K29" i="4" s="1"/>
  <c r="I46" i="4"/>
  <c r="I47" i="4"/>
  <c r="I48" i="4"/>
  <c r="I49" i="4"/>
  <c r="I50" i="4"/>
  <c r="I53" i="4"/>
  <c r="I54" i="4"/>
  <c r="I59" i="4"/>
  <c r="I61" i="4"/>
  <c r="I62" i="4"/>
  <c r="I45" i="4"/>
  <c r="I33" i="4"/>
  <c r="I34" i="4"/>
  <c r="I37" i="4"/>
  <c r="I38" i="4"/>
  <c r="I39" i="4"/>
  <c r="I40" i="4"/>
  <c r="I41" i="4"/>
  <c r="I42" i="4"/>
  <c r="I21" i="4"/>
  <c r="I11" i="4"/>
  <c r="I12" i="4"/>
  <c r="I13" i="4"/>
  <c r="I14" i="4"/>
  <c r="I15" i="4"/>
  <c r="I10" i="4"/>
  <c r="I7" i="4"/>
  <c r="I6" i="4"/>
  <c r="F16" i="4"/>
  <c r="E19" i="5" l="1"/>
  <c r="E18" i="5"/>
  <c r="E17" i="5"/>
  <c r="E16" i="5"/>
  <c r="E15" i="5"/>
  <c r="E28" i="5"/>
  <c r="E27" i="5"/>
  <c r="E26" i="5"/>
  <c r="E25" i="5"/>
  <c r="E24" i="5"/>
  <c r="E23" i="5"/>
  <c r="E22" i="5"/>
  <c r="E21" i="5"/>
  <c r="E20" i="5"/>
  <c r="E14" i="5"/>
  <c r="E13" i="5"/>
  <c r="E12" i="5"/>
  <c r="E11" i="5"/>
  <c r="E10" i="5"/>
  <c r="E9" i="5"/>
  <c r="E8" i="5"/>
  <c r="E7" i="5"/>
  <c r="E6" i="5"/>
  <c r="E5" i="5"/>
  <c r="E4" i="5"/>
  <c r="E3" i="5"/>
  <c r="F32" i="4"/>
  <c r="F31" i="4"/>
  <c r="F30" i="4"/>
  <c r="F29" i="4"/>
  <c r="F28" i="4"/>
  <c r="F27" i="4"/>
  <c r="F26" i="4"/>
  <c r="F25" i="4"/>
  <c r="F24" i="4"/>
  <c r="F10" i="4"/>
  <c r="F7" i="4"/>
  <c r="F6" i="4"/>
  <c r="C91" i="3" l="1"/>
  <c r="C73" i="3"/>
  <c r="E73" i="3" s="1"/>
  <c r="C56" i="3"/>
  <c r="E56" i="3" s="1"/>
  <c r="E91" i="3" l="1"/>
  <c r="E3" i="4"/>
  <c r="E2" i="5"/>
  <c r="E56" i="4" l="1"/>
  <c r="E44" i="4"/>
  <c r="D56" i="4"/>
  <c r="F56" i="4" s="1"/>
  <c r="D55" i="4"/>
  <c r="F55" i="4" s="1"/>
  <c r="D52" i="4"/>
  <c r="F52" i="4" s="1"/>
  <c r="D4" i="4"/>
  <c r="F4" i="4" s="1"/>
  <c r="D5" i="4"/>
  <c r="F5" i="4" s="1"/>
  <c r="D9" i="4"/>
  <c r="F9" i="4" s="1"/>
  <c r="D17" i="4"/>
  <c r="F17" i="4" s="1"/>
  <c r="D18" i="4"/>
  <c r="F18" i="4" s="1"/>
  <c r="D19" i="4"/>
  <c r="F19" i="4" s="1"/>
  <c r="D20" i="4"/>
  <c r="F20" i="4" s="1"/>
  <c r="D33" i="4"/>
  <c r="F33" i="4" s="1"/>
  <c r="D34" i="4"/>
  <c r="F34" i="4" s="1"/>
  <c r="D35" i="4"/>
  <c r="F35" i="4" s="1"/>
  <c r="D36" i="4"/>
  <c r="D37" i="4"/>
  <c r="F37" i="4" s="1"/>
  <c r="D38" i="4"/>
  <c r="D39" i="4"/>
  <c r="D40" i="4"/>
  <c r="D41" i="4"/>
  <c r="D42" i="4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3" i="4"/>
  <c r="F53" i="4" s="1"/>
  <c r="D54" i="4"/>
  <c r="F54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19" i="3"/>
  <c r="D18" i="3"/>
  <c r="D17" i="3"/>
  <c r="E60" i="4" l="1"/>
  <c r="J60" i="4" s="1"/>
  <c r="K60" i="4" s="1"/>
  <c r="E58" i="4"/>
  <c r="J58" i="4" s="1"/>
  <c r="K58" i="4" s="1"/>
  <c r="E52" i="4"/>
  <c r="J52" i="4" s="1"/>
  <c r="K52" i="4" s="1"/>
  <c r="E53" i="4"/>
  <c r="J53" i="4" s="1"/>
  <c r="K53" i="4" s="1"/>
  <c r="E57" i="4"/>
  <c r="J57" i="4" s="1"/>
  <c r="K57" i="4" s="1"/>
  <c r="E4" i="4"/>
  <c r="E62" i="4"/>
  <c r="J62" i="4" s="1"/>
  <c r="K62" i="4" s="1"/>
  <c r="E19" i="4"/>
  <c r="E54" i="4"/>
  <c r="J54" i="4" s="1"/>
  <c r="K54" i="4" s="1"/>
  <c r="E36" i="4"/>
  <c r="E61" i="4"/>
  <c r="E59" i="4"/>
  <c r="E51" i="4"/>
  <c r="E45" i="4"/>
  <c r="E49" i="4"/>
  <c r="E46" i="4"/>
  <c r="E50" i="4"/>
  <c r="J50" i="4" s="1"/>
  <c r="K50" i="4" s="1"/>
  <c r="E48" i="4"/>
  <c r="E47" i="4"/>
  <c r="J46" i="4" l="1"/>
  <c r="K46" i="4" s="1"/>
  <c r="J47" i="4"/>
  <c r="K47" i="4" s="1"/>
  <c r="J49" i="4"/>
  <c r="K49" i="4" s="1"/>
  <c r="J48" i="4"/>
  <c r="K48" i="4" s="1"/>
  <c r="J45" i="4"/>
  <c r="K45" i="4" s="1"/>
  <c r="B9" i="6"/>
  <c r="J51" i="4"/>
  <c r="K51" i="4" s="1"/>
  <c r="H6" i="6"/>
  <c r="J59" i="4"/>
  <c r="K59" i="4" s="1"/>
  <c r="H7" i="6"/>
  <c r="J61" i="4"/>
  <c r="K61" i="4" s="1"/>
  <c r="H8" i="6"/>
  <c r="E43" i="4"/>
  <c r="B11" i="6"/>
  <c r="C11" i="6" s="1"/>
  <c r="B12" i="6"/>
  <c r="C12" i="6" s="1"/>
  <c r="E20" i="4"/>
  <c r="B15" i="6"/>
  <c r="D15" i="6" s="1"/>
  <c r="B13" i="6"/>
  <c r="D13" i="6" s="1"/>
  <c r="B10" i="6"/>
  <c r="C10" i="6" s="1"/>
  <c r="B14" i="6"/>
  <c r="C15" i="6"/>
  <c r="E39" i="4"/>
  <c r="E38" i="4"/>
  <c r="E41" i="4"/>
  <c r="E40" i="4"/>
  <c r="E42" i="4"/>
  <c r="E37" i="4"/>
  <c r="E33" i="4"/>
  <c r="J33" i="4" s="1"/>
  <c r="K33" i="4" s="1"/>
  <c r="E35" i="4"/>
  <c r="J35" i="4" s="1"/>
  <c r="K35" i="4" s="1"/>
  <c r="E34" i="4"/>
  <c r="J34" i="4" s="1"/>
  <c r="K34" i="4" s="1"/>
  <c r="E9" i="4"/>
  <c r="E17" i="4"/>
  <c r="E5" i="4"/>
  <c r="E18" i="4"/>
  <c r="J18" i="4" s="1"/>
  <c r="K18" i="4" s="1"/>
  <c r="H4" i="6" l="1"/>
  <c r="J37" i="4"/>
  <c r="K37" i="4" s="1"/>
  <c r="J38" i="4"/>
  <c r="K38" i="4" s="1"/>
  <c r="K44" i="4"/>
  <c r="J42" i="4"/>
  <c r="K42" i="4" s="1"/>
  <c r="J39" i="4"/>
  <c r="K39" i="4" s="1"/>
  <c r="J40" i="4"/>
  <c r="K40" i="4" s="1"/>
  <c r="J41" i="4"/>
  <c r="K41" i="4" s="1"/>
  <c r="K56" i="4"/>
  <c r="B8" i="6"/>
  <c r="D8" i="6" s="1"/>
  <c r="J43" i="4"/>
  <c r="K43" i="4" s="1"/>
  <c r="H5" i="6"/>
  <c r="D12" i="6"/>
  <c r="E12" i="6" s="1"/>
  <c r="D11" i="6"/>
  <c r="E11" i="6" s="1"/>
  <c r="C13" i="6"/>
  <c r="E13" i="6" s="1"/>
  <c r="D10" i="6"/>
  <c r="E10" i="6" s="1"/>
  <c r="E16" i="4"/>
  <c r="B4" i="6"/>
  <c r="D4" i="6" s="1"/>
  <c r="E8" i="4"/>
  <c r="B7" i="6"/>
  <c r="C7" i="6" s="1"/>
  <c r="D14" i="6"/>
  <c r="C14" i="6"/>
  <c r="E30" i="4"/>
  <c r="J30" i="4" s="1"/>
  <c r="K30" i="4" s="1"/>
  <c r="E26" i="4"/>
  <c r="J26" i="4" s="1"/>
  <c r="K26" i="4" s="1"/>
  <c r="E22" i="4"/>
  <c r="J22" i="4" s="1"/>
  <c r="K22" i="4" s="1"/>
  <c r="B5" i="6"/>
  <c r="E25" i="4"/>
  <c r="J25" i="4" s="1"/>
  <c r="K25" i="4" s="1"/>
  <c r="E21" i="4"/>
  <c r="J21" i="4" s="1"/>
  <c r="K21" i="4" s="1"/>
  <c r="B6" i="6"/>
  <c r="E28" i="4"/>
  <c r="J28" i="4" s="1"/>
  <c r="K28" i="4" s="1"/>
  <c r="E24" i="4"/>
  <c r="J24" i="4" s="1"/>
  <c r="K24" i="4" s="1"/>
  <c r="E31" i="4"/>
  <c r="J31" i="4" s="1"/>
  <c r="K31" i="4" s="1"/>
  <c r="E27" i="4"/>
  <c r="J27" i="4" s="1"/>
  <c r="K27" i="4" s="1"/>
  <c r="E23" i="4"/>
  <c r="J23" i="4" s="1"/>
  <c r="K23" i="4" s="1"/>
  <c r="E11" i="4"/>
  <c r="J11" i="4" s="1"/>
  <c r="K11" i="4" s="1"/>
  <c r="E12" i="4"/>
  <c r="J12" i="4" s="1"/>
  <c r="K12" i="4" s="1"/>
  <c r="E13" i="4"/>
  <c r="J13" i="4" s="1"/>
  <c r="K13" i="4" s="1"/>
  <c r="E14" i="4"/>
  <c r="J14" i="4" s="1"/>
  <c r="K14" i="4" s="1"/>
  <c r="E15" i="4"/>
  <c r="J15" i="4" s="1"/>
  <c r="K15" i="4" s="1"/>
  <c r="E10" i="4"/>
  <c r="J10" i="4" s="1"/>
  <c r="K10" i="4" s="1"/>
  <c r="E7" i="4"/>
  <c r="J7" i="4" s="1"/>
  <c r="K7" i="4" s="1"/>
  <c r="E6" i="4"/>
  <c r="J6" i="4" s="1"/>
  <c r="K6" i="4" s="1"/>
  <c r="E15" i="6"/>
  <c r="C8" i="6" l="1"/>
  <c r="E8" i="6" s="1"/>
  <c r="K36" i="4"/>
  <c r="E14" i="6"/>
  <c r="K20" i="4"/>
  <c r="K19" i="4" s="1"/>
  <c r="B2" i="6"/>
  <c r="D2" i="6" s="1"/>
  <c r="J8" i="4"/>
  <c r="K8" i="4" s="1"/>
  <c r="B3" i="6"/>
  <c r="C3" i="6" s="1"/>
  <c r="J16" i="4"/>
  <c r="K16" i="4" s="1"/>
  <c r="K9" i="4" s="1"/>
  <c r="H3" i="6"/>
  <c r="H2" i="6"/>
  <c r="C6" i="6"/>
  <c r="D6" i="6"/>
  <c r="D7" i="6"/>
  <c r="E7" i="6" s="1"/>
  <c r="C5" i="6"/>
  <c r="D5" i="6"/>
  <c r="C4" i="6"/>
  <c r="E4" i="6" s="1"/>
  <c r="D9" i="6"/>
  <c r="C9" i="6"/>
  <c r="K64" i="4" l="1"/>
  <c r="K5" i="4"/>
  <c r="K4" i="4" s="1"/>
  <c r="C2" i="6"/>
  <c r="E2" i="6" s="1"/>
  <c r="D3" i="6"/>
  <c r="D17" i="6" s="1"/>
  <c r="K66" i="4" s="1"/>
  <c r="H9" i="6"/>
  <c r="K2" i="6" s="1"/>
  <c r="E6" i="6"/>
  <c r="E5" i="6"/>
  <c r="E9" i="6"/>
  <c r="E3" i="6" l="1"/>
  <c r="E16" i="6" s="1"/>
  <c r="E17" i="6" s="1"/>
  <c r="K1" i="6" s="1"/>
  <c r="K3" i="4"/>
  <c r="K2" i="4" s="1"/>
  <c r="K65" i="4" s="1"/>
  <c r="K68" i="4" s="1"/>
  <c r="K67" i="4" l="1"/>
  <c r="K69" i="4" s="1"/>
  <c r="K3" i="6"/>
  <c r="K4" i="6"/>
  <c r="K70" i="4" l="1"/>
  <c r="K5" i="6"/>
  <c r="K7" i="6" s="1"/>
  <c r="F13" i="4" l="1"/>
  <c r="F39" i="4"/>
  <c r="F40" i="4"/>
  <c r="F38" i="4"/>
  <c r="F14" i="4"/>
  <c r="F23" i="4"/>
  <c r="E22" i="3"/>
  <c r="F15" i="4"/>
  <c r="F11" i="4"/>
  <c r="F21" i="4"/>
  <c r="F41" i="4"/>
  <c r="F42" i="4"/>
  <c r="F12" i="4"/>
  <c r="F22" i="4"/>
  <c r="C22" i="3"/>
  <c r="F36" i="4"/>
</calcChain>
</file>

<file path=xl/sharedStrings.xml><?xml version="1.0" encoding="utf-8"?>
<sst xmlns="http://schemas.openxmlformats.org/spreadsheetml/2006/main" count="1523" uniqueCount="213">
  <si>
    <t>Sıra No</t>
  </si>
  <si>
    <t>Bileşen</t>
  </si>
  <si>
    <t>Basamak</t>
  </si>
  <si>
    <t>Bileşen Tipi</t>
  </si>
  <si>
    <t>Bileşen Türü</t>
  </si>
  <si>
    <t>Birim Miktar</t>
  </si>
  <si>
    <t>Birim Türü</t>
  </si>
  <si>
    <t>1087-A31P9_AROLA-A_M2507Y/2_AROLA 03-1_L8A3_Y228</t>
  </si>
  <si>
    <t>MAMÜL KUMAŞ</t>
  </si>
  <si>
    <t>MAMÜL</t>
  </si>
  <si>
    <t>Mtül</t>
  </si>
  <si>
    <t xml:space="preserve">   1087-A31P9_AROLA-A_M2507Y/2_AROLA 03-1_L8A3</t>
  </si>
  <si>
    <t>HAM KUMAŞ</t>
  </si>
  <si>
    <t>YARI MAMÜL</t>
  </si>
  <si>
    <t>OPERASYON</t>
  </si>
  <si>
    <t>KİMYASAL</t>
  </si>
  <si>
    <t>HAMMADDE</t>
  </si>
  <si>
    <t>%</t>
  </si>
  <si>
    <t>SARF MALZEME</t>
  </si>
  <si>
    <t>Adet</t>
  </si>
  <si>
    <t xml:space="preserve">       NPE1700TRF/SILVER 1056 TEL 1+1</t>
  </si>
  <si>
    <t xml:space="preserve">       NPE 1700 626</t>
  </si>
  <si>
    <t xml:space="preserve">       TRF 0003 518</t>
  </si>
  <si>
    <t xml:space="preserve">       DOKUMA İMALATI</t>
  </si>
  <si>
    <t>Gr/Mtül</t>
  </si>
  <si>
    <t>ÇÖZGÜ</t>
  </si>
  <si>
    <t>ATKI</t>
  </si>
  <si>
    <t xml:space="preserve">       RULO 140</t>
  </si>
  <si>
    <t xml:space="preserve">       ETİKET 65X105</t>
  </si>
  <si>
    <t xml:space="preserve">       HAM KALİTE KONTROL</t>
  </si>
  <si>
    <t>İPLİK</t>
  </si>
  <si>
    <t xml:space="preserve">          NPE 1700 098</t>
  </si>
  <si>
    <t xml:space="preserve">          TRF 0003 916</t>
  </si>
  <si>
    <t xml:space="preserve">          NPE 1700 XXX</t>
  </si>
  <si>
    <t xml:space="preserve">          ÇÖZGÜ İMALATI</t>
  </si>
  <si>
    <t>Gr/Mt²</t>
  </si>
  <si>
    <t xml:space="preserve">             PS B300 912</t>
  </si>
  <si>
    <t xml:space="preserve">             PS B300 098</t>
  </si>
  <si>
    <t xml:space="preserve">             NOVA İMALATI</t>
  </si>
  <si>
    <t>ELYAF</t>
  </si>
  <si>
    <t xml:space="preserve">             EL 51692</t>
  </si>
  <si>
    <t xml:space="preserve">             EL 97000</t>
  </si>
  <si>
    <t xml:space="preserve">             EL 00000</t>
  </si>
  <si>
    <t xml:space="preserve">             PS 0150 099</t>
  </si>
  <si>
    <t xml:space="preserve">             FANTAZİ İMALATI</t>
  </si>
  <si>
    <t xml:space="preserve">             PS B300 000</t>
  </si>
  <si>
    <t>BOYA</t>
  </si>
  <si>
    <t>Gr/Lt</t>
  </si>
  <si>
    <t xml:space="preserve">                 MARLA PBF 2408</t>
  </si>
  <si>
    <t xml:space="preserve">                 RESPES JLT</t>
  </si>
  <si>
    <t xml:space="preserve">                 PERIGEN E-PES</t>
  </si>
  <si>
    <t xml:space="preserve">                 CLEARİX SA 2012 LIQ</t>
  </si>
  <si>
    <t xml:space="preserve">                 RESPES HJ 8000</t>
  </si>
  <si>
    <t xml:space="preserve">                 CORALENE YELLOW BRAWN MD</t>
  </si>
  <si>
    <t xml:space="preserve">                 CORALENE RUBİNE MD</t>
  </si>
  <si>
    <t xml:space="preserve">                 DİANİX BLACK SE-RN %300 </t>
  </si>
  <si>
    <t xml:space="preserve">                 PSB B300 000</t>
  </si>
  <si>
    <t xml:space="preserve">                 BOYAMA İŞLEMİ</t>
  </si>
  <si>
    <t xml:space="preserve">                     PS B300 000</t>
  </si>
  <si>
    <t xml:space="preserve">                     SMM İŞLEMİ</t>
  </si>
  <si>
    <t xml:space="preserve">                 GENRED OX</t>
  </si>
  <si>
    <t xml:space="preserve">                 FORMİK ASİT</t>
  </si>
  <si>
    <t xml:space="preserve">                 YIKAMA İŞLEMİ</t>
  </si>
  <si>
    <t xml:space="preserve">                 ASETİK ASİT</t>
  </si>
  <si>
    <t xml:space="preserve">                 CLEARİT ANTİSTATİK AK LIQ</t>
  </si>
  <si>
    <t xml:space="preserve">                 YUMUŞATMA İŞLEMİ</t>
  </si>
  <si>
    <t>DAK</t>
  </si>
  <si>
    <t xml:space="preserve">                 EXAPON BHL</t>
  </si>
  <si>
    <t xml:space="preserve">                 CLEARİX PSX LIQ</t>
  </si>
  <si>
    <t xml:space="preserve">                 TERASİL BRAWN 2RFL</t>
  </si>
  <si>
    <t xml:space="preserve">                 TERASİL RUBINE 2GFL</t>
  </si>
  <si>
    <t xml:space="preserve">                 TERASİL BLUE LF</t>
  </si>
  <si>
    <t xml:space="preserve">                 PS 0150 000</t>
  </si>
  <si>
    <t xml:space="preserve">                     PS B150 000</t>
  </si>
  <si>
    <t xml:space="preserve">                     RPR İŞLEMİ</t>
  </si>
  <si>
    <t xml:space="preserve">                 FUMAN OL-T</t>
  </si>
  <si>
    <t xml:space="preserve">                 SODYUMKARBOMAT-SODA</t>
  </si>
  <si>
    <t xml:space="preserve">                 CLEARİX NA LIQ</t>
  </si>
  <si>
    <t xml:space="preserve">          PS B300 419</t>
  </si>
  <si>
    <t xml:space="preserve">          PS B300 626</t>
  </si>
  <si>
    <t xml:space="preserve">          PS B300 099</t>
  </si>
  <si>
    <t xml:space="preserve">          NOVA İMALATI</t>
  </si>
  <si>
    <t xml:space="preserve">             PSB B300 000</t>
  </si>
  <si>
    <t xml:space="preserve">                 PS B300 000</t>
  </si>
  <si>
    <t xml:space="preserve">                 SSM İŞLEMİ</t>
  </si>
  <si>
    <t xml:space="preserve">          PS 0150 443</t>
  </si>
  <si>
    <t xml:space="preserve">          EL 51692</t>
  </si>
  <si>
    <t xml:space="preserve">          EL 79110</t>
  </si>
  <si>
    <t xml:space="preserve">          EL 70781</t>
  </si>
  <si>
    <t xml:space="preserve">          EL 97000</t>
  </si>
  <si>
    <t xml:space="preserve">          EL 00000</t>
  </si>
  <si>
    <t xml:space="preserve">          FANTAZİ İMALATI</t>
  </si>
  <si>
    <t xml:space="preserve">                 SMM İŞLEMİ</t>
  </si>
  <si>
    <t xml:space="preserve">                 PS B150 000</t>
  </si>
  <si>
    <t xml:space="preserve">                 RPR İŞLEMİ</t>
  </si>
  <si>
    <t xml:space="preserve">             MARLA PBF 2408</t>
  </si>
  <si>
    <t xml:space="preserve">             RESPES JLT</t>
  </si>
  <si>
    <t xml:space="preserve">             CLEARİX PSX LIQ</t>
  </si>
  <si>
    <t xml:space="preserve">             RESPES HJ 8000</t>
  </si>
  <si>
    <t xml:space="preserve">             CORALENE YELLOW BRAWN MD</t>
  </si>
  <si>
    <t xml:space="preserve">             CORALENE RUBİNE MD</t>
  </si>
  <si>
    <t xml:space="preserve">             CORALENE BLUE MD</t>
  </si>
  <si>
    <t xml:space="preserve">             BOYAMA İŞLEMİ</t>
  </si>
  <si>
    <t xml:space="preserve">             CLEARİT ANTİSTATİK AK LIQ</t>
  </si>
  <si>
    <t xml:space="preserve">             ASETİK ASİT</t>
  </si>
  <si>
    <t xml:space="preserve">             YUMUŞATMA İŞLEMİ</t>
  </si>
  <si>
    <t xml:space="preserve">             EXAPON BHL</t>
  </si>
  <si>
    <t xml:space="preserve">             CLEARİX SA 2012 LIQ</t>
  </si>
  <si>
    <t xml:space="preserve">             CORALENE YELLOW MD</t>
  </si>
  <si>
    <t xml:space="preserve">             SECURON HTC</t>
  </si>
  <si>
    <t xml:space="preserve">             YIKAMA İŞLEMİ</t>
  </si>
  <si>
    <t xml:space="preserve">             FUMAN OL-T</t>
  </si>
  <si>
    <t xml:space="preserve">             SODYUMKARBOMAT-SODA</t>
  </si>
  <si>
    <t xml:space="preserve">             CLEARİX NA LIQ</t>
  </si>
  <si>
    <t xml:space="preserve">             PS 0150 000</t>
  </si>
  <si>
    <t>265.76</t>
  </si>
  <si>
    <t xml:space="preserve">   Y228 PROSESİ</t>
  </si>
  <si>
    <t xml:space="preserve">       PARTİ HAZIRLAMA</t>
  </si>
  <si>
    <t xml:space="preserve">       Y-AKR 02</t>
  </si>
  <si>
    <t xml:space="preserve">       KAPLAMA</t>
  </si>
  <si>
    <t xml:space="preserve">       İĞNE 54</t>
  </si>
  <si>
    <t xml:space="preserve">       MAMUL KALİTE KONTROL</t>
  </si>
  <si>
    <t>PROSES</t>
  </si>
  <si>
    <t>Miktar</t>
  </si>
  <si>
    <t>gram</t>
  </si>
  <si>
    <t>Mamül</t>
  </si>
  <si>
    <t>AROLLA L8A3_Y228</t>
  </si>
  <si>
    <t>AROLLA L8A3</t>
  </si>
  <si>
    <t xml:space="preserve">   AROLLA L8A3</t>
  </si>
  <si>
    <t>Dokuma</t>
  </si>
  <si>
    <t>Boyama</t>
  </si>
  <si>
    <t>SARF</t>
  </si>
  <si>
    <t>OPR</t>
  </si>
  <si>
    <t>Ürün Adı</t>
  </si>
  <si>
    <t>KM</t>
  </si>
  <si>
    <t>Gram</t>
  </si>
  <si>
    <t>Seviye</t>
  </si>
  <si>
    <t>Tip</t>
  </si>
  <si>
    <t>Birim</t>
  </si>
  <si>
    <t>-</t>
  </si>
  <si>
    <t>BOYAMA</t>
  </si>
  <si>
    <t>Tedarikçi</t>
  </si>
  <si>
    <t>Fiyat</t>
  </si>
  <si>
    <t>A</t>
  </si>
  <si>
    <t>B</t>
  </si>
  <si>
    <t>C</t>
  </si>
  <si>
    <t>D</t>
  </si>
  <si>
    <t>kg</t>
  </si>
  <si>
    <t>Palet</t>
  </si>
  <si>
    <t>Dönüşümler</t>
  </si>
  <si>
    <t>adet</t>
  </si>
  <si>
    <t>Rulo</t>
  </si>
  <si>
    <t>Etiket</t>
  </si>
  <si>
    <t>Operasyon Adı</t>
  </si>
  <si>
    <t>Kullanım Maliyet</t>
  </si>
  <si>
    <t>Boya*Kimyasal</t>
  </si>
  <si>
    <t>Birim Maliyet</t>
  </si>
  <si>
    <t>Çözgü -- NPE1700TRF/SILVER 1056 TEL 1+1</t>
  </si>
  <si>
    <t>Atkı1 -- NPE 1700 626</t>
  </si>
  <si>
    <t>Atkı2 -- TRF 0003 518</t>
  </si>
  <si>
    <t>Atkı3 -- TRF 0003 518</t>
  </si>
  <si>
    <t>Birim Süre (dk)</t>
  </si>
  <si>
    <t>KWH</t>
  </si>
  <si>
    <t>Metrekare</t>
  </si>
  <si>
    <t>Vardiya(saat)</t>
  </si>
  <si>
    <t>Mak. Sayı</t>
  </si>
  <si>
    <t>Ort. Su</t>
  </si>
  <si>
    <t>Ort. Elk</t>
  </si>
  <si>
    <t>Ort. Gaz</t>
  </si>
  <si>
    <t>İşçilik Maliyet (Mt)</t>
  </si>
  <si>
    <t>Br. Su</t>
  </si>
  <si>
    <t>Br. Elk</t>
  </si>
  <si>
    <t>Br. Gaz</t>
  </si>
  <si>
    <t>Total(Mt)</t>
  </si>
  <si>
    <t>dak</t>
  </si>
  <si>
    <t>KG</t>
  </si>
  <si>
    <t>G</t>
  </si>
  <si>
    <t>H</t>
  </si>
  <si>
    <t xml:space="preserve"> </t>
  </si>
  <si>
    <t>Malzeme</t>
  </si>
  <si>
    <t>Total</t>
  </si>
  <si>
    <t>Operasyon</t>
  </si>
  <si>
    <t>Fire</t>
  </si>
  <si>
    <t>Diğer</t>
  </si>
  <si>
    <t>Kar</t>
  </si>
  <si>
    <t>Enerji Tüketim Maliyeti(Mt)</t>
  </si>
  <si>
    <t>Üretim Birim</t>
  </si>
  <si>
    <t>Ürün tipi</t>
  </si>
  <si>
    <t>Ürün Cinsi</t>
  </si>
  <si>
    <t>BOYALI KUMAŞ</t>
  </si>
  <si>
    <t>Mamul</t>
  </si>
  <si>
    <t>Yarı mamul</t>
  </si>
  <si>
    <t>Ham madde</t>
  </si>
  <si>
    <t>Sarf</t>
  </si>
  <si>
    <t>Metre</t>
  </si>
  <si>
    <t>Kg</t>
  </si>
  <si>
    <t>mt</t>
  </si>
  <si>
    <t>Üret/Satın al</t>
  </si>
  <si>
    <t>Üret</t>
  </si>
  <si>
    <t>Satın al</t>
  </si>
  <si>
    <t>Birim Fiyat</t>
  </si>
  <si>
    <t>Kul. Mal.</t>
  </si>
  <si>
    <t>Kul. Mal. Eur</t>
  </si>
  <si>
    <t>Tüketim</t>
  </si>
  <si>
    <t>TOPLAM</t>
  </si>
  <si>
    <t>Makine / İşçilik</t>
  </si>
  <si>
    <t xml:space="preserve">Malzeme Satınalması </t>
  </si>
  <si>
    <t xml:space="preserve">Elektrik Su Doğalgaz </t>
  </si>
  <si>
    <t xml:space="preserve"> Brüt Maaş</t>
  </si>
  <si>
    <t>Aylık Çalışma Ortalama Gün Adedi</t>
  </si>
  <si>
    <t>1 Makine için Maliyet (tl/dk)</t>
  </si>
  <si>
    <t>İşçi Sayısı</t>
  </si>
  <si>
    <t>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</si>
</sst>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.00\ _₺_-;\-* #,##0.00\ _₺_-;_-* &quot;-&quot;??\ _₺_-;_-@_-"/>
    <numFmt numFmtId="165" formatCode="#,###.000"/>
    <numFmt numFmtId="166" formatCode="_-* #,##0.000\ _₺_-;\-* #,##0.000\ _₺_-;_-* &quot;-&quot;??\ _₺_-;_-@_-"/>
    <numFmt numFmtId="167" formatCode="_-[$$-409]* #,##0.00_ ;_-[$$-409]* \-#,##0.00\ ;_-[$$-409]* &quot;-&quot;??_ ;_-@_ "/>
    <numFmt numFmtId="168" formatCode="_-* #,##0\ _₺_-;\-* #,##0\ _₺_-;_-* &quot;-&quot;??\ _₺_-;_-@_-"/>
    <numFmt numFmtId="169" formatCode="_-[$₺-41F]* #,##0.00_-;\-[$₺-41F]* #,##0.00_-;_-[$₺-41F]* &quot;-&quot;??_-;_-@_-"/>
    <numFmt numFmtId="170" formatCode="_-[$€-2]\ * #,##0.00_-;\-[$€-2]\ * #,##0.00_-;_-[$€-2]\ * &quot;-&quot;??_-;_-@_-"/>
    <numFmt numFmtId="171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1" applyNumberFormat="1" applyFont="1" applyAlignment="1">
      <alignment horizontal="center" vertical="top"/>
    </xf>
    <xf numFmtId="164" fontId="2" fillId="0" borderId="0" xfId="1" applyFont="1" applyAlignment="1">
      <alignment horizontal="center" vertical="top" wrapText="1"/>
    </xf>
    <xf numFmtId="164" fontId="0" fillId="0" borderId="0" xfId="1" applyFont="1" applyAlignment="1">
      <alignment horizontal="center" vertical="top"/>
    </xf>
    <xf numFmtId="166" fontId="0" fillId="0" borderId="0" xfId="1" applyNumberFormat="1" applyFont="1"/>
    <xf numFmtId="167" fontId="0" fillId="0" borderId="0" xfId="0" applyNumberFormat="1"/>
    <xf numFmtId="164" fontId="0" fillId="0" borderId="0" xfId="1" applyFont="1"/>
    <xf numFmtId="168" fontId="0" fillId="0" borderId="0" xfId="1" applyNumberFormat="1" applyFont="1"/>
    <xf numFmtId="164" fontId="0" fillId="0" borderId="0" xfId="0" applyNumberFormat="1"/>
    <xf numFmtId="168" fontId="0" fillId="0" borderId="0" xfId="0" applyNumberFormat="1"/>
    <xf numFmtId="166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170" fontId="0" fillId="0" borderId="0" xfId="1" applyNumberFormat="1" applyFont="1"/>
    <xf numFmtId="43" fontId="0" fillId="0" borderId="0" xfId="0" applyNumberFormat="1"/>
    <xf numFmtId="164" fontId="0" fillId="0" borderId="0" xfId="1" applyFont="1" applyFill="1" applyAlignment="1">
      <alignment horizontal="left"/>
    </xf>
    <xf numFmtId="164" fontId="0" fillId="0" borderId="0" xfId="1" applyFont="1" applyFill="1" applyAlignment="1">
      <alignment horizontal="left" vertical="top"/>
    </xf>
    <xf numFmtId="164" fontId="0" fillId="0" borderId="0" xfId="1" applyFont="1" applyAlignment="1">
      <alignment wrapText="1"/>
    </xf>
    <xf numFmtId="44" fontId="0" fillId="0" borderId="0" xfId="2" applyFont="1"/>
    <xf numFmtId="170" fontId="0" fillId="0" borderId="0" xfId="1" applyNumberFormat="1" applyFont="1" applyAlignment="1">
      <alignment wrapText="1"/>
    </xf>
    <xf numFmtId="170" fontId="3" fillId="2" borderId="0" xfId="1" applyNumberFormat="1" applyFont="1" applyFill="1"/>
    <xf numFmtId="170" fontId="0" fillId="9" borderId="0" xfId="1" applyNumberFormat="1" applyFont="1" applyFill="1"/>
    <xf numFmtId="170" fontId="0" fillId="9" borderId="0" xfId="2" applyNumberFormat="1" applyFont="1" applyFill="1"/>
    <xf numFmtId="170" fontId="0" fillId="3" borderId="0" xfId="1" applyNumberFormat="1" applyFont="1" applyFill="1"/>
    <xf numFmtId="170" fontId="0" fillId="10" borderId="0" xfId="1" applyNumberFormat="1" applyFont="1" applyFill="1"/>
    <xf numFmtId="170" fontId="0" fillId="11" borderId="0" xfId="1" applyNumberFormat="1" applyFont="1" applyFill="1"/>
    <xf numFmtId="164" fontId="3" fillId="2" borderId="0" xfId="1" applyFont="1" applyFill="1"/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166" fontId="0" fillId="0" borderId="0" xfId="1" applyNumberFormat="1" applyFont="1" applyAlignment="1">
      <alignment horizontal="center" wrapText="1"/>
    </xf>
    <xf numFmtId="169" fontId="0" fillId="0" borderId="0" xfId="1" applyNumberFormat="1" applyFont="1" applyAlignment="1">
      <alignment horizontal="center" wrapText="1"/>
    </xf>
    <xf numFmtId="170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168" fontId="4" fillId="0" borderId="0" xfId="1" applyNumberFormat="1" applyFont="1"/>
    <xf numFmtId="164" fontId="4" fillId="0" borderId="0" xfId="1" applyFont="1"/>
    <xf numFmtId="168" fontId="1" fillId="0" borderId="0" xfId="1" applyNumberFormat="1" applyFont="1"/>
    <xf numFmtId="164" fontId="1" fillId="0" borderId="0" xfId="1" applyFont="1"/>
    <xf numFmtId="171" fontId="4" fillId="0" borderId="0" xfId="1" applyNumberFormat="1" applyFont="1"/>
    <xf numFmtId="0" fontId="0" fillId="0" borderId="1" xfId="0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4" fontId="0" fillId="2" borderId="1" xfId="1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ParaBirimi" xfId="2" builtinId="4"/>
    <cellStyle name="Virgül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K2" sqref="K2"/>
    </sheetView>
  </sheetViews>
  <sheetFormatPr defaultRowHeight="14.4" x14ac:dyDescent="0.3"/>
  <cols>
    <col min="1" max="1" width="50.33203125" bestFit="1" customWidth="1"/>
    <col min="2" max="2" width="8.33203125" bestFit="1" customWidth="1"/>
    <col min="3" max="3" width="10.77734375" bestFit="1" customWidth="1"/>
    <col min="4" max="4" width="13.5546875" bestFit="1" customWidth="1"/>
    <col min="5" max="5" width="9.88671875" style="17" bestFit="1" customWidth="1"/>
    <col min="6" max="6" width="7.44140625" bestFit="1" customWidth="1"/>
    <col min="7" max="8" width="13.5546875" bestFit="1" customWidth="1"/>
    <col min="9" max="9" width="13.109375" style="17" bestFit="1" customWidth="1"/>
    <col min="10" max="10" width="11.109375" style="17" bestFit="1" customWidth="1"/>
    <col min="11" max="11" width="13.88671875" style="24" bestFit="1" customWidth="1"/>
    <col min="13" max="13" width="52.44140625" bestFit="1" customWidth="1"/>
  </cols>
  <sheetData>
    <row r="1" spans="1:11" x14ac:dyDescent="0.3">
      <c r="A1" t="s">
        <v>133</v>
      </c>
      <c r="B1" t="s">
        <v>136</v>
      </c>
      <c r="C1" t="s">
        <v>187</v>
      </c>
      <c r="D1" t="s">
        <v>188</v>
      </c>
      <c r="E1" s="17" t="s">
        <v>123</v>
      </c>
      <c r="F1" t="s">
        <v>138</v>
      </c>
      <c r="G1" t="s">
        <v>186</v>
      </c>
      <c r="H1" t="s">
        <v>197</v>
      </c>
      <c r="I1" s="17" t="s">
        <v>200</v>
      </c>
      <c r="J1" s="28" t="s">
        <v>201</v>
      </c>
      <c r="K1" s="30" t="s">
        <v>202</v>
      </c>
    </row>
    <row r="2" spans="1:11" ht="15.6" x14ac:dyDescent="0.3">
      <c r="A2" t="s">
        <v>7</v>
      </c>
      <c r="B2">
        <v>1</v>
      </c>
      <c r="C2" t="s">
        <v>190</v>
      </c>
      <c r="D2" t="s">
        <v>189</v>
      </c>
      <c r="E2" s="14">
        <v>1</v>
      </c>
      <c r="F2" t="s">
        <v>10</v>
      </c>
      <c r="G2" t="s">
        <v>10</v>
      </c>
      <c r="H2" t="s">
        <v>198</v>
      </c>
      <c r="I2" s="17" t="s">
        <v>139</v>
      </c>
      <c r="K2" s="31">
        <f>+SUM(K3,K56)</f>
        <v>5.2754614270713764</v>
      </c>
    </row>
    <row r="3" spans="1:11" x14ac:dyDescent="0.3">
      <c r="A3" t="s">
        <v>11</v>
      </c>
      <c r="B3">
        <v>2</v>
      </c>
      <c r="C3" t="s">
        <v>191</v>
      </c>
      <c r="D3" t="s">
        <v>12</v>
      </c>
      <c r="E3" s="14">
        <f>+E2</f>
        <v>1</v>
      </c>
      <c r="F3" t="s">
        <v>10</v>
      </c>
      <c r="G3" t="s">
        <v>10</v>
      </c>
      <c r="H3" t="s">
        <v>198</v>
      </c>
      <c r="I3" s="17" t="s">
        <v>139</v>
      </c>
      <c r="K3" s="32">
        <f>+SUM(K4,K19,K36,K44,K52,K53,K54,K55)</f>
        <v>5.0555629831729325</v>
      </c>
    </row>
    <row r="4" spans="1:11" x14ac:dyDescent="0.3">
      <c r="A4" t="s">
        <v>20</v>
      </c>
      <c r="B4">
        <v>3</v>
      </c>
      <c r="C4" t="s">
        <v>191</v>
      </c>
      <c r="D4" t="str">
        <f>+VLOOKUP(A4,'BOM Tanımları'!A3:E122,3,0)</f>
        <v>ÇÖZGÜ</v>
      </c>
      <c r="E4" s="14">
        <f>+'BOM Tanımları'!D7*'Birleşik Ağaç'!$E$3</f>
        <v>265.76</v>
      </c>
      <c r="F4" t="str">
        <f>+VLOOKUP(D4,'BOM Tanımları'!C3:G122,3,0)</f>
        <v>Gram</v>
      </c>
      <c r="G4" t="s">
        <v>194</v>
      </c>
      <c r="H4" t="s">
        <v>198</v>
      </c>
      <c r="I4" s="17" t="s">
        <v>139</v>
      </c>
      <c r="K4" s="34">
        <f>+SUM(K5,K9,K17,K18)</f>
        <v>1.5095585315315316</v>
      </c>
    </row>
    <row r="5" spans="1:11" x14ac:dyDescent="0.3">
      <c r="A5" t="s">
        <v>31</v>
      </c>
      <c r="B5">
        <v>4</v>
      </c>
      <c r="C5" t="s">
        <v>191</v>
      </c>
      <c r="D5" t="str">
        <f>+VLOOKUP(A5,'BOM Tanımları'!A4:E123,3,0)</f>
        <v>İPLİK</v>
      </c>
      <c r="E5" s="14">
        <f>+'BOM Tanımları'!D17*'Birleşik Ağaç'!E4</f>
        <v>95.27</v>
      </c>
      <c r="F5" t="str">
        <f>+VLOOKUP(D5,'BOM Tanımları'!C4:G123,3,0)</f>
        <v>Gram</v>
      </c>
      <c r="G5" t="s">
        <v>195</v>
      </c>
      <c r="H5" t="s">
        <v>198</v>
      </c>
      <c r="I5" s="17" t="s">
        <v>139</v>
      </c>
      <c r="K5" s="35">
        <f>+SUM(K6:K8)</f>
        <v>0.70628543243243236</v>
      </c>
    </row>
    <row r="6" spans="1:11" x14ac:dyDescent="0.3">
      <c r="A6" t="s">
        <v>36</v>
      </c>
      <c r="B6">
        <v>5</v>
      </c>
      <c r="C6" t="s">
        <v>192</v>
      </c>
      <c r="D6" t="s">
        <v>30</v>
      </c>
      <c r="E6" s="14">
        <f>+'BOM Tanımları'!D23*'Birleşik Ağaç'!$E$5</f>
        <v>19.053999999999998</v>
      </c>
      <c r="F6" t="str">
        <f>+VLOOKUP(D6,'BOM Tanımları'!C5:G124,3,0)</f>
        <v>Gram</v>
      </c>
      <c r="G6" t="s">
        <v>195</v>
      </c>
      <c r="H6" t="s">
        <v>199</v>
      </c>
      <c r="I6" s="24">
        <f>+VLOOKUP(A6,'Sabit Fiyatlar ve Dönüşümler'!A1:C28,3,0)</f>
        <v>4</v>
      </c>
      <c r="J6" s="24">
        <f>+I6/'Sabit Fiyatlar ve Dönüşümler'!I2*'Birleşik Ağaç'!E6</f>
        <v>7.6215999999999992E-2</v>
      </c>
      <c r="K6" s="36">
        <f>+J6</f>
        <v>7.6215999999999992E-2</v>
      </c>
    </row>
    <row r="7" spans="1:11" x14ac:dyDescent="0.3">
      <c r="A7" t="s">
        <v>37</v>
      </c>
      <c r="B7">
        <v>5</v>
      </c>
      <c r="C7" t="s">
        <v>192</v>
      </c>
      <c r="D7" t="s">
        <v>30</v>
      </c>
      <c r="E7" s="14">
        <f>+'BOM Tanımları'!D24*'Birleşik Ağaç'!$E$5</f>
        <v>76.215999999999994</v>
      </c>
      <c r="F7" t="str">
        <f>+VLOOKUP(D7,'BOM Tanımları'!C6:G125,3,0)</f>
        <v>Gram</v>
      </c>
      <c r="G7" t="s">
        <v>195</v>
      </c>
      <c r="H7" t="s">
        <v>199</v>
      </c>
      <c r="I7" s="24">
        <f>+VLOOKUP(A7,'Sabit Fiyatlar ve Dönüşümler'!A2:C29,3,0)</f>
        <v>7</v>
      </c>
      <c r="J7" s="24">
        <f>+I7/'Sabit Fiyatlar ve Dönüşümler'!I3*'Birleşik Ağaç'!E7</f>
        <v>0.53351199999999999</v>
      </c>
      <c r="K7" s="36">
        <f t="shared" ref="K7" si="0">+J7</f>
        <v>0.53351199999999999</v>
      </c>
    </row>
    <row r="8" spans="1:11" x14ac:dyDescent="0.3">
      <c r="A8" t="s">
        <v>38</v>
      </c>
      <c r="B8">
        <v>5</v>
      </c>
      <c r="C8" t="s">
        <v>181</v>
      </c>
      <c r="D8" t="s">
        <v>132</v>
      </c>
      <c r="E8" s="14">
        <f>+'BOM Tanımları'!D25*'Birleşik Ağaç'!$E$5</f>
        <v>0.42871499999999996</v>
      </c>
      <c r="F8" t="s">
        <v>66</v>
      </c>
      <c r="G8" t="s">
        <v>66</v>
      </c>
      <c r="H8" t="s">
        <v>139</v>
      </c>
      <c r="I8" s="22">
        <f>+'Sabit Fiyatlar ve Dönüşümler'!T3</f>
        <v>8.3333333333333339</v>
      </c>
      <c r="J8" s="29">
        <f>+E8*'Sabit Fiyatlar ve Dönüşümler'!T3</f>
        <v>3.5726249999999999</v>
      </c>
      <c r="K8" s="36">
        <f>+J8/37</f>
        <v>9.6557432432432436E-2</v>
      </c>
    </row>
    <row r="9" spans="1:11" x14ac:dyDescent="0.3">
      <c r="A9" t="s">
        <v>32</v>
      </c>
      <c r="B9">
        <v>4</v>
      </c>
      <c r="C9" t="s">
        <v>191</v>
      </c>
      <c r="D9" t="str">
        <f>+VLOOKUP(A9,'BOM Tanımları'!A5:E124,3,0)</f>
        <v>İPLİK</v>
      </c>
      <c r="E9" s="14">
        <f>+'BOM Tanımları'!D18*'Birleşik Ağaç'!E4</f>
        <v>169.03000000000003</v>
      </c>
      <c r="F9" t="str">
        <f>+VLOOKUP(D9,'BOM Tanımları'!C5:G124,3,0)</f>
        <v>Gram</v>
      </c>
      <c r="G9" t="s">
        <v>195</v>
      </c>
      <c r="H9" t="s">
        <v>198</v>
      </c>
      <c r="I9" s="17" t="s">
        <v>139</v>
      </c>
      <c r="K9" s="35">
        <f>+SUM(K10:K16)</f>
        <v>0.69104336936936961</v>
      </c>
    </row>
    <row r="10" spans="1:11" x14ac:dyDescent="0.3">
      <c r="A10" t="s">
        <v>43</v>
      </c>
      <c r="B10">
        <v>5</v>
      </c>
      <c r="C10" t="s">
        <v>192</v>
      </c>
      <c r="D10" t="s">
        <v>30</v>
      </c>
      <c r="E10" s="14">
        <f>+'BOM Tanımları'!D28*'Birleşik Ağaç'!$E$9</f>
        <v>25.354500000000005</v>
      </c>
      <c r="F10" t="str">
        <f>+VLOOKUP(D10,'BOM Tanımları'!C9:G128,3,0)</f>
        <v>Gram</v>
      </c>
      <c r="G10" t="s">
        <v>195</v>
      </c>
      <c r="H10" t="s">
        <v>199</v>
      </c>
      <c r="I10" s="24">
        <f>+VLOOKUP(A10,'Sabit Fiyatlar ve Dönüşümler'!A2:C29,3,0)</f>
        <v>5</v>
      </c>
      <c r="J10" s="24">
        <f>+I10/'Sabit Fiyatlar ve Dönüşümler'!I4*'Birleşik Ağaç'!E10</f>
        <v>0.12677250000000004</v>
      </c>
      <c r="K10" s="36">
        <f t="shared" ref="K10:K15" si="1">+J10</f>
        <v>0.12677250000000004</v>
      </c>
    </row>
    <row r="11" spans="1:11" x14ac:dyDescent="0.3">
      <c r="A11" t="s">
        <v>40</v>
      </c>
      <c r="B11">
        <v>5</v>
      </c>
      <c r="C11" t="s">
        <v>192</v>
      </c>
      <c r="D11" t="s">
        <v>39</v>
      </c>
      <c r="E11" s="14">
        <f>+'BOM Tanımları'!D29*'Birleşik Ağaç'!$E$9</f>
        <v>5.916050000000002</v>
      </c>
      <c r="F11" t="str">
        <f ca="1">+VLOOKUP(D11,'BOM Tanımları'!C10:G129,3,0)</f>
        <v>Gram</v>
      </c>
      <c r="G11" t="s">
        <v>195</v>
      </c>
      <c r="H11" t="s">
        <v>199</v>
      </c>
      <c r="I11" s="24">
        <f>+VLOOKUP(A11,'Sabit Fiyatlar ve Dönüşümler'!A3:C30,3,0)</f>
        <v>3</v>
      </c>
      <c r="J11" s="24">
        <f>+I11/'Sabit Fiyatlar ve Dönüşümler'!I5*'Birleşik Ağaç'!E11</f>
        <v>1.7748150000000008E-2</v>
      </c>
      <c r="K11" s="36">
        <f t="shared" si="1"/>
        <v>1.7748150000000008E-2</v>
      </c>
    </row>
    <row r="12" spans="1:11" x14ac:dyDescent="0.3">
      <c r="A12" t="s">
        <v>41</v>
      </c>
      <c r="B12">
        <v>5</v>
      </c>
      <c r="C12" t="s">
        <v>192</v>
      </c>
      <c r="D12" t="s">
        <v>39</v>
      </c>
      <c r="E12" s="14">
        <f>+'BOM Tanımları'!D30*'Birleşik Ağaç'!$E$9</f>
        <v>12.170160000000001</v>
      </c>
      <c r="F12" t="str">
        <f ca="1">+VLOOKUP(D12,'BOM Tanımları'!C11:G130,3,0)</f>
        <v>Gram</v>
      </c>
      <c r="G12" t="s">
        <v>195</v>
      </c>
      <c r="H12" t="s">
        <v>199</v>
      </c>
      <c r="I12" s="24">
        <f>+VLOOKUP(A12,'Sabit Fiyatlar ve Dönüşümler'!A4:C31,3,0)</f>
        <v>3</v>
      </c>
      <c r="J12" s="24">
        <f>+I12/'Sabit Fiyatlar ve Dönüşümler'!I6*'Birleşik Ağaç'!E12</f>
        <v>3.6510480000000005E-2</v>
      </c>
      <c r="K12" s="36">
        <f t="shared" si="1"/>
        <v>3.6510480000000005E-2</v>
      </c>
    </row>
    <row r="13" spans="1:11" x14ac:dyDescent="0.3">
      <c r="A13" t="s">
        <v>42</v>
      </c>
      <c r="B13">
        <v>5</v>
      </c>
      <c r="C13" t="s">
        <v>192</v>
      </c>
      <c r="D13" t="s">
        <v>39</v>
      </c>
      <c r="E13" s="14">
        <f>+'BOM Tanımları'!D31*'Birleşik Ağaç'!$E$9</f>
        <v>35.834360000000004</v>
      </c>
      <c r="F13" t="str">
        <f ca="1">+VLOOKUP(D13,'BOM Tanımları'!C12:G131,3,0)</f>
        <v>Gram</v>
      </c>
      <c r="G13" t="s">
        <v>195</v>
      </c>
      <c r="H13" t="s">
        <v>199</v>
      </c>
      <c r="I13" s="24">
        <f>+VLOOKUP(A13,'Sabit Fiyatlar ve Dönüşümler'!A5:C32,3,0)</f>
        <v>3</v>
      </c>
      <c r="J13" s="24">
        <f>+I13/'Sabit Fiyatlar ve Dönüşümler'!I7*'Birleşik Ağaç'!E13</f>
        <v>0.10750308000000001</v>
      </c>
      <c r="K13" s="36">
        <f t="shared" si="1"/>
        <v>0.10750308000000001</v>
      </c>
    </row>
    <row r="14" spans="1:11" x14ac:dyDescent="0.3">
      <c r="A14" t="s">
        <v>42</v>
      </c>
      <c r="B14">
        <v>5</v>
      </c>
      <c r="C14" t="s">
        <v>192</v>
      </c>
      <c r="D14" t="s">
        <v>39</v>
      </c>
      <c r="E14" s="14">
        <f>+'BOM Tanımları'!D32*'Birleşik Ağaç'!$E$9</f>
        <v>41.919440000000009</v>
      </c>
      <c r="F14" t="str">
        <f ca="1">+VLOOKUP(D14,'BOM Tanımları'!C13:G132,3,0)</f>
        <v>Gram</v>
      </c>
      <c r="G14" t="s">
        <v>195</v>
      </c>
      <c r="H14" t="s">
        <v>199</v>
      </c>
      <c r="I14" s="24">
        <f>+VLOOKUP(A14,'Sabit Fiyatlar ve Dönüşümler'!A6:C33,3,0)</f>
        <v>3</v>
      </c>
      <c r="J14" s="24">
        <f>+I14/'Sabit Fiyatlar ve Dönüşümler'!I7*'Birleşik Ağaç'!E14</f>
        <v>0.12575832000000003</v>
      </c>
      <c r="K14" s="36">
        <f t="shared" si="1"/>
        <v>0.12575832000000003</v>
      </c>
    </row>
    <row r="15" spans="1:11" x14ac:dyDescent="0.3">
      <c r="A15" t="s">
        <v>42</v>
      </c>
      <c r="B15">
        <v>5</v>
      </c>
      <c r="C15" t="s">
        <v>192</v>
      </c>
      <c r="D15" t="s">
        <v>39</v>
      </c>
      <c r="E15" s="14">
        <f>+'BOM Tanımları'!D33*'Birleşik Ağaç'!$E$9</f>
        <v>47.835490000000007</v>
      </c>
      <c r="F15" t="str">
        <f ca="1">+VLOOKUP(D15,'BOM Tanımları'!C14:G133,3,0)</f>
        <v>Gram</v>
      </c>
      <c r="G15" t="s">
        <v>195</v>
      </c>
      <c r="H15" t="s">
        <v>199</v>
      </c>
      <c r="I15" s="24">
        <f>+VLOOKUP(A15,'Sabit Fiyatlar ve Dönüşümler'!A7:C34,3,0)</f>
        <v>3</v>
      </c>
      <c r="J15" s="24">
        <f>+I15/'Sabit Fiyatlar ve Dönüşümler'!I7*'Birleşik Ağaç'!E15</f>
        <v>0.14350647000000002</v>
      </c>
      <c r="K15" s="36">
        <f t="shared" si="1"/>
        <v>0.14350647000000002</v>
      </c>
    </row>
    <row r="16" spans="1:11" x14ac:dyDescent="0.3">
      <c r="A16" t="s">
        <v>44</v>
      </c>
      <c r="B16">
        <v>5</v>
      </c>
      <c r="C16" t="s">
        <v>181</v>
      </c>
      <c r="D16" t="s">
        <v>132</v>
      </c>
      <c r="E16" s="14">
        <f>+'BOM Tanımları'!D34*'Birleşik Ağaç'!$E$9</f>
        <v>0.59160500000000016</v>
      </c>
      <c r="F16" t="str">
        <f>+VLOOKUP(D16,'BOM Tanımları'!C5:G124,3,0)</f>
        <v>DAK</v>
      </c>
      <c r="G16" t="s">
        <v>66</v>
      </c>
      <c r="H16" t="s">
        <v>139</v>
      </c>
      <c r="I16" s="22">
        <f>+'Sabit Fiyatlar ve Dönüşümler'!T4</f>
        <v>8.3333333333333339</v>
      </c>
      <c r="J16" s="29">
        <f>+E16*'Sabit Fiyatlar ve Dönüşümler'!T4</f>
        <v>4.9300416666666687</v>
      </c>
      <c r="K16" s="36">
        <f>+J16/37</f>
        <v>0.13324436936936943</v>
      </c>
    </row>
    <row r="17" spans="1:11" x14ac:dyDescent="0.3">
      <c r="A17" t="s">
        <v>33</v>
      </c>
      <c r="B17">
        <v>4</v>
      </c>
      <c r="C17" t="s">
        <v>191</v>
      </c>
      <c r="D17" t="str">
        <f>+VLOOKUP(A17,'BOM Tanımları'!A6:E125,3,0)</f>
        <v>İPLİK</v>
      </c>
      <c r="E17" s="14">
        <f>+'BOM Tanımları'!D19*'Birleşik Ağaç'!E4</f>
        <v>1.46</v>
      </c>
      <c r="F17" t="str">
        <f>+VLOOKUP(D17,'BOM Tanımları'!C6:G125,3,0)</f>
        <v>Gram</v>
      </c>
      <c r="G17" t="s">
        <v>195</v>
      </c>
      <c r="H17" t="s">
        <v>198</v>
      </c>
      <c r="I17" s="17" t="s">
        <v>139</v>
      </c>
      <c r="J17" s="17" t="s">
        <v>139</v>
      </c>
      <c r="K17" s="35" t="s">
        <v>139</v>
      </c>
    </row>
    <row r="18" spans="1:11" x14ac:dyDescent="0.3">
      <c r="A18" t="s">
        <v>34</v>
      </c>
      <c r="B18">
        <v>4</v>
      </c>
      <c r="C18" t="s">
        <v>181</v>
      </c>
      <c r="D18" t="str">
        <f>+VLOOKUP(A18,'BOM Tanımları'!A7:E126,3,0)</f>
        <v>OPR</v>
      </c>
      <c r="E18" s="14">
        <f>+'BOM Tanımları'!D20*'Birleşik Ağaç'!E4</f>
        <v>0.66439999999999999</v>
      </c>
      <c r="F18" t="str">
        <f>+VLOOKUP(D18,'BOM Tanımları'!C7:G126,3,0)</f>
        <v>DAK</v>
      </c>
      <c r="G18" t="s">
        <v>66</v>
      </c>
      <c r="H18" t="s">
        <v>139</v>
      </c>
      <c r="I18" s="22">
        <f>+'Sabit Fiyatlar ve Dönüşümler'!T2</f>
        <v>6.25</v>
      </c>
      <c r="J18" s="29">
        <f>+E18*'Sabit Fiyatlar ve Dönüşümler'!T2</f>
        <v>4.1524999999999999</v>
      </c>
      <c r="K18" s="35">
        <f>+J18/37</f>
        <v>0.11222972972972972</v>
      </c>
    </row>
    <row r="19" spans="1:11" x14ac:dyDescent="0.3">
      <c r="A19" t="s">
        <v>21</v>
      </c>
      <c r="B19">
        <v>3</v>
      </c>
      <c r="C19" t="s">
        <v>191</v>
      </c>
      <c r="D19" t="str">
        <f>+VLOOKUP(A19,'BOM Tanımları'!A8:E127,3,0)</f>
        <v>ATKI</v>
      </c>
      <c r="E19" s="14">
        <f>+'BOM Tanımları'!D8*'Birleşik Ağaç'!$E$3</f>
        <v>99.272999999999996</v>
      </c>
      <c r="F19" t="str">
        <f>+VLOOKUP(D19,'BOM Tanımları'!C8:G127,3,0)</f>
        <v>Gram</v>
      </c>
      <c r="G19" t="s">
        <v>195</v>
      </c>
      <c r="H19" t="s">
        <v>198</v>
      </c>
      <c r="I19" s="17" t="s">
        <v>139</v>
      </c>
      <c r="K19" s="34">
        <f>+SUM(K20,K33,K34,K35)</f>
        <v>1.738727218160649</v>
      </c>
    </row>
    <row r="20" spans="1:11" x14ac:dyDescent="0.3">
      <c r="A20" t="s">
        <v>78</v>
      </c>
      <c r="B20">
        <v>4</v>
      </c>
      <c r="C20" t="s">
        <v>191</v>
      </c>
      <c r="D20" t="str">
        <f>+VLOOKUP(A20,'BOM Tanımları'!A9:E128,3,0)</f>
        <v>İPLİK</v>
      </c>
      <c r="E20" s="14">
        <f>+'BOM Tanımları'!D37*'Birleşik Ağaç'!E19</f>
        <v>19.854600000000001</v>
      </c>
      <c r="F20" t="str">
        <f>+VLOOKUP(D20,'BOM Tanımları'!C9:G128,3,0)</f>
        <v>Gram</v>
      </c>
      <c r="G20" t="s">
        <v>195</v>
      </c>
      <c r="H20" t="s">
        <v>198</v>
      </c>
      <c r="I20" s="17" t="s">
        <v>139</v>
      </c>
      <c r="K20" s="35">
        <f>+SUM(K21:K32)</f>
        <v>1.0424746911336218</v>
      </c>
    </row>
    <row r="21" spans="1:11" x14ac:dyDescent="0.3">
      <c r="A21" t="s">
        <v>82</v>
      </c>
      <c r="B21">
        <v>5</v>
      </c>
      <c r="C21" t="s">
        <v>192</v>
      </c>
      <c r="D21" t="s">
        <v>30</v>
      </c>
      <c r="E21" s="14">
        <f>+'BOM Tanımları'!D43*'Birleşik Ağaç'!$E$20</f>
        <v>19.854600000000001</v>
      </c>
      <c r="F21" t="str">
        <f ca="1">+VLOOKUP(D21,'BOM Tanımları'!C20:G139,3,0)</f>
        <v>Gram</v>
      </c>
      <c r="G21" t="s">
        <v>195</v>
      </c>
      <c r="H21" t="s">
        <v>199</v>
      </c>
      <c r="I21" s="24">
        <f>+VLOOKUP(A21,'Sabit Fiyatlar ve Dönüşümler'!A2:C29,3,0)</f>
        <v>4.5</v>
      </c>
      <c r="J21" s="24">
        <f>+I21/'Sabit Fiyatlar ve Dönüşümler'!I8*'Birleşik Ağaç'!E21</f>
        <v>8.93457E-2</v>
      </c>
      <c r="K21" s="36">
        <f t="shared" ref="K21:K28" si="2">+J21</f>
        <v>8.93457E-2</v>
      </c>
    </row>
    <row r="22" spans="1:11" x14ac:dyDescent="0.3">
      <c r="A22" t="s">
        <v>95</v>
      </c>
      <c r="B22">
        <v>5</v>
      </c>
      <c r="C22" t="s">
        <v>192</v>
      </c>
      <c r="D22" t="s">
        <v>134</v>
      </c>
      <c r="E22" s="14">
        <f>+'BOM Tanımları'!D44*'Birleşik Ağaç'!$E$20</f>
        <v>10.920030000000002</v>
      </c>
      <c r="F22" t="str">
        <f ca="1">+VLOOKUP(D22,'BOM Tanımları'!C21:G140,3,0)</f>
        <v>Gram</v>
      </c>
      <c r="G22" t="s">
        <v>195</v>
      </c>
      <c r="H22" t="s">
        <v>199</v>
      </c>
      <c r="I22" s="24">
        <f>+VLOOKUP(A22,'Sabit Fiyatlar ve Dönüşümler'!A3:C30,3,0)</f>
        <v>12</v>
      </c>
      <c r="J22" s="24">
        <f>+I22/'Sabit Fiyatlar ve Dönüşümler'!I9*'Birleşik Ağaç'!E22</f>
        <v>0.13104036000000002</v>
      </c>
      <c r="K22" s="36">
        <f t="shared" si="2"/>
        <v>0.13104036000000002</v>
      </c>
    </row>
    <row r="23" spans="1:11" x14ac:dyDescent="0.3">
      <c r="A23" t="s">
        <v>96</v>
      </c>
      <c r="B23">
        <v>5</v>
      </c>
      <c r="C23" t="s">
        <v>192</v>
      </c>
      <c r="D23" t="s">
        <v>134</v>
      </c>
      <c r="E23" s="14">
        <f>+'BOM Tanımları'!D45*'Birleşik Ağaç'!$E$20</f>
        <v>4.1694659999999999</v>
      </c>
      <c r="F23" t="str">
        <f ca="1">+VLOOKUP(D23,'BOM Tanımları'!C22:G141,3,0)</f>
        <v>Gram</v>
      </c>
      <c r="G23" t="s">
        <v>147</v>
      </c>
      <c r="H23" t="s">
        <v>199</v>
      </c>
      <c r="I23" s="24">
        <f>+VLOOKUP(A23,'Sabit Fiyatlar ve Dönüşümler'!A4:C31,3,0)</f>
        <v>12</v>
      </c>
      <c r="J23" s="24">
        <f>+I23/'Sabit Fiyatlar ve Dönüşümler'!I10*'Birleşik Ağaç'!E23</f>
        <v>5.0033592000000002E-2</v>
      </c>
      <c r="K23" s="36">
        <f t="shared" si="2"/>
        <v>5.0033592000000002E-2</v>
      </c>
    </row>
    <row r="24" spans="1:11" x14ac:dyDescent="0.3">
      <c r="A24" t="s">
        <v>97</v>
      </c>
      <c r="B24">
        <v>5</v>
      </c>
      <c r="C24" t="s">
        <v>192</v>
      </c>
      <c r="D24" t="s">
        <v>134</v>
      </c>
      <c r="E24" s="14">
        <f>+'BOM Tanımları'!D46*'Birleşik Ağaç'!$E$20</f>
        <v>19.854600000000001</v>
      </c>
      <c r="F24" t="str">
        <f>+VLOOKUP(D24,'BOM Tanımları'!C23:G142,3,0)</f>
        <v>Gram</v>
      </c>
      <c r="G24" t="s">
        <v>195</v>
      </c>
      <c r="H24" t="s">
        <v>199</v>
      </c>
      <c r="I24" s="24">
        <f>+VLOOKUP(A24,'Sabit Fiyatlar ve Dönüşümler'!A5:C32,3,0)</f>
        <v>12</v>
      </c>
      <c r="J24" s="24">
        <f>+I24/'Sabit Fiyatlar ve Dönüşümler'!I11*'Birleşik Ağaç'!E24</f>
        <v>0.23825520000000003</v>
      </c>
      <c r="K24" s="36">
        <f t="shared" si="2"/>
        <v>0.23825520000000003</v>
      </c>
    </row>
    <row r="25" spans="1:11" x14ac:dyDescent="0.3">
      <c r="A25" t="s">
        <v>98</v>
      </c>
      <c r="B25">
        <v>5</v>
      </c>
      <c r="C25" t="s">
        <v>192</v>
      </c>
      <c r="D25" t="s">
        <v>134</v>
      </c>
      <c r="E25" s="14">
        <f>+'BOM Tanımları'!D47*'Birleşik Ağaç'!$E$20</f>
        <v>19.854600000000001</v>
      </c>
      <c r="F25" t="str">
        <f>+VLOOKUP(D25,'BOM Tanımları'!C24:G143,3,0)</f>
        <v>Gram</v>
      </c>
      <c r="G25" t="s">
        <v>195</v>
      </c>
      <c r="H25" t="s">
        <v>199</v>
      </c>
      <c r="I25" s="24">
        <f>+VLOOKUP(A25,'Sabit Fiyatlar ve Dönüşümler'!A6:C33,3,0)</f>
        <v>12</v>
      </c>
      <c r="J25" s="24">
        <f>+I25/'Sabit Fiyatlar ve Dönüşümler'!I12*'Birleşik Ağaç'!E25</f>
        <v>0.23825520000000003</v>
      </c>
      <c r="K25" s="36">
        <f t="shared" si="2"/>
        <v>0.23825520000000003</v>
      </c>
    </row>
    <row r="26" spans="1:11" x14ac:dyDescent="0.3">
      <c r="A26" t="s">
        <v>99</v>
      </c>
      <c r="B26">
        <v>5</v>
      </c>
      <c r="C26" t="s">
        <v>192</v>
      </c>
      <c r="D26" t="s">
        <v>46</v>
      </c>
      <c r="E26" s="14">
        <f>+'BOM Tanımları'!D48*'Birleşik Ağaç'!$E$20</f>
        <v>2.1661368600000004</v>
      </c>
      <c r="F26" t="str">
        <f>+VLOOKUP(D26,'BOM Tanımları'!C25:G144,3,0)</f>
        <v>Gram</v>
      </c>
      <c r="G26" t="s">
        <v>195</v>
      </c>
      <c r="H26" t="s">
        <v>199</v>
      </c>
      <c r="I26" s="24">
        <f>+VLOOKUP(A26,'Sabit Fiyatlar ve Dönüşümler'!A7:C34,3,0)</f>
        <v>12</v>
      </c>
      <c r="J26" s="24">
        <f>+I26/'Sabit Fiyatlar ve Dönüşümler'!I13*'Birleşik Ağaç'!E26</f>
        <v>2.5993642320000006E-2</v>
      </c>
      <c r="K26" s="36">
        <f t="shared" si="2"/>
        <v>2.5993642320000006E-2</v>
      </c>
    </row>
    <row r="27" spans="1:11" x14ac:dyDescent="0.3">
      <c r="A27" t="s">
        <v>100</v>
      </c>
      <c r="B27">
        <v>5</v>
      </c>
      <c r="C27" t="s">
        <v>192</v>
      </c>
      <c r="D27" t="s">
        <v>46</v>
      </c>
      <c r="E27" s="14">
        <f>+'BOM Tanımları'!D49*'Birleşik Ağaç'!$E$20</f>
        <v>0.17750012400000001</v>
      </c>
      <c r="F27" t="str">
        <f>+VLOOKUP(D27,'BOM Tanımları'!C26:G145,3,0)</f>
        <v>Gram</v>
      </c>
      <c r="G27" t="s">
        <v>195</v>
      </c>
      <c r="H27" t="s">
        <v>199</v>
      </c>
      <c r="I27" s="24">
        <f>+VLOOKUP(A27,'Sabit Fiyatlar ve Dönüşümler'!A8:C35,3,0)</f>
        <v>12</v>
      </c>
      <c r="J27" s="24">
        <f>+I27/'Sabit Fiyatlar ve Dönüşümler'!I14*'Birleşik Ağaç'!E27</f>
        <v>2.1300014880000001E-3</v>
      </c>
      <c r="K27" s="36">
        <f t="shared" si="2"/>
        <v>2.1300014880000001E-3</v>
      </c>
    </row>
    <row r="28" spans="1:11" x14ac:dyDescent="0.3">
      <c r="A28" t="s">
        <v>101</v>
      </c>
      <c r="B28">
        <v>5</v>
      </c>
      <c r="C28" t="s">
        <v>192</v>
      </c>
      <c r="D28" t="s">
        <v>46</v>
      </c>
      <c r="E28" s="14">
        <f>+'BOM Tanımları'!D50*'Birleşik Ağaç'!$E$20</f>
        <v>0.48187114200000003</v>
      </c>
      <c r="F28" t="str">
        <f>+VLOOKUP(D28,'BOM Tanımları'!C27:G146,3,0)</f>
        <v>Gram</v>
      </c>
      <c r="G28" t="s">
        <v>195</v>
      </c>
      <c r="H28" t="s">
        <v>199</v>
      </c>
      <c r="I28" s="24">
        <f>+VLOOKUP(A28,'Sabit Fiyatlar ve Dönüşümler'!A9:C36,3,0)</f>
        <v>12</v>
      </c>
      <c r="J28" s="24">
        <f>+I28/'Sabit Fiyatlar ve Dönüşümler'!I15*'Birleşik Ağaç'!E28</f>
        <v>5.7824537040000006E-3</v>
      </c>
      <c r="K28" s="36">
        <f t="shared" si="2"/>
        <v>5.7824537040000006E-3</v>
      </c>
    </row>
    <row r="29" spans="1:11" x14ac:dyDescent="0.3">
      <c r="A29" t="s">
        <v>102</v>
      </c>
      <c r="B29">
        <v>5</v>
      </c>
      <c r="C29" t="s">
        <v>181</v>
      </c>
      <c r="D29" t="s">
        <v>132</v>
      </c>
      <c r="E29" s="14">
        <v>0.15</v>
      </c>
      <c r="F29" t="str">
        <f>+VLOOKUP(D29,'BOM Tanımları'!C28:G147,3,0)</f>
        <v>DAK</v>
      </c>
      <c r="G29" t="s">
        <v>66</v>
      </c>
      <c r="H29" t="s">
        <v>139</v>
      </c>
      <c r="I29" s="22">
        <f>+'Sabit Fiyatlar ve Dönüşümler'!T8</f>
        <v>8.3333333333333339</v>
      </c>
      <c r="J29" s="29">
        <f>+E29*'Sabit Fiyatlar ve Dönüşümler'!T8</f>
        <v>1.25</v>
      </c>
      <c r="K29" s="36">
        <f>+J29/37</f>
        <v>3.3783783783783786E-2</v>
      </c>
    </row>
    <row r="30" spans="1:11" x14ac:dyDescent="0.3">
      <c r="A30" t="s">
        <v>103</v>
      </c>
      <c r="B30">
        <v>5</v>
      </c>
      <c r="C30" t="s">
        <v>192</v>
      </c>
      <c r="D30" t="s">
        <v>134</v>
      </c>
      <c r="E30" s="14">
        <f>+'BOM Tanımları'!D52*'Birleşik Ağaç'!$E$20</f>
        <v>9.9273000000000007</v>
      </c>
      <c r="F30" t="str">
        <f>+VLOOKUP(D30,'BOM Tanımları'!C29:G148,3,0)</f>
        <v>Gram</v>
      </c>
      <c r="G30" t="s">
        <v>195</v>
      </c>
      <c r="H30" t="s">
        <v>199</v>
      </c>
      <c r="I30" s="24">
        <f>+VLOOKUP(A30,'Sabit Fiyatlar ve Dönüşümler'!A11:C38,3,0)</f>
        <v>12</v>
      </c>
      <c r="J30" s="24">
        <f>+I30/'Sabit Fiyatlar ve Dönüşümler'!I16*'Birleşik Ağaç'!E30</f>
        <v>0.11912760000000001</v>
      </c>
      <c r="K30" s="36">
        <f t="shared" ref="K30:K31" si="3">+J30</f>
        <v>0.11912760000000001</v>
      </c>
    </row>
    <row r="31" spans="1:11" x14ac:dyDescent="0.3">
      <c r="A31" t="s">
        <v>104</v>
      </c>
      <c r="B31">
        <v>5</v>
      </c>
      <c r="C31" t="s">
        <v>192</v>
      </c>
      <c r="D31" t="s">
        <v>134</v>
      </c>
      <c r="E31" s="14">
        <f>+'BOM Tanımları'!D53*'Birleşik Ağaç'!$E$20</f>
        <v>6.9491100000000001</v>
      </c>
      <c r="F31" t="str">
        <f>+VLOOKUP(D31,'BOM Tanımları'!C30:G149,3,0)</f>
        <v>Gram</v>
      </c>
      <c r="G31" t="s">
        <v>195</v>
      </c>
      <c r="H31" t="s">
        <v>199</v>
      </c>
      <c r="I31" s="24">
        <f>+VLOOKUP(A31,'Sabit Fiyatlar ve Dönüşümler'!A12:C39,3,0)</f>
        <v>12</v>
      </c>
      <c r="J31" s="24">
        <f>+I31/'Sabit Fiyatlar ve Dönüşümler'!I17*'Birleşik Ağaç'!E31</f>
        <v>8.3389320000000003E-2</v>
      </c>
      <c r="K31" s="36">
        <f t="shared" si="3"/>
        <v>8.3389320000000003E-2</v>
      </c>
    </row>
    <row r="32" spans="1:11" x14ac:dyDescent="0.3">
      <c r="A32" t="s">
        <v>105</v>
      </c>
      <c r="B32">
        <v>5</v>
      </c>
      <c r="C32" t="s">
        <v>181</v>
      </c>
      <c r="D32" t="s">
        <v>132</v>
      </c>
      <c r="E32" s="14">
        <v>0.15</v>
      </c>
      <c r="F32" t="str">
        <f>+VLOOKUP(D32,'BOM Tanımları'!C31:G150,3,0)</f>
        <v>DAK</v>
      </c>
      <c r="G32" t="s">
        <v>66</v>
      </c>
      <c r="H32" t="s">
        <v>139</v>
      </c>
      <c r="I32" s="22">
        <f>+'Sabit Fiyatlar ve Dönüşümler'!T9</f>
        <v>6.25</v>
      </c>
      <c r="J32" s="29">
        <f>+E32*'Sabit Fiyatlar ve Dönüşümler'!T9</f>
        <v>0.9375</v>
      </c>
      <c r="K32" s="36">
        <f>+J32/37</f>
        <v>2.5337837837837839E-2</v>
      </c>
    </row>
    <row r="33" spans="1:11" x14ac:dyDescent="0.3">
      <c r="A33" t="s">
        <v>79</v>
      </c>
      <c r="B33">
        <v>4</v>
      </c>
      <c r="C33" t="s">
        <v>192</v>
      </c>
      <c r="D33" t="str">
        <f>+VLOOKUP(A33,'BOM Tanımları'!A10:E129,3,0)</f>
        <v>İPLİK</v>
      </c>
      <c r="E33" s="14">
        <f>+'BOM Tanımları'!D38*'Birleşik Ağaç'!E19</f>
        <v>39.709200000000003</v>
      </c>
      <c r="F33" t="str">
        <f>+VLOOKUP(D33,'BOM Tanımları'!C10:G129,3,0)</f>
        <v>Gram</v>
      </c>
      <c r="G33" t="s">
        <v>195</v>
      </c>
      <c r="H33" t="s">
        <v>199</v>
      </c>
      <c r="I33" s="24">
        <f>+VLOOKUP(A33,'Sabit Fiyatlar ve Dönüşümler'!A14:C41,3,0)</f>
        <v>7.5</v>
      </c>
      <c r="J33" s="24">
        <f>+I33/'Sabit Fiyatlar ve Dönüşümler'!I18*'Birleşik Ağaç'!E33</f>
        <v>0.297819</v>
      </c>
      <c r="K33" s="35">
        <f t="shared" ref="K33:K34" si="4">+J33</f>
        <v>0.297819</v>
      </c>
    </row>
    <row r="34" spans="1:11" x14ac:dyDescent="0.3">
      <c r="A34" t="s">
        <v>80</v>
      </c>
      <c r="B34">
        <v>4</v>
      </c>
      <c r="C34" t="s">
        <v>192</v>
      </c>
      <c r="D34" t="str">
        <f>+VLOOKUP(A34,'BOM Tanımları'!A11:E130,3,0)</f>
        <v>İPLİK</v>
      </c>
      <c r="E34" s="14">
        <f>+'BOM Tanımları'!D39*'Birleşik Ağaç'!E19</f>
        <v>39.709200000000003</v>
      </c>
      <c r="F34" t="str">
        <f>+VLOOKUP(D34,'BOM Tanımları'!C11:G130,3,0)</f>
        <v>Gram</v>
      </c>
      <c r="G34" t="s">
        <v>195</v>
      </c>
      <c r="H34" t="s">
        <v>199</v>
      </c>
      <c r="I34" s="24">
        <f>+VLOOKUP(A34,'Sabit Fiyatlar ve Dönüşümler'!A15:C42,3,0)</f>
        <v>7.5</v>
      </c>
      <c r="J34" s="24">
        <f>+I34/'Sabit Fiyatlar ve Dönüşümler'!I19*'Birleşik Ağaç'!E34</f>
        <v>0.297819</v>
      </c>
      <c r="K34" s="35">
        <f t="shared" si="4"/>
        <v>0.297819</v>
      </c>
    </row>
    <row r="35" spans="1:11" x14ac:dyDescent="0.3">
      <c r="A35" t="s">
        <v>81</v>
      </c>
      <c r="B35">
        <v>4</v>
      </c>
      <c r="C35" t="s">
        <v>181</v>
      </c>
      <c r="D35" t="str">
        <f>+VLOOKUP(A35,'BOM Tanımları'!A12:E131,3,0)</f>
        <v>OPR</v>
      </c>
      <c r="E35" s="14">
        <f>+'BOM Tanımları'!D40*'Birleşik Ağaç'!E19</f>
        <v>0.44672849999999997</v>
      </c>
      <c r="F35" t="str">
        <f>+VLOOKUP(D35,'BOM Tanımları'!C12:G131,3,0)</f>
        <v>DAK</v>
      </c>
      <c r="G35" t="s">
        <v>66</v>
      </c>
      <c r="H35" t="s">
        <v>139</v>
      </c>
      <c r="I35" s="22">
        <f>+'Sabit Fiyatlar ve Dönüşümler'!T3</f>
        <v>8.3333333333333339</v>
      </c>
      <c r="J35" s="29">
        <f>+E35*'Sabit Fiyatlar ve Dönüşümler'!T3</f>
        <v>3.7227375</v>
      </c>
      <c r="K35" s="35">
        <f>+J35/37</f>
        <v>0.10061452702702703</v>
      </c>
    </row>
    <row r="36" spans="1:11" x14ac:dyDescent="0.3">
      <c r="A36" t="s">
        <v>22</v>
      </c>
      <c r="B36">
        <v>3</v>
      </c>
      <c r="C36" t="s">
        <v>191</v>
      </c>
      <c r="D36" t="str">
        <f>+VLOOKUP(A36,'BOM Tanımları'!A13:E132,3,0)</f>
        <v>ATKI</v>
      </c>
      <c r="E36" s="14">
        <f>+'BOM Tanımları'!D9*'Birleşik Ağaç'!$E$3</f>
        <v>88.064999999999998</v>
      </c>
      <c r="F36" t="str">
        <f ca="1">+VLOOKUP(D36,'BOM Tanımları'!C13:G132,3,0)</f>
        <v>Gram</v>
      </c>
      <c r="G36" t="s">
        <v>195</v>
      </c>
      <c r="H36" t="s">
        <v>198</v>
      </c>
      <c r="I36" s="17" t="s">
        <v>139</v>
      </c>
      <c r="K36" s="34">
        <f>+SUM(K37:K43)</f>
        <v>0.86320043594594587</v>
      </c>
    </row>
    <row r="37" spans="1:11" x14ac:dyDescent="0.3">
      <c r="A37" t="s">
        <v>85</v>
      </c>
      <c r="B37">
        <v>4</v>
      </c>
      <c r="C37" t="s">
        <v>192</v>
      </c>
      <c r="D37" t="str">
        <f>+VLOOKUP(A37,'BOM Tanımları'!A14:E133,3,0)</f>
        <v>İPLİK</v>
      </c>
      <c r="E37" s="14">
        <f>+'BOM Tanımları'!D83*'Birleşik Ağaç'!$E$36</f>
        <v>13.20975</v>
      </c>
      <c r="F37" t="str">
        <f>+VLOOKUP(D37,'BOM Tanımları'!C14:G133,3,0)</f>
        <v>Gram</v>
      </c>
      <c r="G37" t="s">
        <v>195</v>
      </c>
      <c r="H37" t="s">
        <v>199</v>
      </c>
      <c r="I37" s="24">
        <f>+VLOOKUP(A37,'Sabit Fiyatlar ve Dönüşümler'!A18:C45,3,0)</f>
        <v>6.5</v>
      </c>
      <c r="J37" s="24">
        <f>+E37*'Sabit Fiyatlar ve Dönüşümler'!E20</f>
        <v>8.5863374999999992E-2</v>
      </c>
      <c r="K37" s="35">
        <f t="shared" ref="K37:K42" si="5">+J37</f>
        <v>8.5863374999999992E-2</v>
      </c>
    </row>
    <row r="38" spans="1:11" x14ac:dyDescent="0.3">
      <c r="A38" t="s">
        <v>86</v>
      </c>
      <c r="B38">
        <v>4</v>
      </c>
      <c r="C38" t="s">
        <v>192</v>
      </c>
      <c r="D38" t="str">
        <f>+VLOOKUP(A38,'BOM Tanımları'!A15:E134,3,0)</f>
        <v>ELYAF</v>
      </c>
      <c r="E38" s="14">
        <f>+'BOM Tanımları'!D84*'Birleşik Ağaç'!$E$36</f>
        <v>3.0822750000000001</v>
      </c>
      <c r="F38" t="str">
        <f ca="1">+VLOOKUP(D38,'BOM Tanımları'!C15:G134,3,0)</f>
        <v>Gram</v>
      </c>
      <c r="G38" t="s">
        <v>195</v>
      </c>
      <c r="H38" t="s">
        <v>199</v>
      </c>
      <c r="I38" s="24">
        <f>+VLOOKUP(A38,'Sabit Fiyatlar ve Dönüşümler'!A19:C46,3,0)</f>
        <v>3.5</v>
      </c>
      <c r="J38" s="24">
        <f>+E38*'Sabit Fiyatlar ve Dönüşümler'!E21</f>
        <v>1.0787962500000001E-2</v>
      </c>
      <c r="K38" s="35">
        <f t="shared" si="5"/>
        <v>1.0787962500000001E-2</v>
      </c>
    </row>
    <row r="39" spans="1:11" x14ac:dyDescent="0.3">
      <c r="A39" t="s">
        <v>87</v>
      </c>
      <c r="B39">
        <v>4</v>
      </c>
      <c r="C39" t="s">
        <v>192</v>
      </c>
      <c r="D39" t="str">
        <f>+VLOOKUP(A39,'BOM Tanımları'!A16:E135,3,0)</f>
        <v>ELYAF</v>
      </c>
      <c r="E39" s="14">
        <f>+'BOM Tanımları'!D85*'Birleşik Ağaç'!$E$36</f>
        <v>24.922394999999998</v>
      </c>
      <c r="F39" t="str">
        <f ca="1">+VLOOKUP(D39,'BOM Tanımları'!C16:G135,3,0)</f>
        <v>Gram</v>
      </c>
      <c r="G39" t="s">
        <v>195</v>
      </c>
      <c r="H39" t="s">
        <v>199</v>
      </c>
      <c r="I39" s="24">
        <f>+VLOOKUP(A39,'Sabit Fiyatlar ve Dönüşümler'!A20:C47,3,0)</f>
        <v>3.5</v>
      </c>
      <c r="J39" s="24">
        <f>+E39*'Sabit Fiyatlar ve Dönüşümler'!E22</f>
        <v>8.7228382499999993E-2</v>
      </c>
      <c r="K39" s="35">
        <f t="shared" si="5"/>
        <v>8.7228382499999993E-2</v>
      </c>
    </row>
    <row r="40" spans="1:11" x14ac:dyDescent="0.3">
      <c r="A40" t="s">
        <v>88</v>
      </c>
      <c r="B40">
        <v>4</v>
      </c>
      <c r="C40" t="s">
        <v>192</v>
      </c>
      <c r="D40" t="str">
        <f>+VLOOKUP(A40,'BOM Tanımları'!A17:E136,3,0)</f>
        <v>ELYAF</v>
      </c>
      <c r="E40" s="14">
        <f>+'BOM Tanımları'!D86*'Birleşik Ağaç'!$E$36</f>
        <v>21.840119999999999</v>
      </c>
      <c r="F40" t="str">
        <f ca="1">+VLOOKUP(D40,'BOM Tanımları'!C17:G136,3,0)</f>
        <v>Gram</v>
      </c>
      <c r="G40" t="s">
        <v>195</v>
      </c>
      <c r="H40" t="s">
        <v>199</v>
      </c>
      <c r="I40" s="24">
        <f>+VLOOKUP(A40,'Sabit Fiyatlar ve Dönüşümler'!A21:C48,3,0)</f>
        <v>3.5</v>
      </c>
      <c r="J40" s="24">
        <f>+E40*'Sabit Fiyatlar ve Dönüşümler'!E23</f>
        <v>0.38220209999999999</v>
      </c>
      <c r="K40" s="35">
        <f t="shared" si="5"/>
        <v>0.38220209999999999</v>
      </c>
    </row>
    <row r="41" spans="1:11" x14ac:dyDescent="0.3">
      <c r="A41" t="s">
        <v>89</v>
      </c>
      <c r="B41">
        <v>4</v>
      </c>
      <c r="C41" t="s">
        <v>192</v>
      </c>
      <c r="D41" t="str">
        <f>+VLOOKUP(A41,'BOM Tanımları'!A18:E137,3,0)</f>
        <v>ELYAF</v>
      </c>
      <c r="E41" s="14">
        <f>+'BOM Tanımları'!D87*'Birleşik Ağaç'!$E$36</f>
        <v>3.0822750000000001</v>
      </c>
      <c r="F41" t="str">
        <f ca="1">+VLOOKUP(D41,'BOM Tanımları'!C18:G137,3,0)</f>
        <v>Gram</v>
      </c>
      <c r="G41" t="s">
        <v>195</v>
      </c>
      <c r="H41" t="s">
        <v>199</v>
      </c>
      <c r="I41" s="24">
        <f>+VLOOKUP(A41,'Sabit Fiyatlar ve Dönüşümler'!A22:C49,3,0)</f>
        <v>3.5</v>
      </c>
      <c r="J41" s="24">
        <f>+E41*'Sabit Fiyatlar ve Dönüşümler'!E24</f>
        <v>7.1919750000000005E-2</v>
      </c>
      <c r="K41" s="35">
        <f t="shared" si="5"/>
        <v>7.1919750000000005E-2</v>
      </c>
    </row>
    <row r="42" spans="1:11" x14ac:dyDescent="0.3">
      <c r="A42" t="s">
        <v>90</v>
      </c>
      <c r="B42">
        <v>4</v>
      </c>
      <c r="C42" t="s">
        <v>192</v>
      </c>
      <c r="D42" t="str">
        <f>+VLOOKUP(A42,'BOM Tanımları'!A19:E138,3,0)</f>
        <v>ELYAF</v>
      </c>
      <c r="E42" s="14">
        <f>+'BOM Tanımları'!D88*'Birleşik Ağaç'!$E$36</f>
        <v>21.840119999999999</v>
      </c>
      <c r="F42" t="str">
        <f ca="1">+VLOOKUP(D42,'BOM Tanımları'!C19:G138,3,0)</f>
        <v>Gram</v>
      </c>
      <c r="G42" t="s">
        <v>195</v>
      </c>
      <c r="H42" t="s">
        <v>199</v>
      </c>
      <c r="I42" s="24">
        <f>+VLOOKUP(A42,'Sabit Fiyatlar ve Dönüşümler'!A23:C50,3,0)</f>
        <v>3.5</v>
      </c>
      <c r="J42" s="24">
        <f>+E42*'Sabit Fiyatlar ve Dönüşümler'!E25</f>
        <v>7.6440419999999995E-2</v>
      </c>
      <c r="K42" s="35">
        <f t="shared" si="5"/>
        <v>7.6440419999999995E-2</v>
      </c>
    </row>
    <row r="43" spans="1:11" x14ac:dyDescent="0.3">
      <c r="A43" t="s">
        <v>91</v>
      </c>
      <c r="B43">
        <v>4</v>
      </c>
      <c r="C43" t="s">
        <v>181</v>
      </c>
      <c r="D43" t="str">
        <f>+VLOOKUP(A43,'BOM Tanımları'!A20:E139,3,0)</f>
        <v>OPR</v>
      </c>
      <c r="E43" s="14">
        <f>+'BOM Tanımları'!D89*'Birleşik Ağaç'!$E$36</f>
        <v>0.66048750000000001</v>
      </c>
      <c r="F43" t="str">
        <f>+VLOOKUP(D43,'BOM Tanımları'!C20:G139,3,0)</f>
        <v>DAK</v>
      </c>
      <c r="G43" t="s">
        <v>66</v>
      </c>
      <c r="H43" t="s">
        <v>139</v>
      </c>
      <c r="I43" s="22">
        <f>+'Sabit Fiyatlar ve Dönüşümler'!T4</f>
        <v>8.3333333333333339</v>
      </c>
      <c r="J43" s="29">
        <f>+E43*'Sabit Fiyatlar ve Dönüşümler'!T4</f>
        <v>5.5040625000000007</v>
      </c>
      <c r="K43" s="35">
        <f>+J43/37</f>
        <v>0.14875844594594598</v>
      </c>
    </row>
    <row r="44" spans="1:11" x14ac:dyDescent="0.3">
      <c r="A44" t="s">
        <v>22</v>
      </c>
      <c r="B44">
        <v>3</v>
      </c>
      <c r="C44" t="s">
        <v>191</v>
      </c>
      <c r="D44" t="str">
        <f>+VLOOKUP(A44,'BOM Tanımları'!A35:E140,3,0)</f>
        <v>ATKI</v>
      </c>
      <c r="E44" s="14">
        <f>+'BOM Tanımları'!D10*'Birleşik Ağaç'!$E$3</f>
        <v>88.064999999999998</v>
      </c>
      <c r="F44" t="str">
        <f>+VLOOKUP(D44,'BOM Tanımları'!C35:G140,3,0)</f>
        <v>Gram</v>
      </c>
      <c r="G44" t="s">
        <v>195</v>
      </c>
      <c r="H44" t="s">
        <v>198</v>
      </c>
      <c r="I44" s="17" t="s">
        <v>139</v>
      </c>
      <c r="K44" s="34">
        <f>+SUM(K45:K51)</f>
        <v>0.87311766567567561</v>
      </c>
    </row>
    <row r="45" spans="1:11" x14ac:dyDescent="0.3">
      <c r="A45" t="s">
        <v>85</v>
      </c>
      <c r="B45">
        <v>4</v>
      </c>
      <c r="C45" t="s">
        <v>192</v>
      </c>
      <c r="D45" t="str">
        <f>+VLOOKUP(A45,'BOM Tanımları'!A36:E141,3,0)</f>
        <v>İPLİK</v>
      </c>
      <c r="E45" s="14">
        <f>+'BOM Tanımları'!D105*'Birleşik Ağaç'!$E$44</f>
        <v>13.20975</v>
      </c>
      <c r="F45" t="str">
        <f>+VLOOKUP(D45,'BOM Tanımları'!C36:G141,3,0)</f>
        <v>Gram</v>
      </c>
      <c r="G45" t="s">
        <v>195</v>
      </c>
      <c r="H45" t="s">
        <v>199</v>
      </c>
      <c r="I45" s="24">
        <f>+VLOOKUP(A45,'Sabit Fiyatlar ve Dönüşümler'!A2:C29,3,0)</f>
        <v>6.5</v>
      </c>
      <c r="J45" s="24">
        <f>+E45*'Sabit Fiyatlar ve Dönüşümler'!E20</f>
        <v>8.5863374999999992E-2</v>
      </c>
      <c r="K45" s="35">
        <f t="shared" ref="K45:K50" si="6">+J45</f>
        <v>8.5863374999999992E-2</v>
      </c>
    </row>
    <row r="46" spans="1:11" x14ac:dyDescent="0.3">
      <c r="A46" t="s">
        <v>86</v>
      </c>
      <c r="B46">
        <v>4</v>
      </c>
      <c r="C46" t="s">
        <v>192</v>
      </c>
      <c r="D46" t="str">
        <f>+VLOOKUP(A46,'BOM Tanımları'!A37:E142,3,0)</f>
        <v>ELYAF</v>
      </c>
      <c r="E46" s="14">
        <f>+'BOM Tanımları'!D106*'Birleşik Ağaç'!$E$44</f>
        <v>3.0822750000000001</v>
      </c>
      <c r="F46" t="str">
        <f>+VLOOKUP(D46,'BOM Tanımları'!C37:G142,3,0)</f>
        <v>Gram</v>
      </c>
      <c r="G46" t="s">
        <v>195</v>
      </c>
      <c r="H46" t="s">
        <v>199</v>
      </c>
      <c r="I46" s="24">
        <f>+VLOOKUP(A46,'Sabit Fiyatlar ve Dönüşümler'!A3:C30,3,0)</f>
        <v>3.5</v>
      </c>
      <c r="J46" s="24">
        <f>+E46*'Sabit Fiyatlar ve Dönüşümler'!E21</f>
        <v>1.0787962500000001E-2</v>
      </c>
      <c r="K46" s="35">
        <f t="shared" si="6"/>
        <v>1.0787962500000001E-2</v>
      </c>
    </row>
    <row r="47" spans="1:11" x14ac:dyDescent="0.3">
      <c r="A47" t="s">
        <v>87</v>
      </c>
      <c r="B47">
        <v>4</v>
      </c>
      <c r="C47" t="s">
        <v>192</v>
      </c>
      <c r="D47" t="str">
        <f>+VLOOKUP(A47,'BOM Tanımları'!A38:E143,3,0)</f>
        <v>ELYAF</v>
      </c>
      <c r="E47" s="14">
        <f>+'BOM Tanımları'!D107*'Birleşik Ağaç'!$E$44</f>
        <v>24.922394999999998</v>
      </c>
      <c r="F47" t="str">
        <f>+VLOOKUP(D47,'BOM Tanımları'!C38:G143,3,0)</f>
        <v>Gram</v>
      </c>
      <c r="G47" t="s">
        <v>195</v>
      </c>
      <c r="H47" t="s">
        <v>199</v>
      </c>
      <c r="I47" s="24">
        <f>+VLOOKUP(A47,'Sabit Fiyatlar ve Dönüşümler'!A4:C31,3,0)</f>
        <v>3.5</v>
      </c>
      <c r="J47" s="24">
        <f>+E47*'Sabit Fiyatlar ve Dönüşümler'!E22</f>
        <v>8.7228382499999993E-2</v>
      </c>
      <c r="K47" s="35">
        <f t="shared" si="6"/>
        <v>8.7228382499999993E-2</v>
      </c>
    </row>
    <row r="48" spans="1:11" x14ac:dyDescent="0.3">
      <c r="A48" t="s">
        <v>88</v>
      </c>
      <c r="B48">
        <v>4</v>
      </c>
      <c r="C48" t="s">
        <v>192</v>
      </c>
      <c r="D48" t="str">
        <f>+VLOOKUP(A48,'BOM Tanımları'!A39:E144,3,0)</f>
        <v>ELYAF</v>
      </c>
      <c r="E48" s="14">
        <f>+'BOM Tanımları'!D108*'Birleşik Ağaç'!$E$44</f>
        <v>21.840119999999999</v>
      </c>
      <c r="F48" t="str">
        <f>+VLOOKUP(D48,'BOM Tanımları'!C39:G144,3,0)</f>
        <v>Gram</v>
      </c>
      <c r="G48" t="s">
        <v>195</v>
      </c>
      <c r="H48" t="s">
        <v>199</v>
      </c>
      <c r="I48" s="24">
        <f>+VLOOKUP(A48,'Sabit Fiyatlar ve Dönüşümler'!A5:C32,3,0)</f>
        <v>3.5</v>
      </c>
      <c r="J48" s="24">
        <f>+E48*'Sabit Fiyatlar ve Dönüşümler'!E23</f>
        <v>0.38220209999999999</v>
      </c>
      <c r="K48" s="35">
        <f t="shared" si="6"/>
        <v>0.38220209999999999</v>
      </c>
    </row>
    <row r="49" spans="1:12" x14ac:dyDescent="0.3">
      <c r="A49" t="s">
        <v>89</v>
      </c>
      <c r="B49">
        <v>4</v>
      </c>
      <c r="C49" t="s">
        <v>192</v>
      </c>
      <c r="D49" t="str">
        <f>+VLOOKUP(A49,'BOM Tanımları'!A40:E145,3,0)</f>
        <v>ELYAF</v>
      </c>
      <c r="E49" s="14">
        <f>+'BOM Tanımları'!D109*'Birleşik Ağaç'!$E$44</f>
        <v>3.0822750000000001</v>
      </c>
      <c r="F49" t="str">
        <f>+VLOOKUP(D49,'BOM Tanımları'!C40:G145,3,0)</f>
        <v>Gram</v>
      </c>
      <c r="G49" t="s">
        <v>195</v>
      </c>
      <c r="H49" t="s">
        <v>199</v>
      </c>
      <c r="I49" s="24">
        <f>+VLOOKUP(A49,'Sabit Fiyatlar ve Dönüşümler'!A6:C33,3,0)</f>
        <v>3.5</v>
      </c>
      <c r="J49" s="24">
        <f>+E49*'Sabit Fiyatlar ve Dönüşümler'!E24</f>
        <v>7.1919750000000005E-2</v>
      </c>
      <c r="K49" s="35">
        <f t="shared" si="6"/>
        <v>7.1919750000000005E-2</v>
      </c>
    </row>
    <row r="50" spans="1:12" x14ac:dyDescent="0.3">
      <c r="A50" t="s">
        <v>90</v>
      </c>
      <c r="B50">
        <v>4</v>
      </c>
      <c r="C50" t="s">
        <v>192</v>
      </c>
      <c r="D50" t="str">
        <f>+VLOOKUP(A50,'BOM Tanımları'!A81:E146,3,0)</f>
        <v>ELYAF</v>
      </c>
      <c r="E50" s="14">
        <f>+'BOM Tanımları'!D110*'Birleşik Ağaç'!$E$44</f>
        <v>21.840119999999999</v>
      </c>
      <c r="F50" t="str">
        <f>+VLOOKUP(D50,'BOM Tanımları'!C81:G146,3,0)</f>
        <v>Gram</v>
      </c>
      <c r="G50" t="s">
        <v>195</v>
      </c>
      <c r="H50" t="s">
        <v>199</v>
      </c>
      <c r="I50" s="24">
        <f>+VLOOKUP(A50,'Sabit Fiyatlar ve Dönüşümler'!A7:C34,3,0)</f>
        <v>3.5</v>
      </c>
      <c r="J50" s="24">
        <f>+I50/'Sabit Fiyatlar ve Dönüşümler'!I25*'Birleşik Ağaç'!E50</f>
        <v>7.6440419999999995E-2</v>
      </c>
      <c r="K50" s="35">
        <f t="shared" si="6"/>
        <v>7.6440419999999995E-2</v>
      </c>
    </row>
    <row r="51" spans="1:12" x14ac:dyDescent="0.3">
      <c r="A51" t="s">
        <v>91</v>
      </c>
      <c r="B51">
        <v>4</v>
      </c>
      <c r="C51" t="s">
        <v>181</v>
      </c>
      <c r="D51" t="str">
        <f>+VLOOKUP(A51,'BOM Tanımları'!A82:E147,3,0)</f>
        <v>OPR</v>
      </c>
      <c r="E51" s="14">
        <f>+'BOM Tanımları'!D111*'Birleşik Ağaç'!$E$44</f>
        <v>0.70452000000000004</v>
      </c>
      <c r="F51" t="str">
        <f>+VLOOKUP(D51,'BOM Tanımları'!C82:G147,3,0)</f>
        <v>DAK</v>
      </c>
      <c r="G51" t="s">
        <v>66</v>
      </c>
      <c r="H51" t="s">
        <v>139</v>
      </c>
      <c r="I51" s="22">
        <f>+'Sabit Fiyatlar ve Dönüşümler'!T4</f>
        <v>8.3333333333333339</v>
      </c>
      <c r="J51" s="29">
        <f>+E51*'Sabit Fiyatlar ve Dönüşümler'!T4</f>
        <v>5.8710000000000004</v>
      </c>
      <c r="K51" s="35">
        <f t="shared" ref="K51:K52" si="7">+J51/37</f>
        <v>0.1586756756756757</v>
      </c>
    </row>
    <row r="52" spans="1:12" x14ac:dyDescent="0.3">
      <c r="A52" t="s">
        <v>23</v>
      </c>
      <c r="B52">
        <v>3</v>
      </c>
      <c r="C52" t="s">
        <v>181</v>
      </c>
      <c r="D52" t="str">
        <f>+VLOOKUP(A52,'BOM Tanımları'!A1:E11,3,0)</f>
        <v>OPR</v>
      </c>
      <c r="E52" s="14">
        <f>+'BOM Tanımları'!D11*'Birleşik Ağaç'!$E$3</f>
        <v>0.2</v>
      </c>
      <c r="F52" t="str">
        <f>+VLOOKUP(D52,'BOM Tanımları'!C83:G148,3,0)</f>
        <v>DAK</v>
      </c>
      <c r="G52" t="s">
        <v>66</v>
      </c>
      <c r="H52" t="s">
        <v>139</v>
      </c>
      <c r="I52" s="22">
        <f>+'Sabit Fiyatlar ve Dönüşümler'!T5</f>
        <v>7.1022727272727275</v>
      </c>
      <c r="J52" s="29">
        <f>+E52*'Sabit Fiyatlar ve Dönüşümler'!T5</f>
        <v>1.4204545454545456</v>
      </c>
      <c r="K52" s="34">
        <f t="shared" si="7"/>
        <v>3.8390663390663396E-2</v>
      </c>
    </row>
    <row r="53" spans="1:12" x14ac:dyDescent="0.3">
      <c r="A53" t="s">
        <v>27</v>
      </c>
      <c r="B53">
        <v>3</v>
      </c>
      <c r="C53" t="s">
        <v>193</v>
      </c>
      <c r="D53" t="str">
        <f>+VLOOKUP(A53,'BOM Tanımları'!A84:E149,3,0)</f>
        <v>SARF</v>
      </c>
      <c r="E53" s="14">
        <f>+'BOM Tanımları'!D12*'Birleşik Ağaç'!$E$3</f>
        <v>0.02</v>
      </c>
      <c r="F53" t="str">
        <f>+VLOOKUP(D53,'BOM Tanımları'!C84:G149,3,0)</f>
        <v>Adet</v>
      </c>
      <c r="G53" t="s">
        <v>19</v>
      </c>
      <c r="H53" t="s">
        <v>199</v>
      </c>
      <c r="I53" s="24">
        <f>+VLOOKUP(A53,'Sabit Fiyatlar ve Dönüşümler'!A10:C37,3,0)</f>
        <v>8</v>
      </c>
      <c r="J53" s="24">
        <f>+I53/'Sabit Fiyatlar ve Dönüşümler'!I26*'Birleşik Ağaç'!E53</f>
        <v>8.0000000000000004E-4</v>
      </c>
      <c r="K53" s="34">
        <f t="shared" ref="K53:K54" si="8">+J53</f>
        <v>8.0000000000000004E-4</v>
      </c>
    </row>
    <row r="54" spans="1:12" x14ac:dyDescent="0.3">
      <c r="A54" t="s">
        <v>28</v>
      </c>
      <c r="B54">
        <v>3</v>
      </c>
      <c r="C54" t="s">
        <v>193</v>
      </c>
      <c r="D54" t="str">
        <f>+VLOOKUP(A54,'BOM Tanımları'!A85:E150,3,0)</f>
        <v>SARF</v>
      </c>
      <c r="E54" s="14">
        <f>+'BOM Tanımları'!D13*'Birleşik Ağaç'!$E$3</f>
        <v>0.02</v>
      </c>
      <c r="F54" t="str">
        <f>+VLOOKUP(D54,'BOM Tanımları'!C85:G150,3,0)</f>
        <v>Adet</v>
      </c>
      <c r="G54" t="s">
        <v>19</v>
      </c>
      <c r="H54" t="s">
        <v>199</v>
      </c>
      <c r="I54" s="24">
        <f>+VLOOKUP(A54,'Sabit Fiyatlar ve Dönüşümler'!A11:C38,3,0)</f>
        <v>6</v>
      </c>
      <c r="J54" s="24">
        <f>+I54/'Sabit Fiyatlar ve Dönüşümler'!I27*'Birleşik Ağaç'!E54</f>
        <v>8.0000000000000004E-4</v>
      </c>
      <c r="K54" s="34">
        <f t="shared" si="8"/>
        <v>8.0000000000000004E-4</v>
      </c>
    </row>
    <row r="55" spans="1:12" x14ac:dyDescent="0.3">
      <c r="A55" t="s">
        <v>29</v>
      </c>
      <c r="B55">
        <v>3</v>
      </c>
      <c r="C55" t="s">
        <v>181</v>
      </c>
      <c r="D55" t="str">
        <f>+VLOOKUP(A55,'BOM Tanımları'!A1:E14,3,0)</f>
        <v>OPR</v>
      </c>
      <c r="E55" s="14">
        <v>0.22</v>
      </c>
      <c r="F55" t="str">
        <f>+VLOOKUP(D55,'BOM Tanımları'!C86:G151,3,0)</f>
        <v>DAK</v>
      </c>
      <c r="G55" t="s">
        <v>66</v>
      </c>
      <c r="H55" t="s">
        <v>139</v>
      </c>
      <c r="I55" s="22">
        <f>+'Sabit Fiyatlar ve Dönüşümler'!T6</f>
        <v>5.208333333333333</v>
      </c>
      <c r="J55" s="29">
        <f>+E55*'Sabit Fiyatlar ve Dönüşümler'!T6</f>
        <v>1.1458333333333333</v>
      </c>
      <c r="K55" s="34">
        <f>+J55/37</f>
        <v>3.0968468468468468E-2</v>
      </c>
    </row>
    <row r="56" spans="1:12" x14ac:dyDescent="0.3">
      <c r="A56" t="s">
        <v>116</v>
      </c>
      <c r="B56">
        <v>2</v>
      </c>
      <c r="C56" t="s">
        <v>191</v>
      </c>
      <c r="D56" t="str">
        <f>+VLOOKUP(A56,'BOM Tanımları'!A1:E4,3,0)</f>
        <v>BOYAMA</v>
      </c>
      <c r="E56" s="14">
        <f>+'BOM Tanımları'!D4*'Birleşik Ağaç'!E2</f>
        <v>1</v>
      </c>
      <c r="F56" t="str">
        <f>+VLOOKUP(D56,'BOM Tanımları'!C87:G152,3,0)</f>
        <v>Adet</v>
      </c>
      <c r="G56" t="s">
        <v>19</v>
      </c>
      <c r="H56" t="s">
        <v>198</v>
      </c>
      <c r="I56" s="17" t="s">
        <v>139</v>
      </c>
      <c r="K56" s="33">
        <f>+SUM(K57:K63)</f>
        <v>0.21989844389844387</v>
      </c>
    </row>
    <row r="57" spans="1:12" x14ac:dyDescent="0.3">
      <c r="A57" t="s">
        <v>117</v>
      </c>
      <c r="B57">
        <v>3</v>
      </c>
      <c r="C57" t="s">
        <v>181</v>
      </c>
      <c r="D57" t="str">
        <f>+VLOOKUP(A57,'BOM Tanımları'!A88:E153,3,0)</f>
        <v>OPR</v>
      </c>
      <c r="E57" s="14">
        <f>+$E$56*'BOM Tanımları'!D114</f>
        <v>0.2</v>
      </c>
      <c r="F57" t="str">
        <f>+VLOOKUP(D57,'BOM Tanımları'!C88:G153,3,0)</f>
        <v>DAK</v>
      </c>
      <c r="G57" t="s">
        <v>66</v>
      </c>
      <c r="H57" t="s">
        <v>139</v>
      </c>
      <c r="I57" s="22">
        <f>+'Sabit Fiyatlar ve Dönüşümler'!T7</f>
        <v>6.8181818181818183</v>
      </c>
      <c r="J57" s="29">
        <f>+E57*'Sabit Fiyatlar ve Dönüşümler'!T7</f>
        <v>1.3636363636363638</v>
      </c>
      <c r="K57" s="34">
        <f t="shared" ref="K57:K58" si="9">+J57/37</f>
        <v>3.6855036855036861E-2</v>
      </c>
    </row>
    <row r="58" spans="1:12" x14ac:dyDescent="0.3">
      <c r="A58" t="s">
        <v>120</v>
      </c>
      <c r="B58">
        <v>3</v>
      </c>
      <c r="C58" t="s">
        <v>181</v>
      </c>
      <c r="D58" t="str">
        <f>+VLOOKUP(A58,'BOM Tanımları'!A89:E154,3,0)</f>
        <v>OPR</v>
      </c>
      <c r="E58" s="14">
        <f>+$E$56*'BOM Tanımları'!D115</f>
        <v>0.21</v>
      </c>
      <c r="F58" t="str">
        <f>+VLOOKUP(D58,'BOM Tanımları'!C89:G154,3,0)</f>
        <v>DAK</v>
      </c>
      <c r="G58" t="s">
        <v>66</v>
      </c>
      <c r="H58" t="s">
        <v>139</v>
      </c>
      <c r="I58" s="22">
        <f>+'Sabit Fiyatlar ve Dönüşümler'!T10</f>
        <v>8.3333333333333339</v>
      </c>
      <c r="J58" s="29">
        <f>+E58*'Sabit Fiyatlar ve Dönüşümler'!T10</f>
        <v>1.75</v>
      </c>
      <c r="K58" s="34">
        <f t="shared" si="9"/>
        <v>4.72972972972973E-2</v>
      </c>
    </row>
    <row r="59" spans="1:12" x14ac:dyDescent="0.3">
      <c r="A59" t="s">
        <v>118</v>
      </c>
      <c r="B59">
        <v>3</v>
      </c>
      <c r="C59" t="s">
        <v>192</v>
      </c>
      <c r="D59" t="str">
        <f>+VLOOKUP(A59,'BOM Tanımları'!A90:E155,3,0)</f>
        <v>KM</v>
      </c>
      <c r="E59" s="14">
        <f>+$E$56*'BOM Tanımları'!D116</f>
        <v>3</v>
      </c>
      <c r="F59" t="str">
        <f>+VLOOKUP(D59,'BOM Tanımları'!C90:G155,3,0)</f>
        <v>Gram</v>
      </c>
      <c r="G59" t="s">
        <v>195</v>
      </c>
      <c r="H59" t="s">
        <v>199</v>
      </c>
      <c r="I59" s="24">
        <f>+VLOOKUP(A59,'Sabit Fiyatlar ve Dönüşümler'!A16:C43,3,0)</f>
        <v>22</v>
      </c>
      <c r="J59" s="24">
        <f>+I59/'Sabit Fiyatlar ve Dönüşümler'!I28*'Birleşik Ağaç'!E59</f>
        <v>6.6000000000000003E-2</v>
      </c>
      <c r="K59" s="34">
        <f>+J59</f>
        <v>6.6000000000000003E-2</v>
      </c>
    </row>
    <row r="60" spans="1:12" x14ac:dyDescent="0.3">
      <c r="A60" t="s">
        <v>119</v>
      </c>
      <c r="B60">
        <v>3</v>
      </c>
      <c r="C60" t="s">
        <v>181</v>
      </c>
      <c r="D60" t="str">
        <f>+VLOOKUP(A60,'BOM Tanımları'!A104:E156,3,0)</f>
        <v>OPR</v>
      </c>
      <c r="E60" s="14">
        <f>+$E$56*'BOM Tanımları'!D117</f>
        <v>0.26</v>
      </c>
      <c r="F60" t="str">
        <f>+VLOOKUP(D60,'BOM Tanımları'!C104:G156,3,0)</f>
        <v>DAK</v>
      </c>
      <c r="G60" t="s">
        <v>66</v>
      </c>
      <c r="H60" t="s">
        <v>139</v>
      </c>
      <c r="I60" s="22">
        <f>+'Sabit Fiyatlar ve Dönüşümler'!T11</f>
        <v>5.6818181818181817</v>
      </c>
      <c r="J60" s="29">
        <f>+E60*'Sabit Fiyatlar ve Dönüşümler'!T11</f>
        <v>1.4772727272727273</v>
      </c>
      <c r="K60" s="34">
        <f>+J60/37</f>
        <v>3.9926289926289923E-2</v>
      </c>
    </row>
    <row r="61" spans="1:12" x14ac:dyDescent="0.3">
      <c r="A61" t="s">
        <v>28</v>
      </c>
      <c r="B61">
        <v>3</v>
      </c>
      <c r="C61" t="s">
        <v>193</v>
      </c>
      <c r="D61" t="str">
        <f>+VLOOKUP(A61,'BOM Tanımları'!A105:E157,3,0)</f>
        <v>SARF</v>
      </c>
      <c r="E61" s="14">
        <f>+$E$56*'BOM Tanımları'!D118</f>
        <v>0.02</v>
      </c>
      <c r="F61" t="str">
        <f>+VLOOKUP(D61,'BOM Tanımları'!C105:G157,3,0)</f>
        <v>Adet</v>
      </c>
      <c r="G61" t="s">
        <v>19</v>
      </c>
      <c r="H61" t="s">
        <v>199</v>
      </c>
      <c r="I61" s="24">
        <f>+VLOOKUP(A61,'Sabit Fiyatlar ve Dönüşümler'!A18:C45,3,0)</f>
        <v>6</v>
      </c>
      <c r="J61" s="24">
        <f>+I61/'Sabit Fiyatlar ve Dönüşümler'!I26*'Birleşik Ağaç'!E61</f>
        <v>5.9999999999999995E-4</v>
      </c>
      <c r="K61" s="34">
        <f t="shared" ref="K61:K62" si="10">+J61</f>
        <v>5.9999999999999995E-4</v>
      </c>
    </row>
    <row r="62" spans="1:12" x14ac:dyDescent="0.3">
      <c r="A62" t="s">
        <v>27</v>
      </c>
      <c r="B62">
        <v>3</v>
      </c>
      <c r="C62" t="s">
        <v>193</v>
      </c>
      <c r="D62" t="str">
        <f>+VLOOKUP(A62,'BOM Tanımları'!A106:E158,3,0)</f>
        <v>SARF</v>
      </c>
      <c r="E62" s="14">
        <f>+$E$56*'BOM Tanımları'!D119</f>
        <v>0.02</v>
      </c>
      <c r="F62" t="str">
        <f>+VLOOKUP(D62,'BOM Tanımları'!C106:G158,3,0)</f>
        <v>Adet</v>
      </c>
      <c r="G62" t="s">
        <v>19</v>
      </c>
      <c r="H62" t="s">
        <v>199</v>
      </c>
      <c r="I62" s="24">
        <f>+VLOOKUP(A62,'Sabit Fiyatlar ve Dönüşümler'!A19:C46,3,0)</f>
        <v>8</v>
      </c>
      <c r="J62" s="24">
        <f>+I62/'Sabit Fiyatlar ve Dönüşümler'!I27*'Birleşik Ağaç'!E62</f>
        <v>1.0666666666666667E-3</v>
      </c>
      <c r="K62" s="34">
        <f t="shared" si="10"/>
        <v>1.0666666666666667E-3</v>
      </c>
    </row>
    <row r="63" spans="1:12" x14ac:dyDescent="0.3">
      <c r="A63" t="s">
        <v>121</v>
      </c>
      <c r="B63">
        <v>3</v>
      </c>
      <c r="C63" t="s">
        <v>181</v>
      </c>
      <c r="D63" t="str">
        <f>+VLOOKUP(A63,'BOM Tanımları'!A107:E159,3,0)</f>
        <v>OPR</v>
      </c>
      <c r="E63" s="14">
        <v>0.2</v>
      </c>
      <c r="F63" t="str">
        <f>+VLOOKUP(D63,'BOM Tanımları'!C107:G159,3,0)</f>
        <v>DAK</v>
      </c>
      <c r="G63" t="s">
        <v>66</v>
      </c>
      <c r="H63" t="s">
        <v>139</v>
      </c>
      <c r="I63" s="22">
        <f>+'Sabit Fiyatlar ve Dönüşümler'!T12</f>
        <v>5.208333333333333</v>
      </c>
      <c r="J63" s="29">
        <f>+E63*'Sabit Fiyatlar ve Dönüşümler'!T12</f>
        <v>1.0416666666666667</v>
      </c>
      <c r="K63" s="34">
        <f>+J63/37</f>
        <v>2.8153153153153154E-2</v>
      </c>
    </row>
    <row r="64" spans="1:12" x14ac:dyDescent="0.3">
      <c r="J64" s="17" t="s">
        <v>181</v>
      </c>
      <c r="K64" s="24">
        <f>+SUM(K63,K60,K55,K52,K51,K43,K35,K32,K29,K18,K8,K57,K58,K16)</f>
        <v>1.0307927108927111</v>
      </c>
      <c r="L64" t="s">
        <v>205</v>
      </c>
    </row>
    <row r="65" spans="10:12" x14ac:dyDescent="0.3">
      <c r="J65" s="17" t="s">
        <v>179</v>
      </c>
      <c r="K65" s="24">
        <f>+K2-K64</f>
        <v>4.2446687161786656</v>
      </c>
      <c r="L65" t="s">
        <v>206</v>
      </c>
    </row>
    <row r="66" spans="10:12" x14ac:dyDescent="0.3">
      <c r="J66" s="17" t="s">
        <v>203</v>
      </c>
      <c r="K66" s="24">
        <f>+'Maliyet-fiyat'!D17</f>
        <v>0.11079635544635544</v>
      </c>
      <c r="L66" t="s">
        <v>207</v>
      </c>
    </row>
    <row r="67" spans="10:12" x14ac:dyDescent="0.3">
      <c r="J67" s="17" t="s">
        <v>182</v>
      </c>
      <c r="K67" s="24">
        <f>+(K64+K66+K65)*0.12</f>
        <v>0.64635093390212783</v>
      </c>
    </row>
    <row r="68" spans="10:12" x14ac:dyDescent="0.3">
      <c r="J68" s="17" t="s">
        <v>183</v>
      </c>
      <c r="K68" s="24">
        <f>+(K64+K66+K65)*0.1</f>
        <v>0.53862577825177327</v>
      </c>
    </row>
    <row r="69" spans="10:12" x14ac:dyDescent="0.3">
      <c r="J69" s="17" t="s">
        <v>184</v>
      </c>
      <c r="K69" s="24">
        <f>+SUM(K64:K68)*0.18</f>
        <v>1.182822209040894</v>
      </c>
    </row>
    <row r="70" spans="10:12" ht="15.6" x14ac:dyDescent="0.3">
      <c r="J70" s="37" t="s">
        <v>204</v>
      </c>
      <c r="K70" s="31">
        <f>+SUM(K64:K69)</f>
        <v>7.7540567037125268</v>
      </c>
    </row>
  </sheetData>
  <autoFilter ref="A1:K63"/>
  <pageMargins left="0.7" right="0.7" top="0.75" bottom="0.75" header="0.3" footer="0.3"/>
  <pageSetup paperSize="9" orientation="portrait" r:id="rId1"/>
  <ignoredErrors>
    <ignoredError sqref="K59:K60 K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showGridLines="0" topLeftCell="A49" zoomScale="87" zoomScaleNormal="87" workbookViewId="0">
      <selection activeCell="C63" sqref="C63"/>
    </sheetView>
  </sheetViews>
  <sheetFormatPr defaultRowHeight="14.4" x14ac:dyDescent="0.3"/>
  <cols>
    <col min="1" max="1" width="12.88671875" bestFit="1" customWidth="1"/>
    <col min="2" max="2" width="54.44140625" bestFit="1" customWidth="1"/>
    <col min="3" max="3" width="11.44140625" bestFit="1" customWidth="1"/>
    <col min="4" max="4" width="14.88671875" bestFit="1" customWidth="1"/>
    <col min="5" max="5" width="14.6640625" bestFit="1" customWidth="1"/>
    <col min="6" max="6" width="18" style="14" bestFit="1" customWidth="1"/>
    <col min="7" max="7" width="8.33203125" bestFit="1" customWidth="1"/>
  </cols>
  <sheetData>
    <row r="1" spans="1:7" ht="28.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5</v>
      </c>
      <c r="G1" s="3" t="s">
        <v>6</v>
      </c>
    </row>
    <row r="2" spans="1:7" x14ac:dyDescent="0.3">
      <c r="A2" s="4">
        <v>1</v>
      </c>
      <c r="B2" t="s">
        <v>7</v>
      </c>
      <c r="C2">
        <v>1</v>
      </c>
      <c r="D2" t="s">
        <v>8</v>
      </c>
      <c r="E2" t="s">
        <v>9</v>
      </c>
      <c r="F2" s="14">
        <v>1</v>
      </c>
      <c r="G2" t="s">
        <v>10</v>
      </c>
    </row>
    <row r="3" spans="1:7" x14ac:dyDescent="0.3">
      <c r="A3" s="1">
        <v>2</v>
      </c>
      <c r="B3" t="s">
        <v>11</v>
      </c>
      <c r="C3">
        <v>2</v>
      </c>
      <c r="D3" t="s">
        <v>12</v>
      </c>
      <c r="E3" t="s">
        <v>13</v>
      </c>
      <c r="F3" s="14">
        <v>1</v>
      </c>
      <c r="G3" t="s">
        <v>10</v>
      </c>
    </row>
    <row r="4" spans="1:7" x14ac:dyDescent="0.3">
      <c r="A4" s="7">
        <v>3</v>
      </c>
      <c r="B4" t="s">
        <v>20</v>
      </c>
      <c r="C4">
        <v>3</v>
      </c>
      <c r="D4" t="s">
        <v>25</v>
      </c>
      <c r="E4" t="s">
        <v>13</v>
      </c>
      <c r="F4" s="14" t="s">
        <v>115</v>
      </c>
      <c r="G4" t="s">
        <v>24</v>
      </c>
    </row>
    <row r="5" spans="1:7" x14ac:dyDescent="0.3">
      <c r="A5" s="8">
        <v>4</v>
      </c>
      <c r="B5" t="s">
        <v>31</v>
      </c>
      <c r="C5">
        <v>4</v>
      </c>
      <c r="D5" t="s">
        <v>30</v>
      </c>
      <c r="E5" t="s">
        <v>13</v>
      </c>
      <c r="F5" s="14">
        <v>95.272999999999996</v>
      </c>
      <c r="G5" t="s">
        <v>24</v>
      </c>
    </row>
    <row r="6" spans="1:7" x14ac:dyDescent="0.3">
      <c r="A6" s="9">
        <v>5</v>
      </c>
      <c r="B6" t="s">
        <v>36</v>
      </c>
      <c r="C6">
        <v>5</v>
      </c>
      <c r="D6" t="s">
        <v>30</v>
      </c>
      <c r="E6" t="s">
        <v>13</v>
      </c>
      <c r="F6" s="12">
        <v>0.2</v>
      </c>
      <c r="G6" t="s">
        <v>35</v>
      </c>
    </row>
    <row r="7" spans="1:7" x14ac:dyDescent="0.3">
      <c r="A7" s="11">
        <v>6</v>
      </c>
      <c r="B7" t="s">
        <v>56</v>
      </c>
      <c r="C7">
        <v>6</v>
      </c>
      <c r="D7" t="s">
        <v>30</v>
      </c>
      <c r="E7" t="s">
        <v>13</v>
      </c>
      <c r="F7" s="12">
        <v>1</v>
      </c>
      <c r="G7" t="s">
        <v>35</v>
      </c>
    </row>
    <row r="8" spans="1:7" x14ac:dyDescent="0.3">
      <c r="A8" s="10">
        <v>7</v>
      </c>
      <c r="B8" t="s">
        <v>58</v>
      </c>
      <c r="C8">
        <v>7</v>
      </c>
      <c r="D8" t="s">
        <v>30</v>
      </c>
      <c r="E8" t="s">
        <v>13</v>
      </c>
      <c r="F8" s="12">
        <v>1</v>
      </c>
      <c r="G8" t="s">
        <v>35</v>
      </c>
    </row>
    <row r="9" spans="1:7" x14ac:dyDescent="0.3">
      <c r="A9" s="10">
        <v>8</v>
      </c>
      <c r="B9" t="s">
        <v>59</v>
      </c>
      <c r="C9">
        <v>7</v>
      </c>
      <c r="D9" t="s">
        <v>14</v>
      </c>
      <c r="E9" t="s">
        <v>14</v>
      </c>
      <c r="F9" s="12">
        <v>15</v>
      </c>
    </row>
    <row r="10" spans="1:7" x14ac:dyDescent="0.3">
      <c r="A10" s="11">
        <v>9</v>
      </c>
      <c r="B10" t="s">
        <v>48</v>
      </c>
      <c r="C10">
        <v>6</v>
      </c>
      <c r="D10" t="s">
        <v>15</v>
      </c>
      <c r="E10" t="s">
        <v>16</v>
      </c>
      <c r="F10" s="12">
        <v>0.55000000000000004</v>
      </c>
      <c r="G10" t="s">
        <v>17</v>
      </c>
    </row>
    <row r="11" spans="1:7" x14ac:dyDescent="0.3">
      <c r="A11" s="11">
        <v>10</v>
      </c>
      <c r="B11" t="s">
        <v>49</v>
      </c>
      <c r="C11">
        <v>6</v>
      </c>
      <c r="D11" t="s">
        <v>15</v>
      </c>
      <c r="E11" t="s">
        <v>16</v>
      </c>
      <c r="F11" s="12">
        <v>0.21</v>
      </c>
      <c r="G11" t="s">
        <v>17</v>
      </c>
    </row>
    <row r="12" spans="1:7" x14ac:dyDescent="0.3">
      <c r="A12" s="11">
        <v>11</v>
      </c>
      <c r="B12" t="s">
        <v>50</v>
      </c>
      <c r="C12">
        <v>6</v>
      </c>
      <c r="D12" t="s">
        <v>15</v>
      </c>
      <c r="E12" t="s">
        <v>16</v>
      </c>
      <c r="F12" s="12">
        <v>1.5</v>
      </c>
      <c r="G12" t="s">
        <v>17</v>
      </c>
    </row>
    <row r="13" spans="1:7" x14ac:dyDescent="0.3">
      <c r="A13" s="11">
        <v>12</v>
      </c>
      <c r="B13" t="s">
        <v>51</v>
      </c>
      <c r="C13">
        <v>6</v>
      </c>
      <c r="D13" t="s">
        <v>15</v>
      </c>
      <c r="E13" t="s">
        <v>16</v>
      </c>
      <c r="F13" s="12">
        <v>0.25</v>
      </c>
      <c r="G13" t="s">
        <v>17</v>
      </c>
    </row>
    <row r="14" spans="1:7" x14ac:dyDescent="0.3">
      <c r="A14" s="11">
        <v>13</v>
      </c>
      <c r="B14" t="s">
        <v>52</v>
      </c>
      <c r="C14">
        <v>6</v>
      </c>
      <c r="D14" t="s">
        <v>15</v>
      </c>
      <c r="E14" t="s">
        <v>16</v>
      </c>
      <c r="F14" s="12">
        <v>0.5</v>
      </c>
      <c r="G14" t="s">
        <v>17</v>
      </c>
    </row>
    <row r="15" spans="1:7" ht="15" x14ac:dyDescent="0.25">
      <c r="A15" s="11">
        <v>14</v>
      </c>
      <c r="B15" t="s">
        <v>53</v>
      </c>
      <c r="C15">
        <v>6</v>
      </c>
      <c r="D15" t="s">
        <v>46</v>
      </c>
      <c r="E15" t="s">
        <v>16</v>
      </c>
      <c r="F15" s="12">
        <v>0.34499999999999997</v>
      </c>
      <c r="G15" t="s">
        <v>47</v>
      </c>
    </row>
    <row r="16" spans="1:7" x14ac:dyDescent="0.3">
      <c r="A16" s="11">
        <v>15</v>
      </c>
      <c r="B16" t="s">
        <v>54</v>
      </c>
      <c r="C16">
        <v>6</v>
      </c>
      <c r="D16" t="s">
        <v>46</v>
      </c>
      <c r="E16" t="s">
        <v>16</v>
      </c>
      <c r="F16" s="12">
        <v>7.6799999999999993E-2</v>
      </c>
      <c r="G16" t="s">
        <v>47</v>
      </c>
    </row>
    <row r="17" spans="1:7" x14ac:dyDescent="0.3">
      <c r="A17" s="11">
        <v>16</v>
      </c>
      <c r="B17" t="s">
        <v>55</v>
      </c>
      <c r="C17">
        <v>6</v>
      </c>
      <c r="D17" t="s">
        <v>46</v>
      </c>
      <c r="E17" t="s">
        <v>16</v>
      </c>
      <c r="F17" s="12">
        <v>0.90890000000000004</v>
      </c>
      <c r="G17" t="s">
        <v>47</v>
      </c>
    </row>
    <row r="18" spans="1:7" x14ac:dyDescent="0.3">
      <c r="A18" s="11">
        <v>17</v>
      </c>
      <c r="B18" t="s">
        <v>57</v>
      </c>
      <c r="C18">
        <v>6</v>
      </c>
      <c r="D18" t="s">
        <v>14</v>
      </c>
      <c r="E18" t="s">
        <v>14</v>
      </c>
      <c r="F18" s="12"/>
    </row>
    <row r="19" spans="1:7" x14ac:dyDescent="0.3">
      <c r="A19" s="11">
        <v>18</v>
      </c>
      <c r="B19" t="s">
        <v>60</v>
      </c>
      <c r="C19">
        <v>6</v>
      </c>
      <c r="D19" t="s">
        <v>15</v>
      </c>
      <c r="E19" t="s">
        <v>16</v>
      </c>
      <c r="F19" s="12">
        <v>1</v>
      </c>
      <c r="G19" t="s">
        <v>17</v>
      </c>
    </row>
    <row r="20" spans="1:7" x14ac:dyDescent="0.3">
      <c r="A20" s="11">
        <v>19</v>
      </c>
      <c r="B20" t="s">
        <v>61</v>
      </c>
      <c r="C20">
        <v>6</v>
      </c>
      <c r="D20" t="s">
        <v>15</v>
      </c>
      <c r="E20" t="s">
        <v>16</v>
      </c>
      <c r="F20" s="12">
        <v>0.3</v>
      </c>
      <c r="G20" t="s">
        <v>17</v>
      </c>
    </row>
    <row r="21" spans="1:7" x14ac:dyDescent="0.3">
      <c r="A21" s="11">
        <v>20</v>
      </c>
      <c r="B21" t="s">
        <v>62</v>
      </c>
      <c r="C21">
        <v>6</v>
      </c>
      <c r="D21" t="s">
        <v>14</v>
      </c>
      <c r="E21" t="s">
        <v>14</v>
      </c>
      <c r="F21" s="12"/>
    </row>
    <row r="22" spans="1:7" x14ac:dyDescent="0.3">
      <c r="A22" s="11">
        <v>21</v>
      </c>
      <c r="B22" t="s">
        <v>63</v>
      </c>
      <c r="C22">
        <v>6</v>
      </c>
      <c r="D22" t="s">
        <v>15</v>
      </c>
      <c r="E22" t="s">
        <v>16</v>
      </c>
      <c r="F22" s="12">
        <v>0.45</v>
      </c>
      <c r="G22" t="s">
        <v>17</v>
      </c>
    </row>
    <row r="23" spans="1:7" x14ac:dyDescent="0.3">
      <c r="A23" s="11">
        <v>22</v>
      </c>
      <c r="B23" t="s">
        <v>64</v>
      </c>
      <c r="C23">
        <v>6</v>
      </c>
      <c r="D23" t="s">
        <v>15</v>
      </c>
      <c r="E23" t="s">
        <v>16</v>
      </c>
      <c r="F23" s="12">
        <v>0.5</v>
      </c>
      <c r="G23" t="s">
        <v>47</v>
      </c>
    </row>
    <row r="24" spans="1:7" x14ac:dyDescent="0.3">
      <c r="A24" s="11">
        <v>23</v>
      </c>
      <c r="B24" t="s">
        <v>65</v>
      </c>
      <c r="C24">
        <v>6</v>
      </c>
      <c r="D24" t="s">
        <v>14</v>
      </c>
      <c r="E24" t="s">
        <v>14</v>
      </c>
      <c r="F24" s="12"/>
    </row>
    <row r="25" spans="1:7" x14ac:dyDescent="0.3">
      <c r="A25" s="9">
        <v>24</v>
      </c>
      <c r="B25" t="s">
        <v>37</v>
      </c>
      <c r="C25">
        <v>5</v>
      </c>
      <c r="D25" t="s">
        <v>30</v>
      </c>
      <c r="E25" t="s">
        <v>13</v>
      </c>
      <c r="F25" s="12">
        <v>0.8</v>
      </c>
      <c r="G25" t="s">
        <v>35</v>
      </c>
    </row>
    <row r="26" spans="1:7" x14ac:dyDescent="0.3">
      <c r="A26" s="11">
        <v>25</v>
      </c>
      <c r="B26" t="s">
        <v>56</v>
      </c>
      <c r="C26">
        <v>6</v>
      </c>
      <c r="D26" t="s">
        <v>30</v>
      </c>
      <c r="E26" t="s">
        <v>13</v>
      </c>
      <c r="F26" s="5">
        <v>1</v>
      </c>
      <c r="G26" t="s">
        <v>35</v>
      </c>
    </row>
    <row r="27" spans="1:7" x14ac:dyDescent="0.3">
      <c r="A27" s="10">
        <v>26</v>
      </c>
      <c r="B27" t="s">
        <v>58</v>
      </c>
      <c r="C27">
        <v>7</v>
      </c>
      <c r="D27" t="s">
        <v>30</v>
      </c>
      <c r="E27" t="s">
        <v>13</v>
      </c>
      <c r="F27" s="5">
        <v>1</v>
      </c>
      <c r="G27" t="s">
        <v>35</v>
      </c>
    </row>
    <row r="28" spans="1:7" x14ac:dyDescent="0.3">
      <c r="A28" s="10">
        <v>27</v>
      </c>
      <c r="B28" t="s">
        <v>59</v>
      </c>
      <c r="C28">
        <v>7</v>
      </c>
      <c r="D28" t="s">
        <v>14</v>
      </c>
      <c r="E28" t="s">
        <v>14</v>
      </c>
      <c r="F28" s="5"/>
    </row>
    <row r="29" spans="1:7" x14ac:dyDescent="0.3">
      <c r="A29" s="11">
        <v>28</v>
      </c>
      <c r="B29" t="s">
        <v>67</v>
      </c>
      <c r="C29">
        <v>6</v>
      </c>
      <c r="D29" t="s">
        <v>15</v>
      </c>
      <c r="E29" t="s">
        <v>16</v>
      </c>
      <c r="F29" s="5">
        <v>0.55000000000000004</v>
      </c>
      <c r="G29" t="s">
        <v>17</v>
      </c>
    </row>
    <row r="30" spans="1:7" x14ac:dyDescent="0.3">
      <c r="A30" s="11">
        <v>29</v>
      </c>
      <c r="B30" t="s">
        <v>49</v>
      </c>
      <c r="C30">
        <v>6</v>
      </c>
      <c r="D30" t="s">
        <v>15</v>
      </c>
      <c r="E30" t="s">
        <v>16</v>
      </c>
      <c r="F30" s="5">
        <v>0.21</v>
      </c>
      <c r="G30" t="s">
        <v>17</v>
      </c>
    </row>
    <row r="31" spans="1:7" x14ac:dyDescent="0.3">
      <c r="A31" s="11">
        <v>30</v>
      </c>
      <c r="B31" t="s">
        <v>68</v>
      </c>
      <c r="C31">
        <v>6</v>
      </c>
      <c r="D31" t="s">
        <v>15</v>
      </c>
      <c r="E31" t="s">
        <v>16</v>
      </c>
      <c r="F31" s="5">
        <v>1</v>
      </c>
      <c r="G31" t="s">
        <v>17</v>
      </c>
    </row>
    <row r="32" spans="1:7" x14ac:dyDescent="0.3">
      <c r="A32" s="11">
        <v>31</v>
      </c>
      <c r="B32" t="s">
        <v>52</v>
      </c>
      <c r="C32">
        <v>6</v>
      </c>
      <c r="D32" t="s">
        <v>15</v>
      </c>
      <c r="E32" t="s">
        <v>16</v>
      </c>
      <c r="F32" s="5">
        <v>0.5</v>
      </c>
      <c r="G32" t="s">
        <v>17</v>
      </c>
    </row>
    <row r="33" spans="1:7" x14ac:dyDescent="0.3">
      <c r="A33" s="11">
        <v>32</v>
      </c>
      <c r="B33" t="s">
        <v>69</v>
      </c>
      <c r="C33">
        <v>6</v>
      </c>
      <c r="D33" t="s">
        <v>46</v>
      </c>
      <c r="E33" t="s">
        <v>16</v>
      </c>
      <c r="F33" s="5">
        <v>1.167E-2</v>
      </c>
      <c r="G33" t="s">
        <v>47</v>
      </c>
    </row>
    <row r="34" spans="1:7" x14ac:dyDescent="0.3">
      <c r="A34" s="11">
        <v>33</v>
      </c>
      <c r="B34" t="s">
        <v>70</v>
      </c>
      <c r="C34">
        <v>6</v>
      </c>
      <c r="D34" t="s">
        <v>46</v>
      </c>
      <c r="E34" t="s">
        <v>16</v>
      </c>
      <c r="F34" s="5">
        <v>6.5599999999999999E-3</v>
      </c>
      <c r="G34" t="s">
        <v>47</v>
      </c>
    </row>
    <row r="35" spans="1:7" x14ac:dyDescent="0.3">
      <c r="A35" s="11">
        <v>34</v>
      </c>
      <c r="B35" t="s">
        <v>71</v>
      </c>
      <c r="C35">
        <v>6</v>
      </c>
      <c r="D35" t="s">
        <v>46</v>
      </c>
      <c r="E35" t="s">
        <v>16</v>
      </c>
      <c r="F35" s="5">
        <v>1.8589999999999999E-2</v>
      </c>
      <c r="G35" t="s">
        <v>47</v>
      </c>
    </row>
    <row r="36" spans="1:7" x14ac:dyDescent="0.3">
      <c r="A36" s="11">
        <v>35</v>
      </c>
      <c r="B36" t="s">
        <v>57</v>
      </c>
      <c r="C36">
        <v>6</v>
      </c>
      <c r="D36" t="s">
        <v>14</v>
      </c>
      <c r="E36" t="s">
        <v>14</v>
      </c>
      <c r="F36"/>
    </row>
    <row r="37" spans="1:7" x14ac:dyDescent="0.3">
      <c r="A37" s="11">
        <v>36</v>
      </c>
      <c r="B37" t="s">
        <v>63</v>
      </c>
      <c r="C37">
        <v>6</v>
      </c>
      <c r="D37" t="s">
        <v>15</v>
      </c>
      <c r="E37" t="s">
        <v>16</v>
      </c>
      <c r="F37" s="5">
        <v>0.45</v>
      </c>
      <c r="G37" t="s">
        <v>17</v>
      </c>
    </row>
    <row r="38" spans="1:7" x14ac:dyDescent="0.3">
      <c r="A38" s="11">
        <v>37</v>
      </c>
      <c r="B38" t="s">
        <v>64</v>
      </c>
      <c r="C38">
        <v>6</v>
      </c>
      <c r="D38" t="s">
        <v>15</v>
      </c>
      <c r="E38" t="s">
        <v>16</v>
      </c>
      <c r="F38" s="5">
        <v>0.5</v>
      </c>
      <c r="G38" t="s">
        <v>47</v>
      </c>
    </row>
    <row r="39" spans="1:7" x14ac:dyDescent="0.3">
      <c r="A39" s="11">
        <v>38</v>
      </c>
      <c r="B39" t="s">
        <v>65</v>
      </c>
      <c r="C39">
        <v>6</v>
      </c>
      <c r="D39" t="s">
        <v>14</v>
      </c>
      <c r="E39" t="s">
        <v>14</v>
      </c>
      <c r="F39" s="12"/>
    </row>
    <row r="40" spans="1:7" x14ac:dyDescent="0.3">
      <c r="A40" s="9">
        <v>39</v>
      </c>
      <c r="B40" t="s">
        <v>38</v>
      </c>
      <c r="C40">
        <v>5</v>
      </c>
      <c r="D40" t="s">
        <v>14</v>
      </c>
      <c r="E40" t="s">
        <v>14</v>
      </c>
      <c r="F40" s="12">
        <v>15</v>
      </c>
      <c r="G40" t="s">
        <v>66</v>
      </c>
    </row>
    <row r="41" spans="1:7" x14ac:dyDescent="0.3">
      <c r="A41" s="8">
        <v>40</v>
      </c>
      <c r="B41" t="s">
        <v>32</v>
      </c>
      <c r="C41">
        <v>4</v>
      </c>
      <c r="D41" t="s">
        <v>30</v>
      </c>
      <c r="E41" t="s">
        <v>13</v>
      </c>
      <c r="F41" s="14">
        <v>169.03</v>
      </c>
      <c r="G41" t="s">
        <v>24</v>
      </c>
    </row>
    <row r="42" spans="1:7" x14ac:dyDescent="0.3">
      <c r="A42" s="9">
        <v>41</v>
      </c>
      <c r="B42" t="s">
        <v>43</v>
      </c>
      <c r="C42">
        <v>5</v>
      </c>
      <c r="D42" t="s">
        <v>30</v>
      </c>
      <c r="E42" t="s">
        <v>13</v>
      </c>
      <c r="F42" s="12">
        <v>0.15</v>
      </c>
      <c r="G42" t="s">
        <v>35</v>
      </c>
    </row>
    <row r="43" spans="1:7" x14ac:dyDescent="0.3">
      <c r="A43" s="11">
        <v>42</v>
      </c>
      <c r="B43" t="s">
        <v>72</v>
      </c>
      <c r="C43">
        <v>6</v>
      </c>
      <c r="D43" t="s">
        <v>30</v>
      </c>
      <c r="E43" t="s">
        <v>13</v>
      </c>
      <c r="F43" s="12">
        <v>1</v>
      </c>
      <c r="G43" t="s">
        <v>35</v>
      </c>
    </row>
    <row r="44" spans="1:7" x14ac:dyDescent="0.3">
      <c r="A44" s="10">
        <v>43</v>
      </c>
      <c r="B44" t="s">
        <v>73</v>
      </c>
      <c r="C44">
        <v>7</v>
      </c>
      <c r="D44" t="s">
        <v>30</v>
      </c>
      <c r="E44" t="s">
        <v>13</v>
      </c>
      <c r="F44" s="12">
        <v>1</v>
      </c>
      <c r="G44" t="s">
        <v>35</v>
      </c>
    </row>
    <row r="45" spans="1:7" x14ac:dyDescent="0.3">
      <c r="A45" s="10">
        <v>44</v>
      </c>
      <c r="B45" t="s">
        <v>74</v>
      </c>
      <c r="C45">
        <v>7</v>
      </c>
      <c r="D45" t="s">
        <v>14</v>
      </c>
      <c r="E45" t="s">
        <v>14</v>
      </c>
      <c r="F45" s="12"/>
    </row>
    <row r="46" spans="1:7" x14ac:dyDescent="0.3">
      <c r="A46" s="11">
        <v>45</v>
      </c>
      <c r="B46" t="s">
        <v>75</v>
      </c>
      <c r="C46">
        <v>6</v>
      </c>
      <c r="D46" t="s">
        <v>15</v>
      </c>
      <c r="E46" t="s">
        <v>16</v>
      </c>
      <c r="F46" s="12">
        <v>1</v>
      </c>
      <c r="G46" t="s">
        <v>17</v>
      </c>
    </row>
    <row r="47" spans="1:7" x14ac:dyDescent="0.3">
      <c r="A47" s="11">
        <v>46</v>
      </c>
      <c r="B47" t="s">
        <v>76</v>
      </c>
      <c r="C47">
        <v>6</v>
      </c>
      <c r="D47" t="s">
        <v>15</v>
      </c>
      <c r="E47" t="s">
        <v>16</v>
      </c>
      <c r="F47" s="12">
        <v>0.5</v>
      </c>
      <c r="G47" t="s">
        <v>17</v>
      </c>
    </row>
    <row r="48" spans="1:7" x14ac:dyDescent="0.3">
      <c r="A48" s="11">
        <v>47</v>
      </c>
      <c r="B48" t="s">
        <v>51</v>
      </c>
      <c r="C48">
        <v>6</v>
      </c>
      <c r="D48" t="s">
        <v>15</v>
      </c>
      <c r="E48" t="s">
        <v>16</v>
      </c>
      <c r="F48" s="12">
        <v>0.25</v>
      </c>
      <c r="G48" t="s">
        <v>17</v>
      </c>
    </row>
    <row r="49" spans="1:7" x14ac:dyDescent="0.3">
      <c r="A49" s="11">
        <v>48</v>
      </c>
      <c r="B49" t="s">
        <v>64</v>
      </c>
      <c r="C49">
        <v>6</v>
      </c>
      <c r="D49" t="s">
        <v>15</v>
      </c>
      <c r="E49" t="s">
        <v>16</v>
      </c>
      <c r="F49" s="12">
        <v>0.5</v>
      </c>
      <c r="G49" t="s">
        <v>47</v>
      </c>
    </row>
    <row r="50" spans="1:7" x14ac:dyDescent="0.3">
      <c r="A50" s="11">
        <v>49</v>
      </c>
      <c r="B50" t="s">
        <v>77</v>
      </c>
      <c r="C50">
        <v>6</v>
      </c>
      <c r="D50" t="s">
        <v>15</v>
      </c>
      <c r="E50" t="s">
        <v>16</v>
      </c>
      <c r="F50" s="12">
        <v>1.2</v>
      </c>
      <c r="G50" t="s">
        <v>17</v>
      </c>
    </row>
    <row r="51" spans="1:7" x14ac:dyDescent="0.3">
      <c r="A51" s="11">
        <v>50</v>
      </c>
      <c r="B51" t="s">
        <v>57</v>
      </c>
      <c r="C51">
        <v>6</v>
      </c>
      <c r="D51" t="s">
        <v>14</v>
      </c>
      <c r="E51" t="s">
        <v>14</v>
      </c>
      <c r="F51" s="12"/>
    </row>
    <row r="52" spans="1:7" x14ac:dyDescent="0.3">
      <c r="A52" s="11">
        <v>51</v>
      </c>
      <c r="B52" t="s">
        <v>62</v>
      </c>
      <c r="C52">
        <v>6</v>
      </c>
      <c r="D52" t="s">
        <v>14</v>
      </c>
      <c r="E52" t="s">
        <v>14</v>
      </c>
      <c r="F52" s="12"/>
    </row>
    <row r="53" spans="1:7" x14ac:dyDescent="0.3">
      <c r="A53" s="9">
        <v>52</v>
      </c>
      <c r="B53" t="s">
        <v>40</v>
      </c>
      <c r="C53">
        <v>5</v>
      </c>
      <c r="D53" t="s">
        <v>39</v>
      </c>
      <c r="E53" t="s">
        <v>16</v>
      </c>
      <c r="F53" s="12">
        <v>3.5000000000000003E-2</v>
      </c>
      <c r="G53" t="s">
        <v>35</v>
      </c>
    </row>
    <row r="54" spans="1:7" x14ac:dyDescent="0.3">
      <c r="A54" s="9">
        <v>53</v>
      </c>
      <c r="B54" t="s">
        <v>41</v>
      </c>
      <c r="C54">
        <v>5</v>
      </c>
      <c r="D54" t="s">
        <v>39</v>
      </c>
      <c r="E54" t="s">
        <v>16</v>
      </c>
      <c r="F54" s="12">
        <v>7.0999999999999994E-2</v>
      </c>
      <c r="G54" t="s">
        <v>35</v>
      </c>
    </row>
    <row r="55" spans="1:7" x14ac:dyDescent="0.3">
      <c r="A55" s="9">
        <v>54</v>
      </c>
      <c r="B55" t="s">
        <v>42</v>
      </c>
      <c r="C55">
        <v>5</v>
      </c>
      <c r="D55" t="s">
        <v>39</v>
      </c>
      <c r="E55" t="s">
        <v>16</v>
      </c>
      <c r="F55" s="12">
        <v>0.21199999999999999</v>
      </c>
      <c r="G55" t="s">
        <v>35</v>
      </c>
    </row>
    <row r="56" spans="1:7" x14ac:dyDescent="0.3">
      <c r="A56" s="9">
        <v>55</v>
      </c>
      <c r="B56" t="s">
        <v>42</v>
      </c>
      <c r="C56">
        <v>5</v>
      </c>
      <c r="D56" t="s">
        <v>39</v>
      </c>
      <c r="E56" t="s">
        <v>16</v>
      </c>
      <c r="F56" s="12">
        <v>0.248</v>
      </c>
      <c r="G56" t="s">
        <v>35</v>
      </c>
    </row>
    <row r="57" spans="1:7" x14ac:dyDescent="0.3">
      <c r="A57" s="9">
        <v>56</v>
      </c>
      <c r="B57" t="s">
        <v>42</v>
      </c>
      <c r="C57">
        <v>5</v>
      </c>
      <c r="D57" t="s">
        <v>39</v>
      </c>
      <c r="E57" t="s">
        <v>16</v>
      </c>
      <c r="F57" s="12">
        <v>0.28299999999999997</v>
      </c>
      <c r="G57" t="s">
        <v>35</v>
      </c>
    </row>
    <row r="58" spans="1:7" x14ac:dyDescent="0.3">
      <c r="A58" s="9">
        <v>57</v>
      </c>
      <c r="B58" t="s">
        <v>44</v>
      </c>
      <c r="C58">
        <v>5</v>
      </c>
      <c r="D58" t="s">
        <v>14</v>
      </c>
      <c r="E58" t="s">
        <v>14</v>
      </c>
      <c r="F58" s="12"/>
    </row>
    <row r="59" spans="1:7" x14ac:dyDescent="0.3">
      <c r="A59" s="8">
        <v>58</v>
      </c>
      <c r="B59" t="s">
        <v>33</v>
      </c>
      <c r="C59">
        <v>4</v>
      </c>
      <c r="D59" t="s">
        <v>30</v>
      </c>
      <c r="E59" t="s">
        <v>13</v>
      </c>
      <c r="F59" s="14">
        <v>1.4550000000000001</v>
      </c>
      <c r="G59" t="s">
        <v>24</v>
      </c>
    </row>
    <row r="60" spans="1:7" x14ac:dyDescent="0.3">
      <c r="A60" s="9">
        <v>59</v>
      </c>
      <c r="B60" t="s">
        <v>45</v>
      </c>
      <c r="C60">
        <v>5</v>
      </c>
      <c r="D60" t="s">
        <v>30</v>
      </c>
      <c r="E60" t="s">
        <v>13</v>
      </c>
      <c r="F60" s="12">
        <v>1</v>
      </c>
      <c r="G60" t="s">
        <v>35</v>
      </c>
    </row>
    <row r="61" spans="1:7" x14ac:dyDescent="0.3">
      <c r="A61" s="9">
        <v>60</v>
      </c>
      <c r="B61" t="s">
        <v>38</v>
      </c>
      <c r="C61">
        <v>5</v>
      </c>
      <c r="D61" t="s">
        <v>14</v>
      </c>
      <c r="E61" t="s">
        <v>14</v>
      </c>
      <c r="F61" s="12"/>
    </row>
    <row r="62" spans="1:7" x14ac:dyDescent="0.3">
      <c r="A62" s="8">
        <v>61</v>
      </c>
      <c r="B62" t="s">
        <v>34</v>
      </c>
      <c r="C62">
        <v>4</v>
      </c>
      <c r="D62" t="s">
        <v>14</v>
      </c>
      <c r="E62" t="s">
        <v>14</v>
      </c>
    </row>
    <row r="63" spans="1:7" x14ac:dyDescent="0.3">
      <c r="A63" s="7">
        <v>62</v>
      </c>
      <c r="B63" t="s">
        <v>21</v>
      </c>
      <c r="C63">
        <v>3</v>
      </c>
      <c r="D63" t="s">
        <v>26</v>
      </c>
      <c r="E63" t="s">
        <v>13</v>
      </c>
      <c r="F63" s="14">
        <v>99.272999999999996</v>
      </c>
      <c r="G63" t="s">
        <v>24</v>
      </c>
    </row>
    <row r="64" spans="1:7" x14ac:dyDescent="0.3">
      <c r="A64" s="8">
        <v>63</v>
      </c>
      <c r="B64" t="s">
        <v>78</v>
      </c>
      <c r="C64">
        <v>4</v>
      </c>
      <c r="D64" t="s">
        <v>30</v>
      </c>
      <c r="E64" t="s">
        <v>13</v>
      </c>
      <c r="F64" s="14">
        <v>0.2</v>
      </c>
      <c r="G64" t="s">
        <v>35</v>
      </c>
    </row>
    <row r="65" spans="1:7" x14ac:dyDescent="0.3">
      <c r="A65" s="9">
        <v>64</v>
      </c>
      <c r="B65" t="s">
        <v>82</v>
      </c>
      <c r="C65">
        <v>5</v>
      </c>
      <c r="D65" t="s">
        <v>30</v>
      </c>
      <c r="E65" t="s">
        <v>13</v>
      </c>
      <c r="F65" s="12">
        <v>1</v>
      </c>
      <c r="G65" t="s">
        <v>35</v>
      </c>
    </row>
    <row r="66" spans="1:7" x14ac:dyDescent="0.3">
      <c r="A66" s="11">
        <v>65</v>
      </c>
      <c r="B66" t="s">
        <v>83</v>
      </c>
      <c r="C66">
        <v>6</v>
      </c>
      <c r="D66" t="s">
        <v>30</v>
      </c>
      <c r="E66" t="s">
        <v>13</v>
      </c>
      <c r="F66" s="12">
        <v>1</v>
      </c>
      <c r="G66" t="s">
        <v>35</v>
      </c>
    </row>
    <row r="67" spans="1:7" x14ac:dyDescent="0.3">
      <c r="A67" s="11">
        <v>66</v>
      </c>
      <c r="B67" t="s">
        <v>84</v>
      </c>
      <c r="C67">
        <v>6</v>
      </c>
      <c r="D67" t="s">
        <v>14</v>
      </c>
      <c r="E67" t="s">
        <v>14</v>
      </c>
      <c r="F67" s="12"/>
    </row>
    <row r="68" spans="1:7" x14ac:dyDescent="0.3">
      <c r="A68" s="9">
        <v>67</v>
      </c>
      <c r="B68" t="s">
        <v>95</v>
      </c>
      <c r="C68">
        <v>5</v>
      </c>
      <c r="D68" t="s">
        <v>15</v>
      </c>
      <c r="E68" t="s">
        <v>16</v>
      </c>
      <c r="F68" s="12">
        <v>0.55000000000000004</v>
      </c>
      <c r="G68" t="s">
        <v>17</v>
      </c>
    </row>
    <row r="69" spans="1:7" x14ac:dyDescent="0.3">
      <c r="A69" s="9">
        <v>68</v>
      </c>
      <c r="B69" t="s">
        <v>96</v>
      </c>
      <c r="C69">
        <v>5</v>
      </c>
      <c r="D69" t="s">
        <v>15</v>
      </c>
      <c r="E69" t="s">
        <v>16</v>
      </c>
      <c r="F69" s="12">
        <v>0.21</v>
      </c>
      <c r="G69" t="s">
        <v>17</v>
      </c>
    </row>
    <row r="70" spans="1:7" x14ac:dyDescent="0.3">
      <c r="A70" s="9">
        <v>69</v>
      </c>
      <c r="B70" t="s">
        <v>97</v>
      </c>
      <c r="C70">
        <v>5</v>
      </c>
      <c r="D70" t="s">
        <v>15</v>
      </c>
      <c r="E70" t="s">
        <v>16</v>
      </c>
      <c r="F70" s="12">
        <v>1</v>
      </c>
      <c r="G70" t="s">
        <v>17</v>
      </c>
    </row>
    <row r="71" spans="1:7" x14ac:dyDescent="0.3">
      <c r="A71" s="9">
        <v>70</v>
      </c>
      <c r="B71" t="s">
        <v>98</v>
      </c>
      <c r="C71">
        <v>5</v>
      </c>
      <c r="D71" t="s">
        <v>15</v>
      </c>
      <c r="E71" t="s">
        <v>16</v>
      </c>
      <c r="F71" s="12">
        <v>1</v>
      </c>
      <c r="G71" t="s">
        <v>17</v>
      </c>
    </row>
    <row r="72" spans="1:7" x14ac:dyDescent="0.3">
      <c r="A72" s="9">
        <v>71</v>
      </c>
      <c r="B72" t="s">
        <v>99</v>
      </c>
      <c r="C72">
        <v>5</v>
      </c>
      <c r="D72" t="s">
        <v>46</v>
      </c>
      <c r="E72" t="s">
        <v>16</v>
      </c>
      <c r="F72" s="12">
        <v>0.1091</v>
      </c>
      <c r="G72" t="s">
        <v>47</v>
      </c>
    </row>
    <row r="73" spans="1:7" x14ac:dyDescent="0.3">
      <c r="A73" s="9">
        <v>72</v>
      </c>
      <c r="B73" t="s">
        <v>100</v>
      </c>
      <c r="C73">
        <v>5</v>
      </c>
      <c r="D73" t="s">
        <v>46</v>
      </c>
      <c r="E73" t="s">
        <v>16</v>
      </c>
      <c r="F73" s="12">
        <v>8.94E-3</v>
      </c>
      <c r="G73" t="s">
        <v>47</v>
      </c>
    </row>
    <row r="74" spans="1:7" x14ac:dyDescent="0.3">
      <c r="A74" s="9">
        <v>73</v>
      </c>
      <c r="B74" t="s">
        <v>101</v>
      </c>
      <c r="C74">
        <v>5</v>
      </c>
      <c r="D74" t="s">
        <v>46</v>
      </c>
      <c r="E74" t="s">
        <v>16</v>
      </c>
      <c r="F74" s="12">
        <v>2.427E-2</v>
      </c>
      <c r="G74" t="s">
        <v>47</v>
      </c>
    </row>
    <row r="75" spans="1:7" x14ac:dyDescent="0.3">
      <c r="A75" s="9">
        <v>74</v>
      </c>
      <c r="B75" t="s">
        <v>102</v>
      </c>
      <c r="C75">
        <v>5</v>
      </c>
      <c r="D75" t="s">
        <v>14</v>
      </c>
      <c r="E75" t="s">
        <v>14</v>
      </c>
      <c r="F75" s="12"/>
    </row>
    <row r="76" spans="1:7" x14ac:dyDescent="0.3">
      <c r="A76" s="9">
        <v>75</v>
      </c>
      <c r="B76" t="s">
        <v>103</v>
      </c>
      <c r="C76">
        <v>5</v>
      </c>
      <c r="D76" t="s">
        <v>15</v>
      </c>
      <c r="E76" t="s">
        <v>16</v>
      </c>
      <c r="F76" s="12">
        <v>0.5</v>
      </c>
      <c r="G76" t="s">
        <v>47</v>
      </c>
    </row>
    <row r="77" spans="1:7" x14ac:dyDescent="0.3">
      <c r="A77" s="9">
        <v>76</v>
      </c>
      <c r="B77" t="s">
        <v>104</v>
      </c>
      <c r="C77">
        <v>5</v>
      </c>
      <c r="D77" t="s">
        <v>15</v>
      </c>
      <c r="E77" t="s">
        <v>16</v>
      </c>
      <c r="F77" s="12">
        <v>0.35</v>
      </c>
      <c r="G77" t="s">
        <v>17</v>
      </c>
    </row>
    <row r="78" spans="1:7" x14ac:dyDescent="0.3">
      <c r="A78" s="9">
        <v>77</v>
      </c>
      <c r="B78" t="s">
        <v>105</v>
      </c>
      <c r="C78">
        <v>5</v>
      </c>
      <c r="D78" t="s">
        <v>14</v>
      </c>
      <c r="E78" t="s">
        <v>14</v>
      </c>
      <c r="F78" s="12"/>
    </row>
    <row r="79" spans="1:7" x14ac:dyDescent="0.3">
      <c r="A79" s="8">
        <v>78</v>
      </c>
      <c r="B79" t="s">
        <v>79</v>
      </c>
      <c r="C79">
        <v>4</v>
      </c>
      <c r="D79" t="s">
        <v>30</v>
      </c>
      <c r="E79" t="s">
        <v>13</v>
      </c>
      <c r="F79" s="14">
        <v>0.4</v>
      </c>
      <c r="G79" t="s">
        <v>35</v>
      </c>
    </row>
    <row r="80" spans="1:7" x14ac:dyDescent="0.3">
      <c r="A80" s="9">
        <v>79</v>
      </c>
      <c r="B80" t="s">
        <v>82</v>
      </c>
      <c r="C80">
        <v>5</v>
      </c>
      <c r="D80" t="s">
        <v>30</v>
      </c>
      <c r="E80" t="s">
        <v>13</v>
      </c>
      <c r="F80" s="12">
        <v>1</v>
      </c>
      <c r="G80" t="s">
        <v>35</v>
      </c>
    </row>
    <row r="81" spans="1:7" x14ac:dyDescent="0.3">
      <c r="A81" s="11">
        <v>80</v>
      </c>
      <c r="B81" t="s">
        <v>83</v>
      </c>
      <c r="C81">
        <v>6</v>
      </c>
      <c r="D81" t="s">
        <v>30</v>
      </c>
      <c r="E81" t="s">
        <v>13</v>
      </c>
      <c r="F81" s="12">
        <v>1</v>
      </c>
      <c r="G81" t="s">
        <v>35</v>
      </c>
    </row>
    <row r="82" spans="1:7" x14ac:dyDescent="0.3">
      <c r="A82" s="11">
        <v>81</v>
      </c>
      <c r="B82" t="s">
        <v>92</v>
      </c>
      <c r="C82">
        <v>6</v>
      </c>
      <c r="D82" t="s">
        <v>14</v>
      </c>
      <c r="E82" t="s">
        <v>14</v>
      </c>
      <c r="F82" s="12"/>
    </row>
    <row r="83" spans="1:7" x14ac:dyDescent="0.3">
      <c r="A83" s="9">
        <v>82</v>
      </c>
      <c r="B83" t="s">
        <v>106</v>
      </c>
      <c r="C83">
        <v>5</v>
      </c>
      <c r="D83" t="s">
        <v>15</v>
      </c>
      <c r="E83" t="s">
        <v>16</v>
      </c>
      <c r="F83" s="12">
        <v>0.55000000000000004</v>
      </c>
      <c r="G83" t="s">
        <v>17</v>
      </c>
    </row>
    <row r="84" spans="1:7" x14ac:dyDescent="0.3">
      <c r="A84" s="9">
        <v>83</v>
      </c>
      <c r="B84" t="s">
        <v>96</v>
      </c>
      <c r="C84">
        <v>5</v>
      </c>
      <c r="D84" t="s">
        <v>15</v>
      </c>
      <c r="E84" t="s">
        <v>16</v>
      </c>
      <c r="F84" s="12">
        <v>0.21</v>
      </c>
      <c r="G84" t="s">
        <v>17</v>
      </c>
    </row>
    <row r="85" spans="1:7" x14ac:dyDescent="0.3">
      <c r="A85" s="9">
        <v>84</v>
      </c>
      <c r="B85" t="s">
        <v>97</v>
      </c>
      <c r="C85">
        <v>5</v>
      </c>
      <c r="D85" t="s">
        <v>15</v>
      </c>
      <c r="E85" t="s">
        <v>16</v>
      </c>
      <c r="F85" s="12">
        <v>1.5</v>
      </c>
      <c r="G85" t="s">
        <v>17</v>
      </c>
    </row>
    <row r="86" spans="1:7" x14ac:dyDescent="0.3">
      <c r="A86" s="9">
        <v>85</v>
      </c>
      <c r="B86" t="s">
        <v>107</v>
      </c>
      <c r="C86">
        <v>5</v>
      </c>
      <c r="D86" t="s">
        <v>15</v>
      </c>
      <c r="E86" t="s">
        <v>16</v>
      </c>
      <c r="F86" s="12">
        <v>0.25</v>
      </c>
      <c r="G86" t="s">
        <v>17</v>
      </c>
    </row>
    <row r="87" spans="1:7" x14ac:dyDescent="0.3">
      <c r="A87" s="9">
        <v>86</v>
      </c>
      <c r="B87" t="s">
        <v>98</v>
      </c>
      <c r="C87">
        <v>5</v>
      </c>
      <c r="D87" t="s">
        <v>15</v>
      </c>
      <c r="E87" t="s">
        <v>16</v>
      </c>
      <c r="F87" s="12">
        <v>1</v>
      </c>
      <c r="G87" t="s">
        <v>17</v>
      </c>
    </row>
    <row r="88" spans="1:7" x14ac:dyDescent="0.3">
      <c r="A88" s="9">
        <v>87</v>
      </c>
      <c r="B88" t="s">
        <v>108</v>
      </c>
      <c r="C88">
        <v>5</v>
      </c>
      <c r="D88" t="s">
        <v>46</v>
      </c>
      <c r="E88" t="s">
        <v>16</v>
      </c>
      <c r="F88" s="12">
        <v>6.7599999999999993E-2</v>
      </c>
      <c r="G88" t="s">
        <v>47</v>
      </c>
    </row>
    <row r="89" spans="1:7" x14ac:dyDescent="0.3">
      <c r="A89" s="9">
        <v>88</v>
      </c>
      <c r="B89" t="s">
        <v>100</v>
      </c>
      <c r="C89">
        <v>5</v>
      </c>
      <c r="D89" t="s">
        <v>46</v>
      </c>
      <c r="E89" t="s">
        <v>16</v>
      </c>
      <c r="F89" s="12">
        <v>5.1700000000000003E-2</v>
      </c>
      <c r="G89" t="s">
        <v>47</v>
      </c>
    </row>
    <row r="90" spans="1:7" x14ac:dyDescent="0.3">
      <c r="A90" s="9">
        <v>89</v>
      </c>
      <c r="B90" t="s">
        <v>101</v>
      </c>
      <c r="C90">
        <v>5</v>
      </c>
      <c r="D90" t="s">
        <v>46</v>
      </c>
      <c r="E90" t="s">
        <v>16</v>
      </c>
      <c r="F90" s="12">
        <v>6.4100000000000004E-2</v>
      </c>
      <c r="G90" t="s">
        <v>47</v>
      </c>
    </row>
    <row r="91" spans="1:7" x14ac:dyDescent="0.3">
      <c r="A91" s="9">
        <v>90</v>
      </c>
      <c r="B91" t="s">
        <v>102</v>
      </c>
      <c r="C91">
        <v>5</v>
      </c>
      <c r="D91" t="s">
        <v>14</v>
      </c>
      <c r="E91" t="s">
        <v>14</v>
      </c>
      <c r="F91" s="12"/>
    </row>
    <row r="92" spans="1:7" x14ac:dyDescent="0.3">
      <c r="A92" s="9">
        <v>91</v>
      </c>
      <c r="B92" t="s">
        <v>109</v>
      </c>
      <c r="C92">
        <v>5</v>
      </c>
      <c r="D92" t="s">
        <v>15</v>
      </c>
      <c r="E92" t="s">
        <v>16</v>
      </c>
      <c r="F92" s="12">
        <v>0.5</v>
      </c>
      <c r="G92" t="s">
        <v>17</v>
      </c>
    </row>
    <row r="93" spans="1:7" x14ac:dyDescent="0.3">
      <c r="A93" s="9">
        <v>92</v>
      </c>
      <c r="B93" t="s">
        <v>110</v>
      </c>
      <c r="C93">
        <v>5</v>
      </c>
      <c r="D93" t="s">
        <v>14</v>
      </c>
      <c r="E93" t="s">
        <v>14</v>
      </c>
      <c r="F93" s="12"/>
    </row>
    <row r="94" spans="1:7" x14ac:dyDescent="0.3">
      <c r="A94" s="9">
        <v>93</v>
      </c>
      <c r="B94" t="s">
        <v>104</v>
      </c>
      <c r="C94">
        <v>5</v>
      </c>
      <c r="D94" t="s">
        <v>15</v>
      </c>
      <c r="E94" t="s">
        <v>16</v>
      </c>
      <c r="F94" s="12">
        <v>0.45</v>
      </c>
      <c r="G94" t="s">
        <v>17</v>
      </c>
    </row>
    <row r="95" spans="1:7" x14ac:dyDescent="0.3">
      <c r="A95" s="9">
        <v>94</v>
      </c>
      <c r="B95" t="s">
        <v>103</v>
      </c>
      <c r="C95">
        <v>5</v>
      </c>
      <c r="D95" t="s">
        <v>15</v>
      </c>
      <c r="E95" t="s">
        <v>16</v>
      </c>
      <c r="F95" s="12">
        <v>0.5</v>
      </c>
      <c r="G95" t="s">
        <v>47</v>
      </c>
    </row>
    <row r="96" spans="1:7" x14ac:dyDescent="0.3">
      <c r="A96" s="9">
        <v>95</v>
      </c>
      <c r="B96" t="s">
        <v>105</v>
      </c>
      <c r="C96">
        <v>5</v>
      </c>
      <c r="D96" t="s">
        <v>14</v>
      </c>
      <c r="E96" t="s">
        <v>14</v>
      </c>
      <c r="F96" s="12"/>
    </row>
    <row r="97" spans="1:7" x14ac:dyDescent="0.3">
      <c r="A97" s="8">
        <v>96</v>
      </c>
      <c r="B97" t="s">
        <v>80</v>
      </c>
      <c r="C97">
        <v>4</v>
      </c>
      <c r="D97" t="s">
        <v>30</v>
      </c>
      <c r="E97" t="s">
        <v>13</v>
      </c>
      <c r="F97" s="14">
        <v>0.4</v>
      </c>
      <c r="G97" t="s">
        <v>35</v>
      </c>
    </row>
    <row r="98" spans="1:7" x14ac:dyDescent="0.3">
      <c r="A98" s="9">
        <v>97</v>
      </c>
      <c r="B98" t="s">
        <v>82</v>
      </c>
      <c r="C98">
        <v>5</v>
      </c>
      <c r="D98" t="s">
        <v>30</v>
      </c>
      <c r="E98" t="s">
        <v>13</v>
      </c>
      <c r="F98" s="12">
        <v>1</v>
      </c>
      <c r="G98" t="s">
        <v>35</v>
      </c>
    </row>
    <row r="99" spans="1:7" x14ac:dyDescent="0.3">
      <c r="A99" s="11">
        <v>98</v>
      </c>
      <c r="B99" t="s">
        <v>83</v>
      </c>
      <c r="C99">
        <v>6</v>
      </c>
      <c r="D99" t="s">
        <v>30</v>
      </c>
      <c r="E99" t="s">
        <v>13</v>
      </c>
      <c r="F99" s="12">
        <v>1</v>
      </c>
      <c r="G99" t="s">
        <v>35</v>
      </c>
    </row>
    <row r="100" spans="1:7" x14ac:dyDescent="0.3">
      <c r="A100" s="11">
        <v>99</v>
      </c>
      <c r="B100" t="s">
        <v>84</v>
      </c>
      <c r="C100">
        <v>6</v>
      </c>
      <c r="D100" t="s">
        <v>14</v>
      </c>
      <c r="E100" t="s">
        <v>14</v>
      </c>
      <c r="F100" s="12"/>
    </row>
    <row r="101" spans="1:7" x14ac:dyDescent="0.3">
      <c r="A101" s="9">
        <v>100</v>
      </c>
      <c r="B101" t="s">
        <v>111</v>
      </c>
      <c r="C101">
        <v>5</v>
      </c>
      <c r="D101" t="s">
        <v>15</v>
      </c>
      <c r="E101" t="s">
        <v>16</v>
      </c>
      <c r="F101" s="12">
        <v>1</v>
      </c>
      <c r="G101" t="s">
        <v>17</v>
      </c>
    </row>
    <row r="102" spans="1:7" x14ac:dyDescent="0.3">
      <c r="A102" s="9">
        <v>101</v>
      </c>
      <c r="B102" t="s">
        <v>112</v>
      </c>
      <c r="C102">
        <v>5</v>
      </c>
      <c r="D102" t="s">
        <v>15</v>
      </c>
      <c r="E102" t="s">
        <v>16</v>
      </c>
      <c r="F102" s="12">
        <v>0.5</v>
      </c>
      <c r="G102" t="s">
        <v>17</v>
      </c>
    </row>
    <row r="103" spans="1:7" x14ac:dyDescent="0.3">
      <c r="A103" s="9">
        <v>102</v>
      </c>
      <c r="B103" t="s">
        <v>103</v>
      </c>
      <c r="C103">
        <v>5</v>
      </c>
      <c r="D103" t="s">
        <v>15</v>
      </c>
      <c r="E103" t="s">
        <v>16</v>
      </c>
      <c r="F103" s="12">
        <v>0.5</v>
      </c>
      <c r="G103" t="s">
        <v>47</v>
      </c>
    </row>
    <row r="104" spans="1:7" x14ac:dyDescent="0.3">
      <c r="A104" s="9">
        <v>103</v>
      </c>
      <c r="B104" t="s">
        <v>113</v>
      </c>
      <c r="C104">
        <v>5</v>
      </c>
      <c r="D104" t="s">
        <v>15</v>
      </c>
      <c r="E104" t="s">
        <v>16</v>
      </c>
      <c r="F104" s="12">
        <v>1.2</v>
      </c>
      <c r="G104" t="s">
        <v>17</v>
      </c>
    </row>
    <row r="105" spans="1:7" x14ac:dyDescent="0.3">
      <c r="A105" s="9">
        <v>104</v>
      </c>
      <c r="B105" t="s">
        <v>102</v>
      </c>
      <c r="C105">
        <v>5</v>
      </c>
      <c r="D105" t="s">
        <v>14</v>
      </c>
      <c r="E105" t="s">
        <v>14</v>
      </c>
      <c r="F105" s="12"/>
    </row>
    <row r="106" spans="1:7" x14ac:dyDescent="0.3">
      <c r="A106" s="9">
        <v>105</v>
      </c>
      <c r="B106" t="s">
        <v>110</v>
      </c>
      <c r="C106">
        <v>5</v>
      </c>
      <c r="D106" t="s">
        <v>14</v>
      </c>
      <c r="E106" t="s">
        <v>14</v>
      </c>
      <c r="F106" s="12"/>
    </row>
    <row r="107" spans="1:7" x14ac:dyDescent="0.3">
      <c r="A107" s="8">
        <v>106</v>
      </c>
      <c r="B107" t="s">
        <v>81</v>
      </c>
      <c r="C107">
        <v>4</v>
      </c>
      <c r="D107" t="s">
        <v>14</v>
      </c>
      <c r="E107" t="s">
        <v>14</v>
      </c>
    </row>
    <row r="108" spans="1:7" x14ac:dyDescent="0.3">
      <c r="A108" s="7">
        <v>107</v>
      </c>
      <c r="B108" t="s">
        <v>22</v>
      </c>
      <c r="C108">
        <v>3</v>
      </c>
      <c r="D108" t="s">
        <v>26</v>
      </c>
      <c r="E108" t="s">
        <v>13</v>
      </c>
      <c r="F108" s="14">
        <v>88.064999999999998</v>
      </c>
      <c r="G108" t="s">
        <v>24</v>
      </c>
    </row>
    <row r="109" spans="1:7" x14ac:dyDescent="0.3">
      <c r="A109" s="8">
        <v>108</v>
      </c>
      <c r="B109" t="s">
        <v>85</v>
      </c>
      <c r="C109">
        <v>4</v>
      </c>
      <c r="D109" t="s">
        <v>30</v>
      </c>
      <c r="E109" t="s">
        <v>13</v>
      </c>
      <c r="F109" s="14">
        <v>0.15</v>
      </c>
      <c r="G109" t="s">
        <v>35</v>
      </c>
    </row>
    <row r="110" spans="1:7" x14ac:dyDescent="0.3">
      <c r="A110" s="9">
        <v>109</v>
      </c>
      <c r="B110" t="s">
        <v>114</v>
      </c>
      <c r="C110">
        <v>5</v>
      </c>
      <c r="D110" t="s">
        <v>30</v>
      </c>
      <c r="E110" t="s">
        <v>13</v>
      </c>
      <c r="F110" s="12">
        <v>1</v>
      </c>
      <c r="G110" t="s">
        <v>35</v>
      </c>
    </row>
    <row r="111" spans="1:7" x14ac:dyDescent="0.3">
      <c r="A111" s="11">
        <v>110</v>
      </c>
      <c r="B111" t="s">
        <v>93</v>
      </c>
      <c r="C111">
        <v>6</v>
      </c>
      <c r="D111" t="s">
        <v>30</v>
      </c>
      <c r="E111" t="s">
        <v>13</v>
      </c>
      <c r="F111" s="12">
        <v>1</v>
      </c>
      <c r="G111" t="s">
        <v>35</v>
      </c>
    </row>
    <row r="112" spans="1:7" x14ac:dyDescent="0.3">
      <c r="A112" s="11">
        <v>111</v>
      </c>
      <c r="B112" t="s">
        <v>94</v>
      </c>
      <c r="C112">
        <v>6</v>
      </c>
      <c r="D112" t="s">
        <v>14</v>
      </c>
      <c r="E112" t="s">
        <v>14</v>
      </c>
      <c r="F112" s="12"/>
    </row>
    <row r="113" spans="1:7" x14ac:dyDescent="0.3">
      <c r="A113" s="9">
        <v>112</v>
      </c>
      <c r="B113" t="s">
        <v>106</v>
      </c>
      <c r="C113">
        <v>5</v>
      </c>
      <c r="D113" t="s">
        <v>15</v>
      </c>
      <c r="E113" t="s">
        <v>16</v>
      </c>
      <c r="F113" s="12">
        <v>0.55000000000000004</v>
      </c>
      <c r="G113" t="s">
        <v>17</v>
      </c>
    </row>
    <row r="114" spans="1:7" x14ac:dyDescent="0.3">
      <c r="A114" s="9">
        <v>113</v>
      </c>
      <c r="B114" t="s">
        <v>96</v>
      </c>
      <c r="C114">
        <v>5</v>
      </c>
      <c r="D114" t="s">
        <v>15</v>
      </c>
      <c r="E114" t="s">
        <v>16</v>
      </c>
      <c r="F114" s="12">
        <v>0.21</v>
      </c>
      <c r="G114" t="s">
        <v>17</v>
      </c>
    </row>
    <row r="115" spans="1:7" x14ac:dyDescent="0.3">
      <c r="A115" s="9">
        <v>114</v>
      </c>
      <c r="B115" t="s">
        <v>97</v>
      </c>
      <c r="C115">
        <v>5</v>
      </c>
      <c r="D115" t="s">
        <v>15</v>
      </c>
      <c r="E115" t="s">
        <v>16</v>
      </c>
      <c r="F115" s="12">
        <v>1</v>
      </c>
      <c r="G115" t="s">
        <v>17</v>
      </c>
    </row>
    <row r="116" spans="1:7" x14ac:dyDescent="0.3">
      <c r="A116" s="9">
        <v>115</v>
      </c>
      <c r="B116" t="s">
        <v>108</v>
      </c>
      <c r="C116">
        <v>5</v>
      </c>
      <c r="D116" t="s">
        <v>46</v>
      </c>
      <c r="E116" t="s">
        <v>16</v>
      </c>
      <c r="F116" s="12">
        <v>4.2000000000000003E-2</v>
      </c>
      <c r="G116" t="s">
        <v>47</v>
      </c>
    </row>
    <row r="117" spans="1:7" x14ac:dyDescent="0.3">
      <c r="A117" s="9">
        <v>116</v>
      </c>
      <c r="B117" t="s">
        <v>100</v>
      </c>
      <c r="C117">
        <v>5</v>
      </c>
      <c r="D117" t="s">
        <v>46</v>
      </c>
      <c r="E117" t="s">
        <v>16</v>
      </c>
      <c r="F117" s="12">
        <v>3.2280000000000003E-2</v>
      </c>
      <c r="G117" t="s">
        <v>47</v>
      </c>
    </row>
    <row r="118" spans="1:7" x14ac:dyDescent="0.3">
      <c r="A118" s="9">
        <v>117</v>
      </c>
      <c r="B118" t="s">
        <v>101</v>
      </c>
      <c r="C118">
        <v>5</v>
      </c>
      <c r="D118" t="s">
        <v>46</v>
      </c>
      <c r="E118" t="s">
        <v>16</v>
      </c>
      <c r="F118" s="12">
        <v>2.9000000000000001E-2</v>
      </c>
      <c r="G118" t="s">
        <v>47</v>
      </c>
    </row>
    <row r="119" spans="1:7" x14ac:dyDescent="0.3">
      <c r="A119" s="9">
        <v>118</v>
      </c>
      <c r="B119" t="s">
        <v>102</v>
      </c>
      <c r="C119">
        <v>5</v>
      </c>
      <c r="D119" t="s">
        <v>14</v>
      </c>
      <c r="E119" t="s">
        <v>14</v>
      </c>
      <c r="F119" s="12"/>
    </row>
    <row r="120" spans="1:7" x14ac:dyDescent="0.3">
      <c r="A120" s="9">
        <v>119</v>
      </c>
      <c r="B120" t="s">
        <v>104</v>
      </c>
      <c r="C120">
        <v>5</v>
      </c>
      <c r="D120" t="s">
        <v>15</v>
      </c>
      <c r="E120" t="s">
        <v>16</v>
      </c>
      <c r="F120" s="12">
        <v>0.35</v>
      </c>
      <c r="G120" t="s">
        <v>17</v>
      </c>
    </row>
    <row r="121" spans="1:7" x14ac:dyDescent="0.3">
      <c r="A121" s="9">
        <v>120</v>
      </c>
      <c r="B121" t="s">
        <v>103</v>
      </c>
      <c r="C121">
        <v>5</v>
      </c>
      <c r="D121" t="s">
        <v>15</v>
      </c>
      <c r="E121" t="s">
        <v>16</v>
      </c>
      <c r="F121" s="12">
        <v>0.5</v>
      </c>
      <c r="G121" t="s">
        <v>47</v>
      </c>
    </row>
    <row r="122" spans="1:7" x14ac:dyDescent="0.3">
      <c r="A122" s="9">
        <v>121</v>
      </c>
      <c r="B122" t="s">
        <v>105</v>
      </c>
      <c r="C122">
        <v>5</v>
      </c>
      <c r="D122" t="s">
        <v>14</v>
      </c>
      <c r="E122" t="s">
        <v>14</v>
      </c>
      <c r="F122" s="12"/>
    </row>
    <row r="123" spans="1:7" x14ac:dyDescent="0.3">
      <c r="A123" s="8">
        <v>122</v>
      </c>
      <c r="B123" t="s">
        <v>86</v>
      </c>
      <c r="C123">
        <v>4</v>
      </c>
      <c r="D123" t="s">
        <v>39</v>
      </c>
      <c r="E123" t="s">
        <v>16</v>
      </c>
      <c r="F123" s="14">
        <v>3.5000000000000003E-2</v>
      </c>
      <c r="G123" t="s">
        <v>35</v>
      </c>
    </row>
    <row r="124" spans="1:7" x14ac:dyDescent="0.3">
      <c r="A124" s="8">
        <v>123</v>
      </c>
      <c r="B124" t="s">
        <v>87</v>
      </c>
      <c r="C124">
        <v>4</v>
      </c>
      <c r="D124" t="s">
        <v>39</v>
      </c>
      <c r="E124" t="s">
        <v>16</v>
      </c>
      <c r="F124" s="14">
        <v>0.28299999999999997</v>
      </c>
      <c r="G124" t="s">
        <v>35</v>
      </c>
    </row>
    <row r="125" spans="1:7" x14ac:dyDescent="0.3">
      <c r="A125" s="8">
        <v>124</v>
      </c>
      <c r="B125" t="s">
        <v>88</v>
      </c>
      <c r="C125">
        <v>4</v>
      </c>
      <c r="D125" t="s">
        <v>39</v>
      </c>
      <c r="E125" t="s">
        <v>16</v>
      </c>
      <c r="F125" s="14">
        <v>0.248</v>
      </c>
      <c r="G125" t="s">
        <v>35</v>
      </c>
    </row>
    <row r="126" spans="1:7" x14ac:dyDescent="0.3">
      <c r="A126" s="8">
        <v>125</v>
      </c>
      <c r="B126" t="s">
        <v>89</v>
      </c>
      <c r="C126">
        <v>4</v>
      </c>
      <c r="D126" t="s">
        <v>39</v>
      </c>
      <c r="E126" t="s">
        <v>16</v>
      </c>
      <c r="F126" s="14">
        <v>3.5000000000000003E-2</v>
      </c>
      <c r="G126" t="s">
        <v>35</v>
      </c>
    </row>
    <row r="127" spans="1:7" x14ac:dyDescent="0.3">
      <c r="A127" s="8">
        <v>126</v>
      </c>
      <c r="B127" t="s">
        <v>90</v>
      </c>
      <c r="C127">
        <v>4</v>
      </c>
      <c r="D127" t="s">
        <v>39</v>
      </c>
      <c r="E127" t="s">
        <v>16</v>
      </c>
      <c r="F127" s="14">
        <v>0.248</v>
      </c>
      <c r="G127" t="s">
        <v>35</v>
      </c>
    </row>
    <row r="128" spans="1:7" x14ac:dyDescent="0.3">
      <c r="A128" s="8">
        <v>127</v>
      </c>
      <c r="B128" t="s">
        <v>91</v>
      </c>
      <c r="C128">
        <v>4</v>
      </c>
      <c r="D128" t="s">
        <v>14</v>
      </c>
      <c r="E128" t="s">
        <v>14</v>
      </c>
    </row>
    <row r="129" spans="1:7" x14ac:dyDescent="0.3">
      <c r="A129" s="7">
        <v>128</v>
      </c>
      <c r="B129" t="s">
        <v>22</v>
      </c>
      <c r="C129">
        <v>3</v>
      </c>
      <c r="D129" t="s">
        <v>26</v>
      </c>
      <c r="E129" t="s">
        <v>13</v>
      </c>
      <c r="F129" s="14">
        <v>88.064999999999998</v>
      </c>
      <c r="G129" t="s">
        <v>24</v>
      </c>
    </row>
    <row r="130" spans="1:7" x14ac:dyDescent="0.3">
      <c r="A130" s="8">
        <v>129</v>
      </c>
      <c r="B130" t="s">
        <v>85</v>
      </c>
      <c r="C130">
        <v>4</v>
      </c>
      <c r="D130" t="s">
        <v>30</v>
      </c>
      <c r="E130" t="s">
        <v>13</v>
      </c>
      <c r="F130" s="14">
        <v>0.15</v>
      </c>
      <c r="G130" t="s">
        <v>35</v>
      </c>
    </row>
    <row r="131" spans="1:7" x14ac:dyDescent="0.3">
      <c r="A131" s="9">
        <v>130</v>
      </c>
      <c r="B131" t="s">
        <v>114</v>
      </c>
      <c r="C131">
        <v>5</v>
      </c>
      <c r="D131" t="s">
        <v>30</v>
      </c>
      <c r="E131" t="s">
        <v>13</v>
      </c>
      <c r="F131" s="12">
        <v>1</v>
      </c>
      <c r="G131" t="s">
        <v>35</v>
      </c>
    </row>
    <row r="132" spans="1:7" x14ac:dyDescent="0.3">
      <c r="A132" s="11">
        <v>131</v>
      </c>
      <c r="B132" t="s">
        <v>93</v>
      </c>
      <c r="C132">
        <v>6</v>
      </c>
      <c r="D132" t="s">
        <v>30</v>
      </c>
      <c r="E132" t="s">
        <v>13</v>
      </c>
      <c r="F132" s="12">
        <v>1</v>
      </c>
      <c r="G132" t="s">
        <v>35</v>
      </c>
    </row>
    <row r="133" spans="1:7" x14ac:dyDescent="0.3">
      <c r="A133" s="11">
        <v>132</v>
      </c>
      <c r="B133" t="s">
        <v>94</v>
      </c>
      <c r="C133">
        <v>6</v>
      </c>
      <c r="D133" t="s">
        <v>14</v>
      </c>
      <c r="E133" t="s">
        <v>14</v>
      </c>
      <c r="F133" s="12"/>
    </row>
    <row r="134" spans="1:7" x14ac:dyDescent="0.3">
      <c r="A134" s="9">
        <v>133</v>
      </c>
      <c r="B134" t="s">
        <v>106</v>
      </c>
      <c r="C134">
        <v>5</v>
      </c>
      <c r="D134" t="s">
        <v>15</v>
      </c>
      <c r="E134" t="s">
        <v>16</v>
      </c>
      <c r="F134" s="12">
        <v>0.55000000000000004</v>
      </c>
      <c r="G134" t="s">
        <v>17</v>
      </c>
    </row>
    <row r="135" spans="1:7" x14ac:dyDescent="0.3">
      <c r="A135" s="9">
        <v>134</v>
      </c>
      <c r="B135" t="s">
        <v>96</v>
      </c>
      <c r="C135">
        <v>5</v>
      </c>
      <c r="D135" t="s">
        <v>15</v>
      </c>
      <c r="E135" t="s">
        <v>16</v>
      </c>
      <c r="F135" s="12">
        <v>0.21</v>
      </c>
      <c r="G135" t="s">
        <v>17</v>
      </c>
    </row>
    <row r="136" spans="1:7" x14ac:dyDescent="0.3">
      <c r="A136" s="9">
        <v>135</v>
      </c>
      <c r="B136" t="s">
        <v>97</v>
      </c>
      <c r="C136">
        <v>5</v>
      </c>
      <c r="D136" t="s">
        <v>15</v>
      </c>
      <c r="E136" t="s">
        <v>16</v>
      </c>
      <c r="F136" s="12">
        <v>1</v>
      </c>
      <c r="G136" t="s">
        <v>17</v>
      </c>
    </row>
    <row r="137" spans="1:7" x14ac:dyDescent="0.3">
      <c r="A137" s="9">
        <v>136</v>
      </c>
      <c r="B137" t="s">
        <v>108</v>
      </c>
      <c r="C137">
        <v>5</v>
      </c>
      <c r="D137" t="s">
        <v>46</v>
      </c>
      <c r="E137" t="s">
        <v>16</v>
      </c>
      <c r="F137" s="12">
        <v>4.2000000000000003E-2</v>
      </c>
      <c r="G137" t="s">
        <v>47</v>
      </c>
    </row>
    <row r="138" spans="1:7" x14ac:dyDescent="0.3">
      <c r="A138" s="9">
        <v>137</v>
      </c>
      <c r="B138" t="s">
        <v>100</v>
      </c>
      <c r="C138">
        <v>5</v>
      </c>
      <c r="D138" t="s">
        <v>46</v>
      </c>
      <c r="E138" t="s">
        <v>16</v>
      </c>
      <c r="F138" s="12">
        <v>3.2280000000000003E-2</v>
      </c>
      <c r="G138" t="s">
        <v>47</v>
      </c>
    </row>
    <row r="139" spans="1:7" x14ac:dyDescent="0.3">
      <c r="A139" s="9">
        <v>138</v>
      </c>
      <c r="B139" t="s">
        <v>101</v>
      </c>
      <c r="C139">
        <v>5</v>
      </c>
      <c r="D139" t="s">
        <v>46</v>
      </c>
      <c r="E139" t="s">
        <v>16</v>
      </c>
      <c r="F139" s="12">
        <v>2.9000000000000001E-2</v>
      </c>
      <c r="G139" t="s">
        <v>47</v>
      </c>
    </row>
    <row r="140" spans="1:7" x14ac:dyDescent="0.3">
      <c r="A140" s="9">
        <v>139</v>
      </c>
      <c r="B140" t="s">
        <v>102</v>
      </c>
      <c r="C140">
        <v>5</v>
      </c>
      <c r="D140" t="s">
        <v>14</v>
      </c>
      <c r="E140" t="s">
        <v>14</v>
      </c>
      <c r="F140" s="12"/>
    </row>
    <row r="141" spans="1:7" x14ac:dyDescent="0.3">
      <c r="A141" s="9">
        <v>140</v>
      </c>
      <c r="B141" t="s">
        <v>104</v>
      </c>
      <c r="C141">
        <v>5</v>
      </c>
      <c r="D141" t="s">
        <v>15</v>
      </c>
      <c r="E141" t="s">
        <v>16</v>
      </c>
      <c r="F141" s="12">
        <v>0.35</v>
      </c>
      <c r="G141" t="s">
        <v>17</v>
      </c>
    </row>
    <row r="142" spans="1:7" x14ac:dyDescent="0.3">
      <c r="A142" s="9">
        <v>141</v>
      </c>
      <c r="B142" t="s">
        <v>103</v>
      </c>
      <c r="C142">
        <v>5</v>
      </c>
      <c r="D142" t="s">
        <v>15</v>
      </c>
      <c r="E142" t="s">
        <v>16</v>
      </c>
      <c r="F142" s="12">
        <v>0.5</v>
      </c>
      <c r="G142" t="s">
        <v>47</v>
      </c>
    </row>
    <row r="143" spans="1:7" x14ac:dyDescent="0.3">
      <c r="A143" s="9">
        <v>142</v>
      </c>
      <c r="B143" t="s">
        <v>105</v>
      </c>
      <c r="C143">
        <v>5</v>
      </c>
      <c r="D143" t="s">
        <v>14</v>
      </c>
      <c r="E143" t="s">
        <v>14</v>
      </c>
      <c r="F143" s="12"/>
    </row>
    <row r="144" spans="1:7" x14ac:dyDescent="0.3">
      <c r="A144" s="8">
        <v>143</v>
      </c>
      <c r="B144" t="s">
        <v>86</v>
      </c>
      <c r="C144">
        <v>4</v>
      </c>
      <c r="D144" t="s">
        <v>39</v>
      </c>
      <c r="E144" t="s">
        <v>16</v>
      </c>
      <c r="F144" s="14">
        <v>3.5000000000000003E-2</v>
      </c>
      <c r="G144" t="s">
        <v>35</v>
      </c>
    </row>
    <row r="145" spans="1:7" x14ac:dyDescent="0.3">
      <c r="A145" s="8">
        <v>144</v>
      </c>
      <c r="B145" t="s">
        <v>87</v>
      </c>
      <c r="C145">
        <v>4</v>
      </c>
      <c r="D145" t="s">
        <v>39</v>
      </c>
      <c r="E145" t="s">
        <v>16</v>
      </c>
      <c r="F145" s="14">
        <v>0.28299999999999997</v>
      </c>
      <c r="G145" t="s">
        <v>35</v>
      </c>
    </row>
    <row r="146" spans="1:7" x14ac:dyDescent="0.3">
      <c r="A146" s="8">
        <v>145</v>
      </c>
      <c r="B146" t="s">
        <v>88</v>
      </c>
      <c r="C146">
        <v>4</v>
      </c>
      <c r="D146" t="s">
        <v>39</v>
      </c>
      <c r="E146" t="s">
        <v>16</v>
      </c>
      <c r="F146" s="14">
        <v>0.248</v>
      </c>
      <c r="G146" t="s">
        <v>35</v>
      </c>
    </row>
    <row r="147" spans="1:7" x14ac:dyDescent="0.3">
      <c r="A147" s="8">
        <v>146</v>
      </c>
      <c r="B147" t="s">
        <v>89</v>
      </c>
      <c r="C147">
        <v>4</v>
      </c>
      <c r="D147" t="s">
        <v>39</v>
      </c>
      <c r="E147" t="s">
        <v>16</v>
      </c>
      <c r="F147" s="14">
        <v>3.5000000000000003E-2</v>
      </c>
      <c r="G147" t="s">
        <v>35</v>
      </c>
    </row>
    <row r="148" spans="1:7" x14ac:dyDescent="0.3">
      <c r="A148" s="8">
        <v>147</v>
      </c>
      <c r="B148" t="s">
        <v>90</v>
      </c>
      <c r="C148">
        <v>4</v>
      </c>
      <c r="D148" t="s">
        <v>39</v>
      </c>
      <c r="E148" t="s">
        <v>16</v>
      </c>
      <c r="F148" s="14">
        <v>0.248</v>
      </c>
      <c r="G148" t="s">
        <v>35</v>
      </c>
    </row>
    <row r="149" spans="1:7" x14ac:dyDescent="0.3">
      <c r="A149" s="8">
        <v>148</v>
      </c>
      <c r="B149" t="s">
        <v>91</v>
      </c>
      <c r="C149">
        <v>4</v>
      </c>
      <c r="D149" t="s">
        <v>14</v>
      </c>
      <c r="E149" t="s">
        <v>14</v>
      </c>
    </row>
    <row r="150" spans="1:7" x14ac:dyDescent="0.3">
      <c r="A150" s="7">
        <v>149</v>
      </c>
      <c r="B150" t="s">
        <v>23</v>
      </c>
      <c r="C150">
        <v>3</v>
      </c>
      <c r="D150" t="s">
        <v>14</v>
      </c>
      <c r="E150" t="s">
        <v>14</v>
      </c>
    </row>
    <row r="151" spans="1:7" x14ac:dyDescent="0.3">
      <c r="A151" s="7">
        <v>150</v>
      </c>
      <c r="B151" t="s">
        <v>27</v>
      </c>
      <c r="C151">
        <v>3</v>
      </c>
      <c r="D151" t="s">
        <v>18</v>
      </c>
      <c r="E151" t="s">
        <v>16</v>
      </c>
      <c r="F151" s="14">
        <v>1</v>
      </c>
      <c r="G151" t="s">
        <v>19</v>
      </c>
    </row>
    <row r="152" spans="1:7" x14ac:dyDescent="0.3">
      <c r="A152" s="7">
        <v>151</v>
      </c>
      <c r="B152" t="s">
        <v>28</v>
      </c>
      <c r="C152">
        <v>3</v>
      </c>
      <c r="D152" t="s">
        <v>18</v>
      </c>
      <c r="E152" t="s">
        <v>16</v>
      </c>
      <c r="F152" s="14">
        <v>1</v>
      </c>
      <c r="G152" t="s">
        <v>19</v>
      </c>
    </row>
    <row r="153" spans="1:7" x14ac:dyDescent="0.3">
      <c r="A153" s="7">
        <v>152</v>
      </c>
      <c r="B153" t="s">
        <v>29</v>
      </c>
      <c r="C153">
        <v>3</v>
      </c>
      <c r="D153" t="s">
        <v>14</v>
      </c>
      <c r="E153" t="s">
        <v>14</v>
      </c>
    </row>
    <row r="154" spans="1:7" x14ac:dyDescent="0.3">
      <c r="A154" s="7">
        <v>153</v>
      </c>
      <c r="B154" t="s">
        <v>116</v>
      </c>
      <c r="C154">
        <v>2</v>
      </c>
      <c r="D154" t="s">
        <v>122</v>
      </c>
      <c r="E154" t="s">
        <v>13</v>
      </c>
      <c r="F154" s="14">
        <v>1</v>
      </c>
      <c r="G154" t="s">
        <v>19</v>
      </c>
    </row>
    <row r="155" spans="1:7" x14ac:dyDescent="0.3">
      <c r="A155" s="6">
        <v>154</v>
      </c>
      <c r="B155" t="s">
        <v>117</v>
      </c>
      <c r="C155">
        <v>3</v>
      </c>
      <c r="D155" t="s">
        <v>14</v>
      </c>
      <c r="E155" t="s">
        <v>14</v>
      </c>
    </row>
    <row r="156" spans="1:7" x14ac:dyDescent="0.3">
      <c r="A156" s="6">
        <v>155</v>
      </c>
      <c r="B156" t="s">
        <v>120</v>
      </c>
      <c r="C156">
        <v>3</v>
      </c>
      <c r="D156" t="s">
        <v>14</v>
      </c>
      <c r="E156" t="s">
        <v>14</v>
      </c>
    </row>
    <row r="157" spans="1:7" x14ac:dyDescent="0.3">
      <c r="A157" s="6">
        <v>156</v>
      </c>
      <c r="B157" t="s">
        <v>118</v>
      </c>
      <c r="C157">
        <v>3</v>
      </c>
      <c r="D157" t="s">
        <v>15</v>
      </c>
      <c r="E157" t="s">
        <v>16</v>
      </c>
      <c r="F157" s="14">
        <v>100</v>
      </c>
      <c r="G157" t="s">
        <v>17</v>
      </c>
    </row>
    <row r="158" spans="1:7" x14ac:dyDescent="0.3">
      <c r="A158" s="6">
        <v>157</v>
      </c>
      <c r="B158" t="s">
        <v>119</v>
      </c>
      <c r="C158">
        <v>3</v>
      </c>
      <c r="D158" t="s">
        <v>14</v>
      </c>
      <c r="E158" t="s">
        <v>14</v>
      </c>
    </row>
    <row r="159" spans="1:7" x14ac:dyDescent="0.3">
      <c r="A159" s="6">
        <v>158</v>
      </c>
      <c r="B159" t="s">
        <v>28</v>
      </c>
      <c r="C159">
        <v>3</v>
      </c>
      <c r="D159" t="s">
        <v>18</v>
      </c>
      <c r="E159" t="s">
        <v>16</v>
      </c>
      <c r="F159" s="14">
        <v>1</v>
      </c>
      <c r="G159" t="s">
        <v>19</v>
      </c>
    </row>
    <row r="160" spans="1:7" x14ac:dyDescent="0.3">
      <c r="A160" s="6">
        <v>159</v>
      </c>
      <c r="B160" t="s">
        <v>27</v>
      </c>
      <c r="C160">
        <v>3</v>
      </c>
      <c r="D160" t="s">
        <v>18</v>
      </c>
      <c r="E160" t="s">
        <v>16</v>
      </c>
      <c r="F160" s="14">
        <v>1</v>
      </c>
      <c r="G160" t="s">
        <v>19</v>
      </c>
    </row>
    <row r="161" spans="1:5" x14ac:dyDescent="0.3">
      <c r="A161" s="6">
        <v>160</v>
      </c>
      <c r="B161" t="s">
        <v>121</v>
      </c>
      <c r="C161">
        <v>3</v>
      </c>
      <c r="D161" t="s">
        <v>14</v>
      </c>
      <c r="E161" t="s">
        <v>14</v>
      </c>
    </row>
  </sheetData>
  <autoFilter ref="A1:F16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zoomScaleNormal="100" workbookViewId="0">
      <selection activeCell="E6" sqref="E6"/>
    </sheetView>
  </sheetViews>
  <sheetFormatPr defaultRowHeight="14.4" x14ac:dyDescent="0.3"/>
  <cols>
    <col min="1" max="1" width="31.5546875" bestFit="1" customWidth="1"/>
    <col min="2" max="2" width="6.88671875" bestFit="1" customWidth="1"/>
    <col min="3" max="3" width="11.88671875" bestFit="1" customWidth="1"/>
    <col min="4" max="4" width="11.109375" style="26" bestFit="1" customWidth="1"/>
    <col min="5" max="5" width="8" bestFit="1" customWidth="1"/>
    <col min="7" max="15" width="8.88671875" customWidth="1"/>
  </cols>
  <sheetData>
    <row r="1" spans="1:10" x14ac:dyDescent="0.3">
      <c r="A1" t="s">
        <v>133</v>
      </c>
      <c r="B1" t="s">
        <v>136</v>
      </c>
      <c r="C1" t="s">
        <v>137</v>
      </c>
      <c r="D1" s="26" t="s">
        <v>123</v>
      </c>
      <c r="E1" t="s">
        <v>138</v>
      </c>
    </row>
    <row r="2" spans="1:10" x14ac:dyDescent="0.3">
      <c r="A2" t="s">
        <v>126</v>
      </c>
      <c r="B2">
        <v>1</v>
      </c>
      <c r="C2" t="s">
        <v>125</v>
      </c>
      <c r="D2" s="26">
        <v>1</v>
      </c>
      <c r="E2" t="s">
        <v>10</v>
      </c>
    </row>
    <row r="3" spans="1:10" x14ac:dyDescent="0.3">
      <c r="A3" t="s">
        <v>128</v>
      </c>
      <c r="B3">
        <v>2</v>
      </c>
      <c r="C3" t="s">
        <v>129</v>
      </c>
      <c r="D3" s="26">
        <v>1</v>
      </c>
      <c r="E3" t="s">
        <v>10</v>
      </c>
    </row>
    <row r="4" spans="1:10" x14ac:dyDescent="0.3">
      <c r="A4" t="s">
        <v>116</v>
      </c>
      <c r="B4">
        <v>2</v>
      </c>
      <c r="C4" t="s">
        <v>140</v>
      </c>
      <c r="D4" s="26">
        <v>1</v>
      </c>
      <c r="E4" t="s">
        <v>19</v>
      </c>
    </row>
    <row r="5" spans="1:10" ht="15" x14ac:dyDescent="0.25">
      <c r="A5" t="s">
        <v>139</v>
      </c>
      <c r="B5" t="s">
        <v>139</v>
      </c>
      <c r="C5" t="s">
        <v>139</v>
      </c>
      <c r="D5" s="26" t="s">
        <v>139</v>
      </c>
      <c r="E5" t="s">
        <v>139</v>
      </c>
    </row>
    <row r="6" spans="1:10" x14ac:dyDescent="0.3">
      <c r="A6" t="s">
        <v>127</v>
      </c>
      <c r="B6">
        <v>2</v>
      </c>
      <c r="C6" t="s">
        <v>129</v>
      </c>
      <c r="D6" s="27">
        <v>1</v>
      </c>
      <c r="E6" t="s">
        <v>10</v>
      </c>
      <c r="J6" s="14"/>
    </row>
    <row r="7" spans="1:10" x14ac:dyDescent="0.3">
      <c r="A7" t="s">
        <v>20</v>
      </c>
      <c r="B7">
        <v>3</v>
      </c>
      <c r="C7" t="s">
        <v>25</v>
      </c>
      <c r="D7" s="27">
        <v>265.76</v>
      </c>
      <c r="E7" t="s">
        <v>135</v>
      </c>
      <c r="J7" s="14"/>
    </row>
    <row r="8" spans="1:10" ht="15" x14ac:dyDescent="0.25">
      <c r="A8" t="s">
        <v>21</v>
      </c>
      <c r="B8">
        <v>3</v>
      </c>
      <c r="C8" t="s">
        <v>26</v>
      </c>
      <c r="D8" s="27">
        <v>99.272999999999996</v>
      </c>
      <c r="E8" t="s">
        <v>135</v>
      </c>
      <c r="J8" s="14"/>
    </row>
    <row r="9" spans="1:10" ht="15" x14ac:dyDescent="0.25">
      <c r="A9" t="s">
        <v>22</v>
      </c>
      <c r="B9">
        <v>3</v>
      </c>
      <c r="C9" t="s">
        <v>26</v>
      </c>
      <c r="D9" s="27">
        <v>88.064999999999998</v>
      </c>
      <c r="E9" t="s">
        <v>135</v>
      </c>
      <c r="J9" s="14"/>
    </row>
    <row r="10" spans="1:10" ht="15" x14ac:dyDescent="0.25">
      <c r="A10" t="s">
        <v>22</v>
      </c>
      <c r="B10">
        <v>3</v>
      </c>
      <c r="C10" t="s">
        <v>26</v>
      </c>
      <c r="D10" s="27">
        <v>88.064999999999998</v>
      </c>
      <c r="E10" t="s">
        <v>135</v>
      </c>
      <c r="J10" s="14"/>
    </row>
    <row r="11" spans="1:10" x14ac:dyDescent="0.3">
      <c r="A11" t="s">
        <v>23</v>
      </c>
      <c r="B11">
        <v>3</v>
      </c>
      <c r="C11" t="s">
        <v>132</v>
      </c>
      <c r="D11" s="27">
        <v>0.2</v>
      </c>
      <c r="E11" t="s">
        <v>66</v>
      </c>
      <c r="J11" s="14"/>
    </row>
    <row r="12" spans="1:10" ht="15" x14ac:dyDescent="0.25">
      <c r="A12" t="s">
        <v>27</v>
      </c>
      <c r="B12">
        <v>3</v>
      </c>
      <c r="C12" t="s">
        <v>131</v>
      </c>
      <c r="D12" s="27">
        <v>0.02</v>
      </c>
      <c r="E12" t="s">
        <v>19</v>
      </c>
      <c r="J12" s="14"/>
    </row>
    <row r="13" spans="1:10" x14ac:dyDescent="0.3">
      <c r="A13" t="s">
        <v>28</v>
      </c>
      <c r="B13">
        <v>3</v>
      </c>
      <c r="C13" t="s">
        <v>131</v>
      </c>
      <c r="D13" s="27">
        <v>0.02</v>
      </c>
      <c r="E13" t="s">
        <v>19</v>
      </c>
      <c r="J13" s="14"/>
    </row>
    <row r="14" spans="1:10" x14ac:dyDescent="0.3">
      <c r="A14" t="s">
        <v>29</v>
      </c>
      <c r="B14">
        <v>3</v>
      </c>
      <c r="C14" t="s">
        <v>132</v>
      </c>
      <c r="D14" s="27">
        <v>0.15</v>
      </c>
      <c r="E14" t="s">
        <v>66</v>
      </c>
    </row>
    <row r="15" spans="1:10" ht="15" x14ac:dyDescent="0.25">
      <c r="A15" t="s">
        <v>139</v>
      </c>
      <c r="B15" t="s">
        <v>139</v>
      </c>
      <c r="C15" t="s">
        <v>139</v>
      </c>
      <c r="D15" s="26" t="s">
        <v>139</v>
      </c>
      <c r="E15" t="s">
        <v>139</v>
      </c>
    </row>
    <row r="16" spans="1:10" x14ac:dyDescent="0.3">
      <c r="A16" t="s">
        <v>20</v>
      </c>
      <c r="B16">
        <v>3</v>
      </c>
      <c r="C16" t="s">
        <v>25</v>
      </c>
      <c r="D16" s="27">
        <v>1</v>
      </c>
      <c r="E16" t="s">
        <v>135</v>
      </c>
    </row>
    <row r="17" spans="1:5" x14ac:dyDescent="0.3">
      <c r="A17" t="s">
        <v>31</v>
      </c>
      <c r="B17">
        <v>4</v>
      </c>
      <c r="C17" t="s">
        <v>30</v>
      </c>
      <c r="D17" s="27">
        <f>95.27/265.76</f>
        <v>0.35848133654425046</v>
      </c>
      <c r="E17" t="s">
        <v>135</v>
      </c>
    </row>
    <row r="18" spans="1:5" x14ac:dyDescent="0.3">
      <c r="A18" t="s">
        <v>32</v>
      </c>
      <c r="B18">
        <v>4</v>
      </c>
      <c r="C18" t="s">
        <v>30</v>
      </c>
      <c r="D18" s="27">
        <f>169.03/265.76</f>
        <v>0.63602498494882609</v>
      </c>
      <c r="E18" t="s">
        <v>135</v>
      </c>
    </row>
    <row r="19" spans="1:5" x14ac:dyDescent="0.3">
      <c r="A19" t="s">
        <v>33</v>
      </c>
      <c r="B19">
        <v>4</v>
      </c>
      <c r="C19" t="s">
        <v>30</v>
      </c>
      <c r="D19" s="27">
        <f>1.46/265.76</f>
        <v>5.4936785069235397E-3</v>
      </c>
      <c r="E19" t="s">
        <v>135</v>
      </c>
    </row>
    <row r="20" spans="1:5" x14ac:dyDescent="0.3">
      <c r="A20" t="s">
        <v>34</v>
      </c>
      <c r="B20">
        <v>4</v>
      </c>
      <c r="C20" t="s">
        <v>132</v>
      </c>
      <c r="D20" s="27">
        <v>2.5000000000000001E-3</v>
      </c>
      <c r="E20" t="s">
        <v>66</v>
      </c>
    </row>
    <row r="21" spans="1:5" ht="15" x14ac:dyDescent="0.25">
      <c r="D21" s="27"/>
    </row>
    <row r="22" spans="1:5" ht="15" x14ac:dyDescent="0.25">
      <c r="A22" t="s">
        <v>31</v>
      </c>
      <c r="B22">
        <v>4</v>
      </c>
      <c r="C22" t="str">
        <f ca="1">+VLOOKUP(A22,'BOM Tanımları'!A21:E140,3,0)</f>
        <v>İPLİK</v>
      </c>
      <c r="D22" s="27">
        <v>1</v>
      </c>
      <c r="E22" t="str">
        <f ca="1">+VLOOKUP(C22,'BOM Tanımları'!C21:G140,3,0)</f>
        <v>Gram</v>
      </c>
    </row>
    <row r="23" spans="1:5" x14ac:dyDescent="0.3">
      <c r="A23" t="s">
        <v>36</v>
      </c>
      <c r="B23">
        <v>5</v>
      </c>
      <c r="C23" t="s">
        <v>30</v>
      </c>
      <c r="D23" s="27">
        <v>0.2</v>
      </c>
      <c r="E23" t="s">
        <v>135</v>
      </c>
    </row>
    <row r="24" spans="1:5" x14ac:dyDescent="0.3">
      <c r="A24" t="s">
        <v>37</v>
      </c>
      <c r="B24">
        <v>5</v>
      </c>
      <c r="C24" t="s">
        <v>30</v>
      </c>
      <c r="D24" s="27">
        <v>0.8</v>
      </c>
      <c r="E24" t="s">
        <v>135</v>
      </c>
    </row>
    <row r="25" spans="1:5" x14ac:dyDescent="0.3">
      <c r="A25" t="s">
        <v>38</v>
      </c>
      <c r="B25">
        <v>5</v>
      </c>
      <c r="C25" t="s">
        <v>132</v>
      </c>
      <c r="D25" s="27">
        <v>4.4999999999999997E-3</v>
      </c>
      <c r="E25" t="s">
        <v>66</v>
      </c>
    </row>
    <row r="26" spans="1:5" ht="15" x14ac:dyDescent="0.25">
      <c r="D26" s="27"/>
    </row>
    <row r="27" spans="1:5" x14ac:dyDescent="0.3">
      <c r="A27" t="s">
        <v>32</v>
      </c>
      <c r="B27">
        <v>4</v>
      </c>
      <c r="C27" t="s">
        <v>30</v>
      </c>
      <c r="D27" s="27">
        <v>1</v>
      </c>
      <c r="E27" t="s">
        <v>135</v>
      </c>
    </row>
    <row r="28" spans="1:5" x14ac:dyDescent="0.3">
      <c r="A28" t="s">
        <v>43</v>
      </c>
      <c r="B28">
        <v>5</v>
      </c>
      <c r="C28" t="s">
        <v>30</v>
      </c>
      <c r="D28" s="27">
        <v>0.15</v>
      </c>
      <c r="E28" t="s">
        <v>135</v>
      </c>
    </row>
    <row r="29" spans="1:5" ht="15" x14ac:dyDescent="0.25">
      <c r="A29" t="s">
        <v>40</v>
      </c>
      <c r="B29">
        <v>5</v>
      </c>
      <c r="C29" t="s">
        <v>39</v>
      </c>
      <c r="D29" s="27">
        <v>3.5000000000000003E-2</v>
      </c>
      <c r="E29" t="s">
        <v>135</v>
      </c>
    </row>
    <row r="30" spans="1:5" ht="15" x14ac:dyDescent="0.25">
      <c r="A30" t="s">
        <v>41</v>
      </c>
      <c r="B30">
        <v>5</v>
      </c>
      <c r="C30" t="s">
        <v>39</v>
      </c>
      <c r="D30" s="27">
        <v>7.1999999999999995E-2</v>
      </c>
      <c r="E30" t="s">
        <v>135</v>
      </c>
    </row>
    <row r="31" spans="1:5" ht="15" x14ac:dyDescent="0.25">
      <c r="A31" t="s">
        <v>42</v>
      </c>
      <c r="B31">
        <v>5</v>
      </c>
      <c r="C31" t="s">
        <v>39</v>
      </c>
      <c r="D31" s="27">
        <v>0.21199999999999999</v>
      </c>
      <c r="E31" t="s">
        <v>135</v>
      </c>
    </row>
    <row r="32" spans="1:5" x14ac:dyDescent="0.3">
      <c r="A32" t="s">
        <v>42</v>
      </c>
      <c r="B32">
        <v>5</v>
      </c>
      <c r="C32" t="s">
        <v>39</v>
      </c>
      <c r="D32" s="27">
        <v>0.248</v>
      </c>
      <c r="E32" t="s">
        <v>135</v>
      </c>
    </row>
    <row r="33" spans="1:5" x14ac:dyDescent="0.3">
      <c r="A33" t="s">
        <v>42</v>
      </c>
      <c r="B33">
        <v>5</v>
      </c>
      <c r="C33" t="s">
        <v>39</v>
      </c>
      <c r="D33" s="27">
        <v>0.28299999999999997</v>
      </c>
      <c r="E33" t="s">
        <v>135</v>
      </c>
    </row>
    <row r="34" spans="1:5" x14ac:dyDescent="0.3">
      <c r="A34" t="s">
        <v>44</v>
      </c>
      <c r="B34">
        <v>5</v>
      </c>
      <c r="C34" t="s">
        <v>132</v>
      </c>
      <c r="D34" s="26">
        <v>3.5000000000000001E-3</v>
      </c>
      <c r="E34" t="s">
        <v>66</v>
      </c>
    </row>
    <row r="35" spans="1:5" x14ac:dyDescent="0.3">
      <c r="A35" t="s">
        <v>139</v>
      </c>
      <c r="B35" t="s">
        <v>139</v>
      </c>
      <c r="C35" t="s">
        <v>139</v>
      </c>
      <c r="D35" s="26" t="s">
        <v>139</v>
      </c>
      <c r="E35" t="s">
        <v>139</v>
      </c>
    </row>
    <row r="36" spans="1:5" x14ac:dyDescent="0.3">
      <c r="A36" t="s">
        <v>21</v>
      </c>
      <c r="B36">
        <v>3</v>
      </c>
      <c r="C36" t="s">
        <v>26</v>
      </c>
      <c r="D36" s="27">
        <v>1</v>
      </c>
      <c r="E36" t="s">
        <v>135</v>
      </c>
    </row>
    <row r="37" spans="1:5" x14ac:dyDescent="0.3">
      <c r="A37" t="s">
        <v>78</v>
      </c>
      <c r="B37">
        <v>4</v>
      </c>
      <c r="C37" t="s">
        <v>30</v>
      </c>
      <c r="D37" s="27">
        <v>0.2</v>
      </c>
      <c r="E37" t="s">
        <v>135</v>
      </c>
    </row>
    <row r="38" spans="1:5" x14ac:dyDescent="0.3">
      <c r="A38" t="s">
        <v>79</v>
      </c>
      <c r="B38">
        <v>4</v>
      </c>
      <c r="C38" t="s">
        <v>30</v>
      </c>
      <c r="D38" s="27">
        <v>0.4</v>
      </c>
      <c r="E38" t="s">
        <v>135</v>
      </c>
    </row>
    <row r="39" spans="1:5" x14ac:dyDescent="0.3">
      <c r="A39" t="s">
        <v>80</v>
      </c>
      <c r="B39">
        <v>4</v>
      </c>
      <c r="C39" t="s">
        <v>30</v>
      </c>
      <c r="D39" s="27">
        <v>0.4</v>
      </c>
      <c r="E39" t="s">
        <v>135</v>
      </c>
    </row>
    <row r="40" spans="1:5" x14ac:dyDescent="0.3">
      <c r="A40" t="s">
        <v>81</v>
      </c>
      <c r="B40">
        <v>4</v>
      </c>
      <c r="C40" t="s">
        <v>132</v>
      </c>
      <c r="D40" s="27">
        <v>4.4999999999999997E-3</v>
      </c>
      <c r="E40" t="s">
        <v>66</v>
      </c>
    </row>
    <row r="41" spans="1:5" x14ac:dyDescent="0.3">
      <c r="A41" t="s">
        <v>139</v>
      </c>
      <c r="B41" t="s">
        <v>139</v>
      </c>
      <c r="C41" t="s">
        <v>139</v>
      </c>
      <c r="D41" s="27" t="s">
        <v>139</v>
      </c>
      <c r="E41" t="s">
        <v>139</v>
      </c>
    </row>
    <row r="42" spans="1:5" x14ac:dyDescent="0.3">
      <c r="A42" t="s">
        <v>78</v>
      </c>
      <c r="B42">
        <v>4</v>
      </c>
      <c r="C42" t="s">
        <v>30</v>
      </c>
      <c r="D42" s="27">
        <v>1</v>
      </c>
      <c r="E42" t="s">
        <v>135</v>
      </c>
    </row>
    <row r="43" spans="1:5" x14ac:dyDescent="0.3">
      <c r="A43" t="s">
        <v>82</v>
      </c>
      <c r="B43">
        <v>5</v>
      </c>
      <c r="C43" t="s">
        <v>30</v>
      </c>
      <c r="D43" s="27">
        <v>1</v>
      </c>
      <c r="E43" t="s">
        <v>135</v>
      </c>
    </row>
    <row r="44" spans="1:5" x14ac:dyDescent="0.3">
      <c r="A44" t="s">
        <v>95</v>
      </c>
      <c r="B44">
        <v>5</v>
      </c>
      <c r="C44" t="s">
        <v>134</v>
      </c>
      <c r="D44" s="27">
        <v>0.55000000000000004</v>
      </c>
      <c r="E44" t="s">
        <v>135</v>
      </c>
    </row>
    <row r="45" spans="1:5" x14ac:dyDescent="0.3">
      <c r="A45" t="s">
        <v>96</v>
      </c>
      <c r="B45">
        <v>5</v>
      </c>
      <c r="C45" t="s">
        <v>134</v>
      </c>
      <c r="D45" s="27">
        <v>0.21</v>
      </c>
      <c r="E45" t="s">
        <v>135</v>
      </c>
    </row>
    <row r="46" spans="1:5" x14ac:dyDescent="0.3">
      <c r="A46" t="s">
        <v>97</v>
      </c>
      <c r="B46">
        <v>5</v>
      </c>
      <c r="C46" t="s">
        <v>134</v>
      </c>
      <c r="D46" s="27">
        <v>1</v>
      </c>
      <c r="E46" t="s">
        <v>135</v>
      </c>
    </row>
    <row r="47" spans="1:5" x14ac:dyDescent="0.3">
      <c r="A47" t="s">
        <v>98</v>
      </c>
      <c r="B47">
        <v>5</v>
      </c>
      <c r="C47" t="s">
        <v>134</v>
      </c>
      <c r="D47" s="27">
        <v>1</v>
      </c>
      <c r="E47" t="s">
        <v>135</v>
      </c>
    </row>
    <row r="48" spans="1:5" x14ac:dyDescent="0.3">
      <c r="A48" t="s">
        <v>99</v>
      </c>
      <c r="B48">
        <v>5</v>
      </c>
      <c r="C48" t="s">
        <v>46</v>
      </c>
      <c r="D48" s="27">
        <v>0.1091</v>
      </c>
      <c r="E48" t="s">
        <v>135</v>
      </c>
    </row>
    <row r="49" spans="1:5" x14ac:dyDescent="0.3">
      <c r="A49" t="s">
        <v>100</v>
      </c>
      <c r="B49">
        <v>5</v>
      </c>
      <c r="C49" t="s">
        <v>46</v>
      </c>
      <c r="D49" s="27">
        <v>8.94E-3</v>
      </c>
      <c r="E49" t="s">
        <v>135</v>
      </c>
    </row>
    <row r="50" spans="1:5" x14ac:dyDescent="0.3">
      <c r="A50" t="s">
        <v>101</v>
      </c>
      <c r="B50">
        <v>5</v>
      </c>
      <c r="C50" t="s">
        <v>46</v>
      </c>
      <c r="D50" s="27">
        <v>2.427E-2</v>
      </c>
      <c r="E50" t="s">
        <v>135</v>
      </c>
    </row>
    <row r="51" spans="1:5" x14ac:dyDescent="0.3">
      <c r="A51" t="s">
        <v>102</v>
      </c>
      <c r="B51">
        <v>5</v>
      </c>
      <c r="C51" t="s">
        <v>132</v>
      </c>
      <c r="D51" s="27">
        <v>5.0000000000000001E-3</v>
      </c>
      <c r="E51" t="s">
        <v>66</v>
      </c>
    </row>
    <row r="52" spans="1:5" x14ac:dyDescent="0.3">
      <c r="A52" t="s">
        <v>103</v>
      </c>
      <c r="B52">
        <v>5</v>
      </c>
      <c r="C52" t="s">
        <v>134</v>
      </c>
      <c r="D52" s="27">
        <v>0.5</v>
      </c>
      <c r="E52" t="s">
        <v>135</v>
      </c>
    </row>
    <row r="53" spans="1:5" x14ac:dyDescent="0.3">
      <c r="A53" t="s">
        <v>104</v>
      </c>
      <c r="B53">
        <v>5</v>
      </c>
      <c r="C53" t="s">
        <v>134</v>
      </c>
      <c r="D53" s="27">
        <v>0.35</v>
      </c>
      <c r="E53" t="s">
        <v>135</v>
      </c>
    </row>
    <row r="54" spans="1:5" x14ac:dyDescent="0.3">
      <c r="A54" t="s">
        <v>105</v>
      </c>
      <c r="B54">
        <v>5</v>
      </c>
      <c r="C54" t="s">
        <v>132</v>
      </c>
      <c r="D54" s="27">
        <v>4.0000000000000001E-3</v>
      </c>
      <c r="E54" t="s">
        <v>66</v>
      </c>
    </row>
    <row r="55" spans="1:5" x14ac:dyDescent="0.3">
      <c r="A55" t="s">
        <v>139</v>
      </c>
      <c r="B55" t="s">
        <v>139</v>
      </c>
      <c r="C55" t="s">
        <v>139</v>
      </c>
      <c r="D55" s="27" t="s">
        <v>139</v>
      </c>
      <c r="E55" t="s">
        <v>139</v>
      </c>
    </row>
    <row r="56" spans="1:5" x14ac:dyDescent="0.3">
      <c r="A56" t="s">
        <v>79</v>
      </c>
      <c r="B56">
        <v>4</v>
      </c>
      <c r="C56" t="str">
        <f>+VLOOKUP(A56,'BOM Tanımları'!A33:E152,3,0)</f>
        <v>İPLİK</v>
      </c>
      <c r="D56" s="27">
        <v>1</v>
      </c>
      <c r="E56" t="str">
        <f>+VLOOKUP(C56,'BOM Tanımları'!C33:G152,3,0)</f>
        <v>Gram</v>
      </c>
    </row>
    <row r="57" spans="1:5" x14ac:dyDescent="0.3">
      <c r="A57" t="s">
        <v>82</v>
      </c>
      <c r="B57">
        <v>5</v>
      </c>
      <c r="C57" t="s">
        <v>30</v>
      </c>
      <c r="D57" s="27">
        <v>1</v>
      </c>
      <c r="E57" t="s">
        <v>135</v>
      </c>
    </row>
    <row r="58" spans="1:5" x14ac:dyDescent="0.3">
      <c r="A58" t="s">
        <v>106</v>
      </c>
      <c r="B58">
        <v>5</v>
      </c>
      <c r="C58" t="s">
        <v>134</v>
      </c>
      <c r="D58" s="27">
        <v>0.55000000000000004</v>
      </c>
      <c r="E58" t="s">
        <v>135</v>
      </c>
    </row>
    <row r="59" spans="1:5" x14ac:dyDescent="0.3">
      <c r="A59" t="s">
        <v>96</v>
      </c>
      <c r="B59">
        <v>5</v>
      </c>
      <c r="C59" t="s">
        <v>134</v>
      </c>
      <c r="D59" s="27">
        <v>0.21</v>
      </c>
      <c r="E59" t="s">
        <v>135</v>
      </c>
    </row>
    <row r="60" spans="1:5" x14ac:dyDescent="0.3">
      <c r="A60" t="s">
        <v>97</v>
      </c>
      <c r="B60">
        <v>5</v>
      </c>
      <c r="C60" t="s">
        <v>134</v>
      </c>
      <c r="D60" s="27">
        <v>1.5</v>
      </c>
      <c r="E60" t="s">
        <v>135</v>
      </c>
    </row>
    <row r="61" spans="1:5" x14ac:dyDescent="0.3">
      <c r="A61" t="s">
        <v>107</v>
      </c>
      <c r="B61">
        <v>5</v>
      </c>
      <c r="C61" t="s">
        <v>134</v>
      </c>
      <c r="D61" s="27">
        <v>0.25</v>
      </c>
      <c r="E61" t="s">
        <v>135</v>
      </c>
    </row>
    <row r="62" spans="1:5" x14ac:dyDescent="0.3">
      <c r="A62" t="s">
        <v>98</v>
      </c>
      <c r="B62">
        <v>5</v>
      </c>
      <c r="C62" t="s">
        <v>134</v>
      </c>
      <c r="D62" s="27">
        <v>1</v>
      </c>
      <c r="E62" t="s">
        <v>135</v>
      </c>
    </row>
    <row r="63" spans="1:5" x14ac:dyDescent="0.3">
      <c r="A63" t="s">
        <v>108</v>
      </c>
      <c r="B63">
        <v>5</v>
      </c>
      <c r="C63" t="s">
        <v>46</v>
      </c>
      <c r="D63" s="27">
        <v>6.7599999999999993E-2</v>
      </c>
      <c r="E63" t="s">
        <v>135</v>
      </c>
    </row>
    <row r="64" spans="1:5" x14ac:dyDescent="0.3">
      <c r="A64" t="s">
        <v>100</v>
      </c>
      <c r="B64">
        <v>5</v>
      </c>
      <c r="C64" t="s">
        <v>46</v>
      </c>
      <c r="D64" s="27">
        <v>5.1700000000000003E-2</v>
      </c>
      <c r="E64" t="s">
        <v>135</v>
      </c>
    </row>
    <row r="65" spans="1:5" x14ac:dyDescent="0.3">
      <c r="A65" t="s">
        <v>101</v>
      </c>
      <c r="B65">
        <v>5</v>
      </c>
      <c r="C65" t="s">
        <v>46</v>
      </c>
      <c r="D65" s="27">
        <v>6.4100000000000004E-2</v>
      </c>
      <c r="E65" t="s">
        <v>135</v>
      </c>
    </row>
    <row r="66" spans="1:5" x14ac:dyDescent="0.3">
      <c r="A66" t="s">
        <v>102</v>
      </c>
      <c r="B66">
        <v>5</v>
      </c>
      <c r="C66" t="s">
        <v>132</v>
      </c>
      <c r="D66" s="27">
        <v>5.0000000000000001E-3</v>
      </c>
      <c r="E66" t="s">
        <v>174</v>
      </c>
    </row>
    <row r="67" spans="1:5" x14ac:dyDescent="0.3">
      <c r="A67" t="s">
        <v>109</v>
      </c>
      <c r="B67">
        <v>5</v>
      </c>
      <c r="C67" t="s">
        <v>134</v>
      </c>
      <c r="D67" s="27">
        <v>0.5</v>
      </c>
      <c r="E67" t="s">
        <v>135</v>
      </c>
    </row>
    <row r="68" spans="1:5" x14ac:dyDescent="0.3">
      <c r="A68" t="s">
        <v>110</v>
      </c>
      <c r="B68">
        <v>5</v>
      </c>
      <c r="C68" t="s">
        <v>132</v>
      </c>
      <c r="D68" s="27">
        <v>4.0000000000000001E-3</v>
      </c>
      <c r="E68" t="s">
        <v>66</v>
      </c>
    </row>
    <row r="69" spans="1:5" x14ac:dyDescent="0.3">
      <c r="A69" t="s">
        <v>104</v>
      </c>
      <c r="B69">
        <v>5</v>
      </c>
      <c r="C69" t="s">
        <v>134</v>
      </c>
      <c r="D69" s="27">
        <v>0.45</v>
      </c>
      <c r="E69" t="s">
        <v>135</v>
      </c>
    </row>
    <row r="70" spans="1:5" x14ac:dyDescent="0.3">
      <c r="A70" t="s">
        <v>103</v>
      </c>
      <c r="B70">
        <v>5</v>
      </c>
      <c r="C70" t="s">
        <v>134</v>
      </c>
      <c r="D70" s="27">
        <v>0.5</v>
      </c>
      <c r="E70" t="s">
        <v>135</v>
      </c>
    </row>
    <row r="71" spans="1:5" x14ac:dyDescent="0.3">
      <c r="A71" t="s">
        <v>105</v>
      </c>
      <c r="B71">
        <v>5</v>
      </c>
      <c r="C71" t="s">
        <v>132</v>
      </c>
      <c r="D71" s="27">
        <v>6.0000000000000001E-3</v>
      </c>
      <c r="E71" t="s">
        <v>66</v>
      </c>
    </row>
    <row r="72" spans="1:5" x14ac:dyDescent="0.3">
      <c r="A72" t="s">
        <v>139</v>
      </c>
      <c r="B72" t="s">
        <v>139</v>
      </c>
      <c r="C72" t="s">
        <v>139</v>
      </c>
      <c r="D72" s="27" t="s">
        <v>139</v>
      </c>
      <c r="E72" t="s">
        <v>139</v>
      </c>
    </row>
    <row r="73" spans="1:5" x14ac:dyDescent="0.3">
      <c r="A73" t="s">
        <v>80</v>
      </c>
      <c r="B73">
        <v>4</v>
      </c>
      <c r="C73" t="str">
        <f>+VLOOKUP(A73,'BOM Tanımları'!A35:E154,3,0)</f>
        <v>İPLİK</v>
      </c>
      <c r="D73" s="27">
        <v>1</v>
      </c>
      <c r="E73" t="str">
        <f>+VLOOKUP(C73,'BOM Tanımları'!C35:G154,3,0)</f>
        <v>Gram</v>
      </c>
    </row>
    <row r="74" spans="1:5" x14ac:dyDescent="0.3">
      <c r="A74" t="s">
        <v>82</v>
      </c>
      <c r="B74">
        <v>5</v>
      </c>
      <c r="C74" t="s">
        <v>30</v>
      </c>
      <c r="D74" s="27">
        <v>1</v>
      </c>
      <c r="E74" t="s">
        <v>135</v>
      </c>
    </row>
    <row r="75" spans="1:5" x14ac:dyDescent="0.3">
      <c r="A75" t="s">
        <v>111</v>
      </c>
      <c r="B75">
        <v>5</v>
      </c>
      <c r="C75" t="s">
        <v>134</v>
      </c>
      <c r="D75" s="27">
        <v>1</v>
      </c>
      <c r="E75" t="s">
        <v>135</v>
      </c>
    </row>
    <row r="76" spans="1:5" x14ac:dyDescent="0.3">
      <c r="A76" t="s">
        <v>112</v>
      </c>
      <c r="B76">
        <v>5</v>
      </c>
      <c r="C76" t="s">
        <v>134</v>
      </c>
      <c r="D76" s="27">
        <v>0.5</v>
      </c>
      <c r="E76" t="s">
        <v>135</v>
      </c>
    </row>
    <row r="77" spans="1:5" x14ac:dyDescent="0.3">
      <c r="A77" t="s">
        <v>103</v>
      </c>
      <c r="B77">
        <v>5</v>
      </c>
      <c r="C77" t="s">
        <v>134</v>
      </c>
      <c r="D77" s="27">
        <v>0.5</v>
      </c>
      <c r="E77" t="s">
        <v>135</v>
      </c>
    </row>
    <row r="78" spans="1:5" x14ac:dyDescent="0.3">
      <c r="A78" t="s">
        <v>113</v>
      </c>
      <c r="B78">
        <v>5</v>
      </c>
      <c r="C78" t="s">
        <v>134</v>
      </c>
      <c r="D78" s="27">
        <v>1.2</v>
      </c>
      <c r="E78" t="s">
        <v>135</v>
      </c>
    </row>
    <row r="79" spans="1:5" x14ac:dyDescent="0.3">
      <c r="A79" t="s">
        <v>102</v>
      </c>
      <c r="B79">
        <v>5</v>
      </c>
      <c r="C79" t="s">
        <v>132</v>
      </c>
      <c r="D79" s="27">
        <v>5.0000000000000001E-3</v>
      </c>
      <c r="E79" t="s">
        <v>66</v>
      </c>
    </row>
    <row r="80" spans="1:5" x14ac:dyDescent="0.3">
      <c r="A80" t="s">
        <v>110</v>
      </c>
      <c r="B80">
        <v>5</v>
      </c>
      <c r="C80" t="s">
        <v>132</v>
      </c>
      <c r="D80" s="27">
        <v>7.0000000000000001E-3</v>
      </c>
      <c r="E80" t="s">
        <v>66</v>
      </c>
    </row>
    <row r="81" spans="1:5" x14ac:dyDescent="0.3">
      <c r="A81" t="s">
        <v>139</v>
      </c>
      <c r="B81" t="s">
        <v>139</v>
      </c>
      <c r="C81" t="s">
        <v>139</v>
      </c>
      <c r="D81" s="26" t="s">
        <v>139</v>
      </c>
      <c r="E81" t="s">
        <v>139</v>
      </c>
    </row>
    <row r="82" spans="1:5" x14ac:dyDescent="0.3">
      <c r="A82" t="s">
        <v>22</v>
      </c>
      <c r="B82">
        <v>3</v>
      </c>
      <c r="C82" t="s">
        <v>26</v>
      </c>
      <c r="D82" s="27">
        <v>1</v>
      </c>
      <c r="E82" t="s">
        <v>135</v>
      </c>
    </row>
    <row r="83" spans="1:5" x14ac:dyDescent="0.3">
      <c r="A83" t="s">
        <v>85</v>
      </c>
      <c r="B83">
        <v>4</v>
      </c>
      <c r="C83" t="s">
        <v>30</v>
      </c>
      <c r="D83" s="27">
        <v>0.15</v>
      </c>
      <c r="E83" t="s">
        <v>135</v>
      </c>
    </row>
    <row r="84" spans="1:5" x14ac:dyDescent="0.3">
      <c r="A84" t="s">
        <v>86</v>
      </c>
      <c r="B84">
        <v>4</v>
      </c>
      <c r="C84" t="s">
        <v>39</v>
      </c>
      <c r="D84" s="27">
        <v>3.5000000000000003E-2</v>
      </c>
      <c r="E84" t="s">
        <v>135</v>
      </c>
    </row>
    <row r="85" spans="1:5" x14ac:dyDescent="0.3">
      <c r="A85" t="s">
        <v>87</v>
      </c>
      <c r="B85">
        <v>4</v>
      </c>
      <c r="C85" t="s">
        <v>39</v>
      </c>
      <c r="D85" s="27">
        <v>0.28299999999999997</v>
      </c>
      <c r="E85" t="s">
        <v>135</v>
      </c>
    </row>
    <row r="86" spans="1:5" x14ac:dyDescent="0.3">
      <c r="A86" t="s">
        <v>88</v>
      </c>
      <c r="B86">
        <v>4</v>
      </c>
      <c r="C86" t="s">
        <v>39</v>
      </c>
      <c r="D86" s="27">
        <v>0.248</v>
      </c>
      <c r="E86" t="s">
        <v>135</v>
      </c>
    </row>
    <row r="87" spans="1:5" x14ac:dyDescent="0.3">
      <c r="A87" t="s">
        <v>89</v>
      </c>
      <c r="B87">
        <v>4</v>
      </c>
      <c r="C87" t="s">
        <v>39</v>
      </c>
      <c r="D87" s="27">
        <v>3.5000000000000003E-2</v>
      </c>
      <c r="E87" t="s">
        <v>135</v>
      </c>
    </row>
    <row r="88" spans="1:5" x14ac:dyDescent="0.3">
      <c r="A88" t="s">
        <v>90</v>
      </c>
      <c r="B88">
        <v>4</v>
      </c>
      <c r="C88" t="s">
        <v>39</v>
      </c>
      <c r="D88" s="27">
        <v>0.248</v>
      </c>
      <c r="E88" t="s">
        <v>135</v>
      </c>
    </row>
    <row r="89" spans="1:5" x14ac:dyDescent="0.3">
      <c r="A89" t="s">
        <v>91</v>
      </c>
      <c r="B89">
        <v>4</v>
      </c>
      <c r="C89" t="s">
        <v>132</v>
      </c>
      <c r="D89" s="27">
        <v>7.4999999999999997E-3</v>
      </c>
      <c r="E89" t="s">
        <v>66</v>
      </c>
    </row>
    <row r="90" spans="1:5" x14ac:dyDescent="0.3">
      <c r="A90" t="s">
        <v>139</v>
      </c>
      <c r="B90" t="s">
        <v>139</v>
      </c>
      <c r="C90" t="s">
        <v>139</v>
      </c>
      <c r="D90" s="26" t="s">
        <v>139</v>
      </c>
      <c r="E90" t="s">
        <v>139</v>
      </c>
    </row>
    <row r="91" spans="1:5" x14ac:dyDescent="0.3">
      <c r="A91" t="s">
        <v>85</v>
      </c>
      <c r="B91">
        <v>4</v>
      </c>
      <c r="C91" t="str">
        <f>+VLOOKUP(A91,'BOM Tanımları'!A46:E165,3,0)</f>
        <v>İPLİK</v>
      </c>
      <c r="D91" s="27">
        <v>1</v>
      </c>
      <c r="E91" t="str">
        <f>+VLOOKUP(C91,'BOM Tanımları'!C46:G165,3,0)</f>
        <v>Gram</v>
      </c>
    </row>
    <row r="92" spans="1:5" x14ac:dyDescent="0.3">
      <c r="A92" t="s">
        <v>114</v>
      </c>
      <c r="B92">
        <v>5</v>
      </c>
      <c r="C92" t="s">
        <v>30</v>
      </c>
      <c r="D92" s="27">
        <v>1</v>
      </c>
      <c r="E92" t="s">
        <v>135</v>
      </c>
    </row>
    <row r="93" spans="1:5" x14ac:dyDescent="0.3">
      <c r="A93" t="s">
        <v>106</v>
      </c>
      <c r="B93">
        <v>5</v>
      </c>
      <c r="C93" t="s">
        <v>134</v>
      </c>
      <c r="D93" s="27">
        <v>0.55000000000000004</v>
      </c>
      <c r="E93" t="s">
        <v>135</v>
      </c>
    </row>
    <row r="94" spans="1:5" x14ac:dyDescent="0.3">
      <c r="A94" t="s">
        <v>96</v>
      </c>
      <c r="B94">
        <v>5</v>
      </c>
      <c r="C94" t="s">
        <v>134</v>
      </c>
      <c r="D94" s="27">
        <v>0.21</v>
      </c>
      <c r="E94" t="s">
        <v>135</v>
      </c>
    </row>
    <row r="95" spans="1:5" x14ac:dyDescent="0.3">
      <c r="A95" t="s">
        <v>97</v>
      </c>
      <c r="B95">
        <v>5</v>
      </c>
      <c r="C95" t="s">
        <v>134</v>
      </c>
      <c r="D95" s="27">
        <v>1</v>
      </c>
      <c r="E95" t="s">
        <v>135</v>
      </c>
    </row>
    <row r="96" spans="1:5" x14ac:dyDescent="0.3">
      <c r="A96" t="s">
        <v>108</v>
      </c>
      <c r="B96">
        <v>5</v>
      </c>
      <c r="C96" t="s">
        <v>46</v>
      </c>
      <c r="D96" s="27">
        <v>4.2000000000000003E-2</v>
      </c>
      <c r="E96" t="s">
        <v>135</v>
      </c>
    </row>
    <row r="97" spans="1:5" x14ac:dyDescent="0.3">
      <c r="A97" t="s">
        <v>100</v>
      </c>
      <c r="B97">
        <v>5</v>
      </c>
      <c r="C97" t="s">
        <v>46</v>
      </c>
      <c r="D97" s="27">
        <v>3.2280000000000003E-2</v>
      </c>
      <c r="E97" t="s">
        <v>135</v>
      </c>
    </row>
    <row r="98" spans="1:5" x14ac:dyDescent="0.3">
      <c r="A98" t="s">
        <v>101</v>
      </c>
      <c r="B98">
        <v>5</v>
      </c>
      <c r="C98" t="s">
        <v>46</v>
      </c>
      <c r="D98" s="27">
        <v>2.9000000000000001E-2</v>
      </c>
      <c r="E98" t="s">
        <v>135</v>
      </c>
    </row>
    <row r="99" spans="1:5" x14ac:dyDescent="0.3">
      <c r="A99" t="s">
        <v>102</v>
      </c>
      <c r="B99">
        <v>5</v>
      </c>
      <c r="C99" t="s">
        <v>132</v>
      </c>
      <c r="D99" s="27">
        <v>5.0000000000000001E-3</v>
      </c>
      <c r="E99" t="s">
        <v>66</v>
      </c>
    </row>
    <row r="100" spans="1:5" x14ac:dyDescent="0.3">
      <c r="A100" t="s">
        <v>104</v>
      </c>
      <c r="B100">
        <v>5</v>
      </c>
      <c r="C100" t="s">
        <v>134</v>
      </c>
      <c r="D100" s="27">
        <v>0.35</v>
      </c>
      <c r="E100" t="s">
        <v>135</v>
      </c>
    </row>
    <row r="101" spans="1:5" x14ac:dyDescent="0.3">
      <c r="A101" t="s">
        <v>103</v>
      </c>
      <c r="B101">
        <v>5</v>
      </c>
      <c r="C101" t="s">
        <v>134</v>
      </c>
      <c r="D101" s="27">
        <v>0.5</v>
      </c>
      <c r="E101" t="s">
        <v>135</v>
      </c>
    </row>
    <row r="102" spans="1:5" x14ac:dyDescent="0.3">
      <c r="A102" t="s">
        <v>105</v>
      </c>
      <c r="B102">
        <v>5</v>
      </c>
      <c r="C102" t="s">
        <v>132</v>
      </c>
      <c r="D102" s="27">
        <v>8.0000000000000002E-3</v>
      </c>
      <c r="E102" t="s">
        <v>66</v>
      </c>
    </row>
    <row r="103" spans="1:5" x14ac:dyDescent="0.3">
      <c r="A103" t="s">
        <v>139</v>
      </c>
      <c r="B103" t="s">
        <v>139</v>
      </c>
      <c r="C103" t="s">
        <v>139</v>
      </c>
      <c r="D103" s="26" t="s">
        <v>139</v>
      </c>
      <c r="E103" t="s">
        <v>139</v>
      </c>
    </row>
    <row r="104" spans="1:5" x14ac:dyDescent="0.3">
      <c r="A104" t="s">
        <v>22</v>
      </c>
      <c r="B104">
        <v>3</v>
      </c>
      <c r="C104" t="s">
        <v>26</v>
      </c>
      <c r="D104" s="27">
        <v>1</v>
      </c>
      <c r="E104" t="s">
        <v>135</v>
      </c>
    </row>
    <row r="105" spans="1:5" x14ac:dyDescent="0.3">
      <c r="A105" t="s">
        <v>85</v>
      </c>
      <c r="B105">
        <v>4</v>
      </c>
      <c r="C105" t="s">
        <v>30</v>
      </c>
      <c r="D105" s="27">
        <v>0.15</v>
      </c>
      <c r="E105" t="s">
        <v>135</v>
      </c>
    </row>
    <row r="106" spans="1:5" x14ac:dyDescent="0.3">
      <c r="A106" t="s">
        <v>86</v>
      </c>
      <c r="B106">
        <v>4</v>
      </c>
      <c r="C106" t="s">
        <v>39</v>
      </c>
      <c r="D106" s="27">
        <v>3.5000000000000003E-2</v>
      </c>
      <c r="E106" t="s">
        <v>135</v>
      </c>
    </row>
    <row r="107" spans="1:5" x14ac:dyDescent="0.3">
      <c r="A107" t="s">
        <v>87</v>
      </c>
      <c r="B107">
        <v>4</v>
      </c>
      <c r="C107" t="s">
        <v>39</v>
      </c>
      <c r="D107" s="27">
        <v>0.28299999999999997</v>
      </c>
      <c r="E107" t="s">
        <v>135</v>
      </c>
    </row>
    <row r="108" spans="1:5" x14ac:dyDescent="0.3">
      <c r="A108" t="s">
        <v>88</v>
      </c>
      <c r="B108">
        <v>4</v>
      </c>
      <c r="C108" t="s">
        <v>39</v>
      </c>
      <c r="D108" s="27">
        <v>0.248</v>
      </c>
      <c r="E108" t="s">
        <v>135</v>
      </c>
    </row>
    <row r="109" spans="1:5" x14ac:dyDescent="0.3">
      <c r="A109" t="s">
        <v>89</v>
      </c>
      <c r="B109">
        <v>4</v>
      </c>
      <c r="C109" t="s">
        <v>39</v>
      </c>
      <c r="D109" s="27">
        <v>3.5000000000000003E-2</v>
      </c>
      <c r="E109" t="s">
        <v>135</v>
      </c>
    </row>
    <row r="110" spans="1:5" x14ac:dyDescent="0.3">
      <c r="A110" t="s">
        <v>90</v>
      </c>
      <c r="B110">
        <v>4</v>
      </c>
      <c r="C110" t="s">
        <v>39</v>
      </c>
      <c r="D110" s="27">
        <v>0.248</v>
      </c>
      <c r="E110" t="s">
        <v>135</v>
      </c>
    </row>
    <row r="111" spans="1:5" x14ac:dyDescent="0.3">
      <c r="A111" t="s">
        <v>91</v>
      </c>
      <c r="B111">
        <v>4</v>
      </c>
      <c r="C111" t="s">
        <v>132</v>
      </c>
      <c r="D111" s="27">
        <v>8.0000000000000002E-3</v>
      </c>
      <c r="E111" t="s">
        <v>66</v>
      </c>
    </row>
    <row r="112" spans="1:5" x14ac:dyDescent="0.3">
      <c r="A112" t="s">
        <v>139</v>
      </c>
      <c r="B112" t="s">
        <v>139</v>
      </c>
      <c r="C112" t="s">
        <v>139</v>
      </c>
      <c r="D112" s="26" t="s">
        <v>139</v>
      </c>
      <c r="E112" t="s">
        <v>139</v>
      </c>
    </row>
    <row r="113" spans="1:5" x14ac:dyDescent="0.3">
      <c r="A113" t="s">
        <v>116</v>
      </c>
      <c r="B113">
        <v>2</v>
      </c>
      <c r="C113" t="s">
        <v>130</v>
      </c>
      <c r="D113" s="26">
        <v>1</v>
      </c>
      <c r="E113" t="s">
        <v>19</v>
      </c>
    </row>
    <row r="114" spans="1:5" x14ac:dyDescent="0.3">
      <c r="A114" t="s">
        <v>117</v>
      </c>
      <c r="B114">
        <v>3</v>
      </c>
      <c r="C114" t="s">
        <v>132</v>
      </c>
      <c r="D114" s="27">
        <v>0.2</v>
      </c>
      <c r="E114" t="s">
        <v>66</v>
      </c>
    </row>
    <row r="115" spans="1:5" x14ac:dyDescent="0.3">
      <c r="A115" t="s">
        <v>120</v>
      </c>
      <c r="B115">
        <v>3</v>
      </c>
      <c r="C115" t="s">
        <v>132</v>
      </c>
      <c r="D115" s="27">
        <v>0.21</v>
      </c>
      <c r="E115" t="s">
        <v>66</v>
      </c>
    </row>
    <row r="116" spans="1:5" x14ac:dyDescent="0.3">
      <c r="A116" t="s">
        <v>118</v>
      </c>
      <c r="B116">
        <v>3</v>
      </c>
      <c r="C116" t="s">
        <v>134</v>
      </c>
      <c r="D116" s="27">
        <v>3</v>
      </c>
      <c r="E116" t="s">
        <v>135</v>
      </c>
    </row>
    <row r="117" spans="1:5" x14ac:dyDescent="0.3">
      <c r="A117" t="s">
        <v>119</v>
      </c>
      <c r="B117">
        <v>3</v>
      </c>
      <c r="C117" t="s">
        <v>132</v>
      </c>
      <c r="D117" s="27">
        <v>0.26</v>
      </c>
      <c r="E117" t="s">
        <v>66</v>
      </c>
    </row>
    <row r="118" spans="1:5" x14ac:dyDescent="0.3">
      <c r="A118" t="s">
        <v>28</v>
      </c>
      <c r="B118">
        <v>3</v>
      </c>
      <c r="C118" t="s">
        <v>131</v>
      </c>
      <c r="D118" s="27">
        <v>0.02</v>
      </c>
      <c r="E118" t="s">
        <v>19</v>
      </c>
    </row>
    <row r="119" spans="1:5" x14ac:dyDescent="0.3">
      <c r="A119" t="s">
        <v>27</v>
      </c>
      <c r="B119">
        <v>3</v>
      </c>
      <c r="C119" t="s">
        <v>131</v>
      </c>
      <c r="D119" s="27">
        <v>0.02</v>
      </c>
      <c r="E119" t="s">
        <v>19</v>
      </c>
    </row>
    <row r="120" spans="1:5" x14ac:dyDescent="0.3">
      <c r="A120" t="s">
        <v>121</v>
      </c>
      <c r="B120">
        <v>3</v>
      </c>
      <c r="C120" t="s">
        <v>132</v>
      </c>
      <c r="D120" s="27">
        <v>0.08</v>
      </c>
      <c r="E120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zoomScale="85" zoomScaleNormal="85" workbookViewId="0">
      <selection activeCell="I5" sqref="I5"/>
    </sheetView>
  </sheetViews>
  <sheetFormatPr defaultRowHeight="14.4" x14ac:dyDescent="0.3"/>
  <cols>
    <col min="1" max="1" width="33.88671875" bestFit="1" customWidth="1"/>
    <col min="2" max="2" width="5.88671875" customWidth="1"/>
    <col min="3" max="3" width="7.6640625" style="16" bestFit="1" customWidth="1"/>
    <col min="4" max="4" width="5.21875" bestFit="1" customWidth="1"/>
    <col min="5" max="5" width="9.33203125" style="15" customWidth="1"/>
    <col min="6" max="6" width="2.88671875" customWidth="1"/>
    <col min="7" max="7" width="2" bestFit="1" customWidth="1"/>
    <col min="8" max="8" width="5.109375" bestFit="1" customWidth="1"/>
    <col min="9" max="9" width="6" bestFit="1" customWidth="1"/>
    <col min="10" max="10" width="5.109375" bestFit="1" customWidth="1"/>
    <col min="11" max="11" width="26.88671875" style="44" bestFit="1" customWidth="1"/>
    <col min="12" max="12" width="3.109375" customWidth="1"/>
    <col min="13" max="13" width="26" customWidth="1"/>
    <col min="14" max="14" width="8.6640625" style="15" customWidth="1"/>
    <col min="15" max="15" width="7.6640625" customWidth="1"/>
    <col min="16" max="16" width="7" customWidth="1"/>
    <col min="17" max="17" width="10.33203125" customWidth="1"/>
    <col min="18" max="18" width="10" customWidth="1"/>
    <col min="19" max="19" width="9.21875" customWidth="1"/>
    <col min="20" max="20" width="7.33203125" style="19" bestFit="1" customWidth="1"/>
    <col min="21" max="21" width="10.88671875" bestFit="1" customWidth="1"/>
    <col min="22" max="22" width="8.33203125" bestFit="1" customWidth="1"/>
    <col min="23" max="23" width="8.33203125" style="21" bestFit="1" customWidth="1"/>
  </cols>
  <sheetData>
    <row r="1" spans="1:24" s="43" customFormat="1" ht="71.400000000000006" customHeight="1" x14ac:dyDescent="0.3">
      <c r="A1" s="50" t="s">
        <v>133</v>
      </c>
      <c r="B1" s="50" t="s">
        <v>141</v>
      </c>
      <c r="C1" s="55" t="s">
        <v>142</v>
      </c>
      <c r="D1" s="50" t="s">
        <v>138</v>
      </c>
      <c r="E1" s="54" t="s">
        <v>154</v>
      </c>
      <c r="F1" s="50"/>
      <c r="G1" s="56" t="s">
        <v>149</v>
      </c>
      <c r="H1" s="56"/>
      <c r="I1" s="56"/>
      <c r="J1" s="56"/>
      <c r="K1" s="56"/>
      <c r="M1" s="50" t="s">
        <v>153</v>
      </c>
      <c r="N1" s="51" t="s">
        <v>212</v>
      </c>
      <c r="O1" s="51" t="s">
        <v>165</v>
      </c>
      <c r="P1" s="51" t="s">
        <v>211</v>
      </c>
      <c r="Q1" s="51" t="s">
        <v>208</v>
      </c>
      <c r="R1" s="51" t="s">
        <v>209</v>
      </c>
      <c r="S1" s="51" t="s">
        <v>164</v>
      </c>
      <c r="T1" s="52" t="s">
        <v>210</v>
      </c>
      <c r="U1" s="53" t="s">
        <v>162</v>
      </c>
      <c r="V1" s="54" t="s">
        <v>170</v>
      </c>
      <c r="W1" s="51" t="s">
        <v>171</v>
      </c>
      <c r="X1" s="54" t="s">
        <v>172</v>
      </c>
    </row>
    <row r="2" spans="1:24" x14ac:dyDescent="0.3">
      <c r="A2" t="s">
        <v>36</v>
      </c>
      <c r="B2" t="s">
        <v>143</v>
      </c>
      <c r="C2" s="16">
        <v>4</v>
      </c>
      <c r="D2" t="s">
        <v>147</v>
      </c>
      <c r="E2" s="15">
        <f>+C2/I5</f>
        <v>4.0000000000000001E-3</v>
      </c>
      <c r="G2">
        <v>1</v>
      </c>
      <c r="H2" t="s">
        <v>147</v>
      </c>
      <c r="I2">
        <v>1000</v>
      </c>
      <c r="J2" t="s">
        <v>124</v>
      </c>
      <c r="K2" s="44" t="s">
        <v>36</v>
      </c>
      <c r="M2" t="s">
        <v>34</v>
      </c>
      <c r="N2" s="18">
        <v>800</v>
      </c>
      <c r="O2" s="18">
        <v>20</v>
      </c>
      <c r="P2" s="18">
        <v>30</v>
      </c>
      <c r="Q2" s="18">
        <v>55000</v>
      </c>
      <c r="R2" s="18">
        <v>22</v>
      </c>
      <c r="S2" s="18">
        <v>10</v>
      </c>
      <c r="T2" s="17">
        <f t="shared" ref="T2:T12" si="0">+((P2/O2)*Q2)/(S2*60)/R2</f>
        <v>6.25</v>
      </c>
      <c r="U2" s="17">
        <v>1.5</v>
      </c>
      <c r="V2" s="15">
        <f t="shared" ref="V2:V12" si="1">+($Q$15/R2/S2/60)*N2/$U$15</f>
        <v>0.18648018648018647</v>
      </c>
      <c r="W2" s="21">
        <f t="shared" ref="W2:W12" si="2">+($R$15/R2/S2/60)*N2/$U$15</f>
        <v>0.41958041958041964</v>
      </c>
      <c r="X2" s="21">
        <f t="shared" ref="X2:X12" si="3">+($S$15/R2/S2/60)*N2/$U$15</f>
        <v>0.32634032634032634</v>
      </c>
    </row>
    <row r="3" spans="1:24" x14ac:dyDescent="0.3">
      <c r="A3" t="s">
        <v>37</v>
      </c>
      <c r="B3" t="s">
        <v>144</v>
      </c>
      <c r="C3" s="16">
        <v>7</v>
      </c>
      <c r="D3" t="s">
        <v>175</v>
      </c>
      <c r="E3" s="15">
        <f t="shared" ref="E3:E25" si="4">+C3/I6</f>
        <v>7.0000000000000001E-3</v>
      </c>
      <c r="G3">
        <v>1</v>
      </c>
      <c r="H3" t="s">
        <v>175</v>
      </c>
      <c r="I3">
        <v>1000</v>
      </c>
      <c r="J3" t="s">
        <v>124</v>
      </c>
      <c r="K3" s="44" t="s">
        <v>37</v>
      </c>
      <c r="M3" t="s">
        <v>81</v>
      </c>
      <c r="N3" s="18">
        <v>600</v>
      </c>
      <c r="O3" s="18">
        <v>5</v>
      </c>
      <c r="P3" s="18">
        <v>10</v>
      </c>
      <c r="Q3" s="18">
        <v>55000</v>
      </c>
      <c r="R3" s="18">
        <v>22</v>
      </c>
      <c r="S3" s="18">
        <v>10</v>
      </c>
      <c r="T3" s="17">
        <f t="shared" si="0"/>
        <v>8.3333333333333339</v>
      </c>
      <c r="U3" s="19">
        <v>1.25</v>
      </c>
      <c r="V3" s="15">
        <f t="shared" si="1"/>
        <v>0.13986013986013984</v>
      </c>
      <c r="W3" s="21">
        <f t="shared" si="2"/>
        <v>0.31468531468531469</v>
      </c>
      <c r="X3" s="21">
        <f t="shared" si="3"/>
        <v>0.24475524475524477</v>
      </c>
    </row>
    <row r="4" spans="1:24" x14ac:dyDescent="0.3">
      <c r="A4" t="s">
        <v>43</v>
      </c>
      <c r="B4" t="s">
        <v>144</v>
      </c>
      <c r="C4" s="16">
        <v>5</v>
      </c>
      <c r="D4" t="s">
        <v>147</v>
      </c>
      <c r="E4" s="15">
        <f t="shared" si="4"/>
        <v>5.0000000000000001E-3</v>
      </c>
      <c r="G4">
        <v>1</v>
      </c>
      <c r="H4" t="s">
        <v>147</v>
      </c>
      <c r="I4">
        <v>1000</v>
      </c>
      <c r="J4" t="s">
        <v>124</v>
      </c>
      <c r="K4" s="44" t="s">
        <v>43</v>
      </c>
      <c r="M4" t="s">
        <v>91</v>
      </c>
      <c r="N4" s="18">
        <v>500</v>
      </c>
      <c r="O4" s="18">
        <v>5</v>
      </c>
      <c r="P4" s="18">
        <v>10</v>
      </c>
      <c r="Q4" s="18">
        <v>55000</v>
      </c>
      <c r="R4" s="18">
        <v>22</v>
      </c>
      <c r="S4" s="18">
        <v>10</v>
      </c>
      <c r="T4" s="17">
        <f t="shared" si="0"/>
        <v>8.3333333333333339</v>
      </c>
      <c r="U4" s="19">
        <v>1.35</v>
      </c>
      <c r="V4" s="15">
        <f t="shared" si="1"/>
        <v>0.11655011655011654</v>
      </c>
      <c r="W4" s="21">
        <f t="shared" si="2"/>
        <v>0.2622377622377623</v>
      </c>
      <c r="X4" s="21">
        <f t="shared" si="3"/>
        <v>0.20396270396270397</v>
      </c>
    </row>
    <row r="5" spans="1:24" x14ac:dyDescent="0.3">
      <c r="A5" t="s">
        <v>40</v>
      </c>
      <c r="B5" t="s">
        <v>145</v>
      </c>
      <c r="C5" s="16">
        <v>3</v>
      </c>
      <c r="D5" t="s">
        <v>147</v>
      </c>
      <c r="E5" s="15">
        <f t="shared" si="4"/>
        <v>3.0000000000000001E-3</v>
      </c>
      <c r="G5">
        <v>1</v>
      </c>
      <c r="H5" t="s">
        <v>147</v>
      </c>
      <c r="I5">
        <v>1000</v>
      </c>
      <c r="J5" t="s">
        <v>124</v>
      </c>
      <c r="K5" s="44" t="s">
        <v>40</v>
      </c>
      <c r="M5" t="s">
        <v>23</v>
      </c>
      <c r="N5" s="18">
        <v>3000</v>
      </c>
      <c r="O5" s="18">
        <v>160</v>
      </c>
      <c r="P5" s="18">
        <v>250</v>
      </c>
      <c r="Q5" s="18">
        <v>60000</v>
      </c>
      <c r="R5" s="18">
        <v>22</v>
      </c>
      <c r="S5" s="18">
        <v>10</v>
      </c>
      <c r="T5" s="17">
        <f t="shared" si="0"/>
        <v>7.1022727272727275</v>
      </c>
      <c r="U5" s="19">
        <v>2.5</v>
      </c>
      <c r="V5" s="15">
        <f t="shared" si="1"/>
        <v>0.69930069930069916</v>
      </c>
      <c r="W5" s="21">
        <f t="shared" si="2"/>
        <v>1.5734265734265735</v>
      </c>
      <c r="X5" s="21">
        <f t="shared" si="3"/>
        <v>1.2237762237762237</v>
      </c>
    </row>
    <row r="6" spans="1:24" x14ac:dyDescent="0.3">
      <c r="A6" t="s">
        <v>41</v>
      </c>
      <c r="B6" t="s">
        <v>145</v>
      </c>
      <c r="C6" s="16">
        <v>3</v>
      </c>
      <c r="D6" t="s">
        <v>147</v>
      </c>
      <c r="E6" s="15">
        <f t="shared" si="4"/>
        <v>3.0000000000000001E-3</v>
      </c>
      <c r="G6">
        <v>1</v>
      </c>
      <c r="H6" t="s">
        <v>147</v>
      </c>
      <c r="I6">
        <v>1000</v>
      </c>
      <c r="J6" t="s">
        <v>124</v>
      </c>
      <c r="K6" s="44" t="s">
        <v>41</v>
      </c>
      <c r="M6" t="s">
        <v>29</v>
      </c>
      <c r="N6" s="18">
        <v>400</v>
      </c>
      <c r="O6" s="18">
        <v>20</v>
      </c>
      <c r="P6" s="18">
        <v>25</v>
      </c>
      <c r="Q6" s="18">
        <v>55000</v>
      </c>
      <c r="R6" s="18">
        <v>22</v>
      </c>
      <c r="S6" s="18">
        <v>10</v>
      </c>
      <c r="T6" s="17">
        <f t="shared" si="0"/>
        <v>5.208333333333333</v>
      </c>
      <c r="U6" s="19">
        <v>2</v>
      </c>
      <c r="V6" s="15">
        <f t="shared" si="1"/>
        <v>9.3240093240093233E-2</v>
      </c>
      <c r="W6" s="21">
        <f t="shared" si="2"/>
        <v>0.20979020979020982</v>
      </c>
      <c r="X6" s="21">
        <f t="shared" si="3"/>
        <v>0.16317016317016317</v>
      </c>
    </row>
    <row r="7" spans="1:24" x14ac:dyDescent="0.3">
      <c r="A7" t="s">
        <v>42</v>
      </c>
      <c r="B7" t="s">
        <v>145</v>
      </c>
      <c r="C7" s="16">
        <v>3</v>
      </c>
      <c r="D7" t="s">
        <v>147</v>
      </c>
      <c r="E7" s="15">
        <f t="shared" si="4"/>
        <v>3.0000000000000001E-3</v>
      </c>
      <c r="G7">
        <v>1</v>
      </c>
      <c r="H7" t="s">
        <v>147</v>
      </c>
      <c r="I7">
        <v>1000</v>
      </c>
      <c r="J7" t="s">
        <v>124</v>
      </c>
      <c r="K7" s="44" t="s">
        <v>42</v>
      </c>
      <c r="M7" t="s">
        <v>117</v>
      </c>
      <c r="N7" s="18">
        <v>100</v>
      </c>
      <c r="O7" s="18">
        <v>1</v>
      </c>
      <c r="P7" s="18">
        <v>2</v>
      </c>
      <c r="Q7" s="18">
        <v>45000</v>
      </c>
      <c r="R7" s="18">
        <v>22</v>
      </c>
      <c r="S7" s="18">
        <v>10</v>
      </c>
      <c r="T7" s="17">
        <f t="shared" si="0"/>
        <v>6.8181818181818183</v>
      </c>
      <c r="U7" s="19">
        <v>1</v>
      </c>
      <c r="V7" s="15">
        <f t="shared" si="1"/>
        <v>2.3310023310023308E-2</v>
      </c>
      <c r="W7" s="21">
        <f t="shared" si="2"/>
        <v>5.2447552447552455E-2</v>
      </c>
      <c r="X7" s="21">
        <f t="shared" si="3"/>
        <v>4.0792540792540792E-2</v>
      </c>
    </row>
    <row r="8" spans="1:24" x14ac:dyDescent="0.3">
      <c r="A8" t="s">
        <v>82</v>
      </c>
      <c r="B8" t="s">
        <v>145</v>
      </c>
      <c r="C8" s="16">
        <v>4.5</v>
      </c>
      <c r="D8" t="s">
        <v>147</v>
      </c>
      <c r="E8" s="15">
        <f t="shared" si="4"/>
        <v>4.4999999999999997E-3</v>
      </c>
      <c r="G8">
        <v>1</v>
      </c>
      <c r="H8" t="s">
        <v>147</v>
      </c>
      <c r="I8">
        <v>1000</v>
      </c>
      <c r="J8" t="s">
        <v>124</v>
      </c>
      <c r="K8" s="44" t="s">
        <v>82</v>
      </c>
      <c r="M8" t="s">
        <v>102</v>
      </c>
      <c r="N8" s="18">
        <v>2000</v>
      </c>
      <c r="O8" s="18">
        <v>15</v>
      </c>
      <c r="P8" s="18">
        <v>30</v>
      </c>
      <c r="Q8" s="18">
        <v>55000</v>
      </c>
      <c r="R8" s="18">
        <v>22</v>
      </c>
      <c r="S8" s="18">
        <v>10</v>
      </c>
      <c r="T8" s="17">
        <f t="shared" si="0"/>
        <v>8.3333333333333339</v>
      </c>
      <c r="U8" s="19">
        <v>5</v>
      </c>
      <c r="V8" s="15">
        <f t="shared" si="1"/>
        <v>0.46620046620046618</v>
      </c>
      <c r="W8" s="21">
        <f t="shared" si="2"/>
        <v>1.0489510489510492</v>
      </c>
      <c r="X8" s="21">
        <f t="shared" si="3"/>
        <v>0.81585081585081587</v>
      </c>
    </row>
    <row r="9" spans="1:24" x14ac:dyDescent="0.3">
      <c r="A9" t="s">
        <v>95</v>
      </c>
      <c r="B9" t="s">
        <v>177</v>
      </c>
      <c r="C9" s="16">
        <v>12</v>
      </c>
      <c r="D9" t="s">
        <v>147</v>
      </c>
      <c r="E9" s="15">
        <f t="shared" si="4"/>
        <v>1.2E-2</v>
      </c>
      <c r="G9">
        <v>1</v>
      </c>
      <c r="H9" t="s">
        <v>147</v>
      </c>
      <c r="I9">
        <v>1000</v>
      </c>
      <c r="J9" t="s">
        <v>124</v>
      </c>
      <c r="K9" s="44" t="s">
        <v>95</v>
      </c>
      <c r="M9" t="s">
        <v>105</v>
      </c>
      <c r="N9" s="18">
        <v>1500</v>
      </c>
      <c r="O9" s="18">
        <v>10</v>
      </c>
      <c r="P9" s="18">
        <v>15</v>
      </c>
      <c r="Q9" s="18">
        <v>55000</v>
      </c>
      <c r="R9" s="18">
        <v>22</v>
      </c>
      <c r="S9" s="18">
        <v>10</v>
      </c>
      <c r="T9" s="17">
        <f t="shared" si="0"/>
        <v>6.25</v>
      </c>
      <c r="U9" s="19">
        <v>3</v>
      </c>
      <c r="V9" s="15">
        <f t="shared" si="1"/>
        <v>0.34965034965034958</v>
      </c>
      <c r="W9" s="21">
        <f t="shared" si="2"/>
        <v>0.78671328671328677</v>
      </c>
      <c r="X9" s="21">
        <f t="shared" si="3"/>
        <v>0.61188811188811187</v>
      </c>
    </row>
    <row r="10" spans="1:24" x14ac:dyDescent="0.3">
      <c r="A10" t="s">
        <v>96</v>
      </c>
      <c r="B10" t="s">
        <v>177</v>
      </c>
      <c r="C10" s="16">
        <v>12</v>
      </c>
      <c r="D10" t="s">
        <v>147</v>
      </c>
      <c r="E10" s="15">
        <f t="shared" si="4"/>
        <v>1.2E-2</v>
      </c>
      <c r="G10">
        <v>1</v>
      </c>
      <c r="H10" t="s">
        <v>147</v>
      </c>
      <c r="I10">
        <v>1000</v>
      </c>
      <c r="J10" t="s">
        <v>124</v>
      </c>
      <c r="K10" s="44" t="s">
        <v>96</v>
      </c>
      <c r="M10" t="s">
        <v>120</v>
      </c>
      <c r="N10" s="18">
        <v>140</v>
      </c>
      <c r="O10" s="18">
        <v>1</v>
      </c>
      <c r="P10" s="18">
        <v>2</v>
      </c>
      <c r="Q10" s="18">
        <v>55000</v>
      </c>
      <c r="R10" s="18">
        <v>22</v>
      </c>
      <c r="S10" s="18">
        <v>10</v>
      </c>
      <c r="T10" s="17">
        <f t="shared" si="0"/>
        <v>8.3333333333333339</v>
      </c>
      <c r="U10" s="19">
        <v>1.5</v>
      </c>
      <c r="V10" s="15">
        <f t="shared" si="1"/>
        <v>3.2634032634032632E-2</v>
      </c>
      <c r="W10" s="21">
        <f t="shared" si="2"/>
        <v>7.3426573426573424E-2</v>
      </c>
      <c r="X10" s="21">
        <f t="shared" si="3"/>
        <v>5.7109557109557105E-2</v>
      </c>
    </row>
    <row r="11" spans="1:24" x14ac:dyDescent="0.3">
      <c r="A11" t="s">
        <v>97</v>
      </c>
      <c r="B11" t="s">
        <v>177</v>
      </c>
      <c r="C11" s="16">
        <v>12</v>
      </c>
      <c r="D11" t="s">
        <v>147</v>
      </c>
      <c r="E11" s="15">
        <f t="shared" si="4"/>
        <v>1.2E-2</v>
      </c>
      <c r="G11">
        <v>1</v>
      </c>
      <c r="H11" t="s">
        <v>147</v>
      </c>
      <c r="I11">
        <v>1000</v>
      </c>
      <c r="J11" t="s">
        <v>124</v>
      </c>
      <c r="K11" s="44" t="s">
        <v>97</v>
      </c>
      <c r="M11" t="s">
        <v>119</v>
      </c>
      <c r="N11" s="18">
        <v>130</v>
      </c>
      <c r="O11" s="18">
        <v>4</v>
      </c>
      <c r="P11" s="18">
        <v>6</v>
      </c>
      <c r="Q11" s="18">
        <v>50000</v>
      </c>
      <c r="R11" s="18">
        <v>22</v>
      </c>
      <c r="S11" s="18">
        <v>10</v>
      </c>
      <c r="T11" s="17">
        <f t="shared" si="0"/>
        <v>5.6818181818181817</v>
      </c>
      <c r="U11" s="19">
        <v>2.2000000000000002</v>
      </c>
      <c r="V11" s="15">
        <f t="shared" si="1"/>
        <v>3.03030303030303E-2</v>
      </c>
      <c r="W11" s="21">
        <f t="shared" si="2"/>
        <v>6.8181818181818191E-2</v>
      </c>
      <c r="X11" s="21">
        <f t="shared" si="3"/>
        <v>5.3030303030303032E-2</v>
      </c>
    </row>
    <row r="12" spans="1:24" x14ac:dyDescent="0.3">
      <c r="A12" t="s">
        <v>98</v>
      </c>
      <c r="B12" t="s">
        <v>177</v>
      </c>
      <c r="C12" s="16">
        <v>12</v>
      </c>
      <c r="D12" t="s">
        <v>147</v>
      </c>
      <c r="E12" s="15">
        <f t="shared" si="4"/>
        <v>1.2E-2</v>
      </c>
      <c r="G12">
        <v>1</v>
      </c>
      <c r="H12" t="s">
        <v>147</v>
      </c>
      <c r="I12">
        <v>1000</v>
      </c>
      <c r="J12" t="s">
        <v>124</v>
      </c>
      <c r="K12" s="44" t="s">
        <v>98</v>
      </c>
      <c r="M12" t="s">
        <v>121</v>
      </c>
      <c r="N12" s="18">
        <v>600</v>
      </c>
      <c r="O12" s="18">
        <v>20</v>
      </c>
      <c r="P12" s="18">
        <v>25</v>
      </c>
      <c r="Q12" s="18">
        <v>55000</v>
      </c>
      <c r="R12" s="18">
        <v>22</v>
      </c>
      <c r="S12" s="18">
        <v>10</v>
      </c>
      <c r="T12" s="17">
        <f t="shared" si="0"/>
        <v>5.208333333333333</v>
      </c>
      <c r="U12" s="19">
        <v>0</v>
      </c>
      <c r="V12" s="15">
        <f t="shared" si="1"/>
        <v>0.13986013986013984</v>
      </c>
      <c r="W12" s="21">
        <f t="shared" si="2"/>
        <v>0.31468531468531469</v>
      </c>
      <c r="X12" s="21">
        <f t="shared" si="3"/>
        <v>0.24475524475524477</v>
      </c>
    </row>
    <row r="13" spans="1:24" x14ac:dyDescent="0.3">
      <c r="A13" t="s">
        <v>99</v>
      </c>
      <c r="B13" t="s">
        <v>177</v>
      </c>
      <c r="C13" s="16">
        <v>12</v>
      </c>
      <c r="D13" t="s">
        <v>147</v>
      </c>
      <c r="E13" s="15">
        <f t="shared" si="4"/>
        <v>1.2E-2</v>
      </c>
      <c r="G13">
        <v>1</v>
      </c>
      <c r="H13" t="s">
        <v>147</v>
      </c>
      <c r="I13">
        <v>1000</v>
      </c>
      <c r="J13" t="s">
        <v>124</v>
      </c>
      <c r="K13" s="44" t="s">
        <v>99</v>
      </c>
      <c r="M13" t="s">
        <v>178</v>
      </c>
      <c r="V13" s="21"/>
    </row>
    <row r="14" spans="1:24" x14ac:dyDescent="0.3">
      <c r="A14" t="s">
        <v>100</v>
      </c>
      <c r="B14" t="s">
        <v>177</v>
      </c>
      <c r="C14" s="16">
        <v>12</v>
      </c>
      <c r="D14" t="s">
        <v>147</v>
      </c>
      <c r="E14" s="15">
        <f t="shared" si="4"/>
        <v>1.2E-2</v>
      </c>
      <c r="G14">
        <v>1</v>
      </c>
      <c r="H14" t="s">
        <v>147</v>
      </c>
      <c r="I14">
        <v>1000</v>
      </c>
      <c r="J14" t="s">
        <v>124</v>
      </c>
      <c r="K14" s="44" t="s">
        <v>100</v>
      </c>
      <c r="M14" t="s">
        <v>178</v>
      </c>
      <c r="Q14" s="18" t="s">
        <v>166</v>
      </c>
      <c r="R14" s="18" t="s">
        <v>167</v>
      </c>
      <c r="S14" s="18" t="s">
        <v>168</v>
      </c>
      <c r="U14" s="18" t="s">
        <v>163</v>
      </c>
      <c r="V14" s="21"/>
    </row>
    <row r="15" spans="1:24" x14ac:dyDescent="0.3">
      <c r="A15" t="s">
        <v>101</v>
      </c>
      <c r="B15" t="s">
        <v>177</v>
      </c>
      <c r="C15" s="16">
        <v>12</v>
      </c>
      <c r="D15" t="s">
        <v>147</v>
      </c>
      <c r="E15" s="15">
        <f>+C15/I20</f>
        <v>1.2E-2</v>
      </c>
      <c r="G15">
        <v>1</v>
      </c>
      <c r="H15" t="s">
        <v>147</v>
      </c>
      <c r="I15">
        <v>1000</v>
      </c>
      <c r="J15" t="s">
        <v>124</v>
      </c>
      <c r="K15" s="44" t="s">
        <v>101</v>
      </c>
      <c r="M15" t="s">
        <v>178</v>
      </c>
      <c r="Q15" s="49">
        <v>200000</v>
      </c>
      <c r="R15" s="49">
        <v>450000</v>
      </c>
      <c r="S15" s="49">
        <v>350000</v>
      </c>
      <c r="U15" s="20">
        <v>65000</v>
      </c>
      <c r="V15" s="21"/>
    </row>
    <row r="16" spans="1:24" x14ac:dyDescent="0.3">
      <c r="A16" t="s">
        <v>103</v>
      </c>
      <c r="B16" t="s">
        <v>177</v>
      </c>
      <c r="C16" s="16">
        <v>12</v>
      </c>
      <c r="D16" t="s">
        <v>147</v>
      </c>
      <c r="E16" s="15">
        <f>+C16/I21</f>
        <v>1.2E-2</v>
      </c>
      <c r="G16">
        <v>1</v>
      </c>
      <c r="H16" t="s">
        <v>147</v>
      </c>
      <c r="I16">
        <v>1000</v>
      </c>
      <c r="J16" t="s">
        <v>124</v>
      </c>
      <c r="K16" s="44" t="s">
        <v>103</v>
      </c>
      <c r="M16" t="s">
        <v>178</v>
      </c>
      <c r="O16" s="18"/>
      <c r="P16" s="18"/>
      <c r="Q16" s="45"/>
      <c r="R16" s="45"/>
      <c r="S16" s="46"/>
      <c r="U16" s="18"/>
      <c r="V16" s="21"/>
    </row>
    <row r="17" spans="1:22" x14ac:dyDescent="0.3">
      <c r="A17" t="s">
        <v>104</v>
      </c>
      <c r="B17" t="s">
        <v>177</v>
      </c>
      <c r="C17" s="16">
        <v>12</v>
      </c>
      <c r="D17" t="s">
        <v>147</v>
      </c>
      <c r="E17" s="15">
        <f>+C17/I22</f>
        <v>1.2E-2</v>
      </c>
      <c r="G17">
        <v>1</v>
      </c>
      <c r="H17" t="s">
        <v>147</v>
      </c>
      <c r="I17">
        <v>1000</v>
      </c>
      <c r="J17" t="s">
        <v>124</v>
      </c>
      <c r="K17" s="44" t="s">
        <v>104</v>
      </c>
      <c r="O17" s="18"/>
      <c r="P17" s="18"/>
      <c r="Q17" s="47"/>
      <c r="R17" s="47"/>
      <c r="S17" s="48"/>
      <c r="U17" s="18"/>
      <c r="V17" s="21"/>
    </row>
    <row r="18" spans="1:22" x14ac:dyDescent="0.3">
      <c r="A18" t="s">
        <v>79</v>
      </c>
      <c r="B18" t="s">
        <v>143</v>
      </c>
      <c r="C18" s="16">
        <v>7.5</v>
      </c>
      <c r="D18" t="s">
        <v>147</v>
      </c>
      <c r="E18" s="15">
        <f>+C18/I23</f>
        <v>7.4999999999999997E-3</v>
      </c>
      <c r="G18">
        <v>1</v>
      </c>
      <c r="H18" t="s">
        <v>147</v>
      </c>
      <c r="I18">
        <v>1000</v>
      </c>
      <c r="J18" t="s">
        <v>124</v>
      </c>
      <c r="K18" s="44" t="s">
        <v>79</v>
      </c>
      <c r="O18" s="18"/>
      <c r="P18" s="18"/>
      <c r="Q18" s="18"/>
      <c r="R18" s="18"/>
      <c r="S18" s="17"/>
      <c r="U18" s="18"/>
      <c r="V18" s="21"/>
    </row>
    <row r="19" spans="1:22" x14ac:dyDescent="0.3">
      <c r="A19" t="s">
        <v>80</v>
      </c>
      <c r="B19" t="s">
        <v>143</v>
      </c>
      <c r="C19" s="16">
        <v>7.5</v>
      </c>
      <c r="D19" t="s">
        <v>147</v>
      </c>
      <c r="E19" s="15">
        <f>+C19/I24</f>
        <v>7.4999999999999997E-3</v>
      </c>
      <c r="G19">
        <v>1</v>
      </c>
      <c r="H19" t="s">
        <v>147</v>
      </c>
      <c r="I19">
        <v>1000</v>
      </c>
      <c r="J19" t="s">
        <v>124</v>
      </c>
      <c r="K19" s="44" t="s">
        <v>80</v>
      </c>
      <c r="O19" s="18"/>
      <c r="P19" s="18"/>
      <c r="Q19" s="18"/>
      <c r="R19" s="18"/>
      <c r="S19" s="17"/>
      <c r="U19" s="18"/>
      <c r="V19" s="21"/>
    </row>
    <row r="20" spans="1:22" x14ac:dyDescent="0.3">
      <c r="A20" t="s">
        <v>85</v>
      </c>
      <c r="B20" t="s">
        <v>146</v>
      </c>
      <c r="C20" s="16">
        <v>6.5</v>
      </c>
      <c r="D20" t="s">
        <v>147</v>
      </c>
      <c r="E20" s="15">
        <f>+C20/I23</f>
        <v>6.4999999999999997E-3</v>
      </c>
      <c r="G20">
        <v>1</v>
      </c>
      <c r="H20" t="s">
        <v>147</v>
      </c>
      <c r="I20">
        <v>1000</v>
      </c>
      <c r="J20" t="s">
        <v>124</v>
      </c>
      <c r="K20" s="44" t="s">
        <v>85</v>
      </c>
      <c r="O20" s="18"/>
      <c r="P20" s="18"/>
      <c r="Q20" s="18"/>
      <c r="R20" s="18"/>
      <c r="U20" s="18"/>
      <c r="V20" s="21"/>
    </row>
    <row r="21" spans="1:22" x14ac:dyDescent="0.3">
      <c r="A21" t="s">
        <v>86</v>
      </c>
      <c r="B21" t="s">
        <v>145</v>
      </c>
      <c r="C21" s="16">
        <v>3.5</v>
      </c>
      <c r="D21" t="s">
        <v>147</v>
      </c>
      <c r="E21" s="15">
        <f t="shared" si="4"/>
        <v>3.5000000000000001E-3</v>
      </c>
      <c r="G21">
        <v>1</v>
      </c>
      <c r="H21" t="s">
        <v>147</v>
      </c>
      <c r="I21">
        <v>1000</v>
      </c>
      <c r="J21" t="s">
        <v>124</v>
      </c>
      <c r="K21" s="44" t="s">
        <v>86</v>
      </c>
      <c r="O21" s="18"/>
      <c r="P21" s="18"/>
      <c r="Q21" s="18"/>
      <c r="R21" s="18"/>
      <c r="U21" s="18"/>
      <c r="V21" s="21"/>
    </row>
    <row r="22" spans="1:22" x14ac:dyDescent="0.3">
      <c r="A22" t="s">
        <v>87</v>
      </c>
      <c r="B22" t="s">
        <v>145</v>
      </c>
      <c r="C22" s="16">
        <v>3.5</v>
      </c>
      <c r="D22" t="s">
        <v>147</v>
      </c>
      <c r="E22" s="15">
        <f t="shared" si="4"/>
        <v>3.5000000000000001E-3</v>
      </c>
      <c r="G22">
        <v>1</v>
      </c>
      <c r="H22" t="s">
        <v>147</v>
      </c>
      <c r="I22">
        <v>1000</v>
      </c>
      <c r="J22" t="s">
        <v>124</v>
      </c>
      <c r="K22" s="44" t="s">
        <v>87</v>
      </c>
    </row>
    <row r="23" spans="1:22" x14ac:dyDescent="0.3">
      <c r="A23" t="s">
        <v>88</v>
      </c>
      <c r="B23" t="s">
        <v>145</v>
      </c>
      <c r="C23" s="16">
        <v>3.5</v>
      </c>
      <c r="D23" t="s">
        <v>147</v>
      </c>
      <c r="E23" s="15">
        <f t="shared" si="4"/>
        <v>1.7500000000000002E-2</v>
      </c>
      <c r="G23">
        <v>1</v>
      </c>
      <c r="H23" t="s">
        <v>147</v>
      </c>
      <c r="I23">
        <v>1000</v>
      </c>
      <c r="J23" t="s">
        <v>124</v>
      </c>
      <c r="K23" s="44" t="s">
        <v>88</v>
      </c>
      <c r="O23" s="18"/>
      <c r="P23" s="18"/>
      <c r="Q23" s="18"/>
      <c r="R23" s="18"/>
      <c r="S23" s="20"/>
      <c r="U23" s="18"/>
      <c r="V23" s="21"/>
    </row>
    <row r="24" spans="1:22" x14ac:dyDescent="0.3">
      <c r="A24" t="s">
        <v>89</v>
      </c>
      <c r="B24" t="s">
        <v>145</v>
      </c>
      <c r="C24" s="16">
        <v>3.5</v>
      </c>
      <c r="D24" t="s">
        <v>147</v>
      </c>
      <c r="E24" s="15">
        <f t="shared" si="4"/>
        <v>2.3333333333333334E-2</v>
      </c>
      <c r="G24">
        <v>1</v>
      </c>
      <c r="H24" t="s">
        <v>147</v>
      </c>
      <c r="I24">
        <v>1000</v>
      </c>
      <c r="J24" t="s">
        <v>124</v>
      </c>
      <c r="K24" s="44" t="s">
        <v>89</v>
      </c>
      <c r="O24" s="18"/>
      <c r="P24" s="18"/>
      <c r="Q24" s="18"/>
      <c r="R24" s="18"/>
      <c r="U24" s="18"/>
      <c r="V24" s="21"/>
    </row>
    <row r="25" spans="1:22" x14ac:dyDescent="0.3">
      <c r="A25" t="s">
        <v>90</v>
      </c>
      <c r="B25" t="s">
        <v>145</v>
      </c>
      <c r="C25" s="16">
        <v>3.5</v>
      </c>
      <c r="D25" t="s">
        <v>147</v>
      </c>
      <c r="E25" s="15">
        <f t="shared" si="4"/>
        <v>3.5000000000000001E-3</v>
      </c>
      <c r="G25">
        <v>1</v>
      </c>
      <c r="H25" t="s">
        <v>147</v>
      </c>
      <c r="I25">
        <v>1000</v>
      </c>
      <c r="J25" t="s">
        <v>124</v>
      </c>
      <c r="K25" s="44" t="s">
        <v>90</v>
      </c>
      <c r="O25" s="18"/>
      <c r="P25" s="18"/>
      <c r="Q25" s="18"/>
      <c r="R25" s="18"/>
      <c r="U25" s="18"/>
      <c r="V25" s="21"/>
    </row>
    <row r="26" spans="1:22" x14ac:dyDescent="0.3">
      <c r="A26" t="s">
        <v>27</v>
      </c>
      <c r="B26" t="s">
        <v>176</v>
      </c>
      <c r="C26" s="16">
        <v>8</v>
      </c>
      <c r="D26" t="s">
        <v>148</v>
      </c>
      <c r="E26" s="15">
        <f>+C26/I26</f>
        <v>0.04</v>
      </c>
      <c r="G26">
        <v>1</v>
      </c>
      <c r="H26" t="s">
        <v>148</v>
      </c>
      <c r="I26">
        <v>200</v>
      </c>
      <c r="J26" t="s">
        <v>150</v>
      </c>
      <c r="K26" s="44" t="s">
        <v>27</v>
      </c>
      <c r="O26" s="18"/>
      <c r="P26" s="18"/>
      <c r="Q26" s="18"/>
      <c r="R26" s="18"/>
      <c r="S26" s="17"/>
      <c r="U26" s="18"/>
      <c r="V26" s="21"/>
    </row>
    <row r="27" spans="1:22" x14ac:dyDescent="0.3">
      <c r="A27" t="s">
        <v>28</v>
      </c>
      <c r="B27" t="s">
        <v>176</v>
      </c>
      <c r="C27" s="16">
        <v>6</v>
      </c>
      <c r="D27" t="s">
        <v>148</v>
      </c>
      <c r="E27" s="15">
        <f>+C27/I27</f>
        <v>0.04</v>
      </c>
      <c r="G27">
        <v>1</v>
      </c>
      <c r="H27" t="s">
        <v>148</v>
      </c>
      <c r="I27">
        <v>150</v>
      </c>
      <c r="J27" t="s">
        <v>150</v>
      </c>
      <c r="K27" s="44" t="s">
        <v>28</v>
      </c>
      <c r="O27" s="18"/>
      <c r="P27" s="18"/>
      <c r="Q27" s="18"/>
      <c r="R27" s="18"/>
      <c r="S27" s="17"/>
      <c r="U27" s="18"/>
      <c r="V27" s="21"/>
    </row>
    <row r="28" spans="1:22" x14ac:dyDescent="0.3">
      <c r="A28" t="s">
        <v>118</v>
      </c>
      <c r="B28" t="s">
        <v>177</v>
      </c>
      <c r="C28" s="16">
        <v>22</v>
      </c>
      <c r="D28" t="s">
        <v>147</v>
      </c>
      <c r="E28" s="15">
        <f>+C28/I28</f>
        <v>2.1999999999999999E-2</v>
      </c>
      <c r="G28">
        <v>1</v>
      </c>
      <c r="H28" t="s">
        <v>147</v>
      </c>
      <c r="I28">
        <v>1000</v>
      </c>
      <c r="J28" t="s">
        <v>124</v>
      </c>
      <c r="K28" s="44" t="s">
        <v>118</v>
      </c>
      <c r="O28" s="18"/>
      <c r="P28" s="18"/>
      <c r="Q28" s="18"/>
      <c r="R28" s="18"/>
      <c r="S28" s="17"/>
      <c r="U28" s="18"/>
      <c r="V28" s="21"/>
    </row>
    <row r="29" spans="1:22" x14ac:dyDescent="0.3">
      <c r="G29">
        <v>1</v>
      </c>
      <c r="H29" t="s">
        <v>196</v>
      </c>
      <c r="I29">
        <v>106.3</v>
      </c>
      <c r="J29" t="s">
        <v>124</v>
      </c>
      <c r="K29" s="44" t="s">
        <v>20</v>
      </c>
      <c r="O29" s="18"/>
      <c r="P29" s="18"/>
      <c r="Q29" s="18"/>
      <c r="R29" s="18"/>
      <c r="S29" s="17"/>
      <c r="U29" s="18"/>
      <c r="V29" s="21"/>
    </row>
    <row r="30" spans="1:22" x14ac:dyDescent="0.3">
      <c r="O30" s="18"/>
      <c r="P30" s="18"/>
      <c r="Q30" s="18"/>
      <c r="R30" s="18"/>
      <c r="S30" s="17"/>
      <c r="U30" s="18"/>
      <c r="V30" s="21"/>
    </row>
    <row r="31" spans="1:22" x14ac:dyDescent="0.3">
      <c r="O31" s="18"/>
      <c r="P31" s="18"/>
      <c r="Q31" s="18"/>
      <c r="R31" s="18"/>
      <c r="S31" s="17"/>
      <c r="U31" s="18"/>
      <c r="V31" s="21"/>
    </row>
    <row r="32" spans="1:22" x14ac:dyDescent="0.3">
      <c r="O32" s="18"/>
      <c r="P32" s="18"/>
      <c r="Q32" s="18"/>
      <c r="R32" s="18"/>
      <c r="S32" s="17"/>
      <c r="U32" s="18"/>
      <c r="V32" s="21"/>
    </row>
    <row r="33" spans="15:22" x14ac:dyDescent="0.3">
      <c r="O33" s="18"/>
      <c r="P33" s="18"/>
      <c r="Q33" s="18"/>
      <c r="R33" s="18"/>
      <c r="S33" s="17"/>
      <c r="U33" s="18"/>
      <c r="V33" s="21"/>
    </row>
    <row r="35" spans="15:22" x14ac:dyDescent="0.3">
      <c r="O35" s="18"/>
      <c r="P35" s="18"/>
      <c r="Q35" s="18"/>
      <c r="R35" s="18"/>
      <c r="S35" s="17"/>
      <c r="U35" s="18"/>
      <c r="V35" s="21"/>
    </row>
    <row r="36" spans="15:22" x14ac:dyDescent="0.3">
      <c r="O36" s="18"/>
      <c r="P36" s="18"/>
      <c r="Q36" s="18"/>
      <c r="R36" s="18"/>
      <c r="S36" s="17"/>
      <c r="U36" s="18"/>
      <c r="V36" s="21"/>
    </row>
    <row r="37" spans="15:22" x14ac:dyDescent="0.3">
      <c r="O37" s="18"/>
      <c r="P37" s="18"/>
      <c r="Q37" s="18"/>
      <c r="R37" s="18"/>
      <c r="S37" s="17"/>
      <c r="U37" s="18"/>
      <c r="V37" s="21"/>
    </row>
    <row r="38" spans="15:22" x14ac:dyDescent="0.3">
      <c r="O38" s="18"/>
      <c r="P38" s="18"/>
      <c r="Q38" s="18"/>
      <c r="R38" s="18"/>
      <c r="S38" s="17"/>
      <c r="U38" s="18"/>
      <c r="V38" s="21"/>
    </row>
    <row r="40" spans="15:22" x14ac:dyDescent="0.3">
      <c r="O40" s="18"/>
      <c r="P40" s="18"/>
      <c r="Q40" s="18"/>
      <c r="R40" s="18"/>
      <c r="S40" s="17"/>
      <c r="U40" s="18"/>
      <c r="V40" s="21"/>
    </row>
    <row r="41" spans="15:22" x14ac:dyDescent="0.3">
      <c r="O41" s="18"/>
      <c r="P41" s="18"/>
      <c r="Q41" s="18"/>
      <c r="R41" s="18"/>
      <c r="S41" s="17"/>
      <c r="U41" s="18"/>
      <c r="V41" s="21"/>
    </row>
    <row r="42" spans="15:22" x14ac:dyDescent="0.3">
      <c r="O42" s="18"/>
      <c r="P42" s="18"/>
      <c r="Q42" s="18"/>
      <c r="R42" s="18"/>
      <c r="S42" s="17"/>
      <c r="U42" s="18"/>
      <c r="V42" s="21"/>
    </row>
    <row r="43" spans="15:22" x14ac:dyDescent="0.3">
      <c r="O43" s="18"/>
      <c r="P43" s="18"/>
      <c r="Q43" s="18"/>
      <c r="R43" s="18"/>
      <c r="S43" s="17"/>
      <c r="U43" s="18"/>
      <c r="V43" s="21"/>
    </row>
    <row r="44" spans="15:22" x14ac:dyDescent="0.3">
      <c r="O44" s="18"/>
      <c r="P44" s="18"/>
      <c r="Q44" s="18"/>
      <c r="R44" s="18"/>
      <c r="S44" s="17"/>
      <c r="U44" s="18"/>
      <c r="V44" s="21"/>
    </row>
    <row r="45" spans="15:22" x14ac:dyDescent="0.3">
      <c r="O45" s="18"/>
      <c r="P45" s="18"/>
      <c r="Q45" s="18"/>
      <c r="R45" s="18"/>
      <c r="S45" s="17"/>
      <c r="U45" s="18"/>
      <c r="V45" s="21"/>
    </row>
    <row r="46" spans="15:22" x14ac:dyDescent="0.3">
      <c r="O46" s="18"/>
      <c r="P46" s="18"/>
      <c r="Q46" s="18"/>
      <c r="R46" s="18"/>
      <c r="S46" s="17"/>
      <c r="U46" s="18"/>
      <c r="V46" s="21"/>
    </row>
    <row r="47" spans="15:22" x14ac:dyDescent="0.3">
      <c r="O47" s="18"/>
      <c r="P47" s="18"/>
      <c r="Q47" s="18"/>
      <c r="R47" s="18"/>
      <c r="S47" s="17"/>
      <c r="U47" s="18"/>
      <c r="V47" s="21"/>
    </row>
    <row r="50" spans="15:22" x14ac:dyDescent="0.3">
      <c r="V50" s="21"/>
    </row>
    <row r="51" spans="15:22" x14ac:dyDescent="0.3">
      <c r="V51" s="21"/>
    </row>
    <row r="52" spans="15:22" x14ac:dyDescent="0.3">
      <c r="V52" s="21"/>
    </row>
    <row r="53" spans="15:22" x14ac:dyDescent="0.3">
      <c r="O53" s="18"/>
    </row>
    <row r="54" spans="15:22" x14ac:dyDescent="0.3">
      <c r="O54" s="18"/>
    </row>
    <row r="55" spans="15:22" x14ac:dyDescent="0.3">
      <c r="O55" s="18"/>
    </row>
    <row r="56" spans="15:22" x14ac:dyDescent="0.3">
      <c r="O56" s="18"/>
    </row>
    <row r="57" spans="15:22" x14ac:dyDescent="0.3">
      <c r="O57" s="18"/>
    </row>
    <row r="58" spans="15:22" x14ac:dyDescent="0.3">
      <c r="O58" s="18"/>
    </row>
    <row r="59" spans="15:22" x14ac:dyDescent="0.3">
      <c r="O59" s="18"/>
    </row>
    <row r="60" spans="15:22" x14ac:dyDescent="0.3">
      <c r="O60" s="18"/>
    </row>
    <row r="64" spans="15:22" x14ac:dyDescent="0.3">
      <c r="O64" s="18"/>
      <c r="P64" s="18"/>
      <c r="Q64" s="18"/>
    </row>
    <row r="65" spans="15:17" x14ac:dyDescent="0.3">
      <c r="O65" s="18"/>
      <c r="P65" s="18"/>
      <c r="Q65" s="18"/>
    </row>
    <row r="66" spans="15:17" x14ac:dyDescent="0.3">
      <c r="O66" s="18"/>
      <c r="P66" s="18"/>
      <c r="Q66" s="18"/>
    </row>
    <row r="67" spans="15:17" x14ac:dyDescent="0.3">
      <c r="O67" s="18"/>
      <c r="P67" s="18"/>
      <c r="Q67" s="18"/>
    </row>
    <row r="68" spans="15:17" x14ac:dyDescent="0.3">
      <c r="O68" s="18"/>
      <c r="P68" s="18"/>
      <c r="Q68" s="18"/>
    </row>
    <row r="69" spans="15:17" x14ac:dyDescent="0.3">
      <c r="O69" s="18"/>
      <c r="P69" s="18"/>
      <c r="Q69" s="18"/>
    </row>
    <row r="70" spans="15:17" x14ac:dyDescent="0.3">
      <c r="O70" s="18"/>
      <c r="P70" s="18"/>
      <c r="Q70" s="18"/>
    </row>
    <row r="71" spans="15:17" x14ac:dyDescent="0.3">
      <c r="O71" s="18"/>
      <c r="P71" s="18"/>
      <c r="Q71" s="18"/>
    </row>
  </sheetData>
  <mergeCells count="1">
    <mergeCell ref="G1:K1"/>
  </mergeCells>
  <conditionalFormatting sqref="A36:A1048576 A1:A28">
    <cfRule type="duplicateValues" dxfId="9" priority="24"/>
  </conditionalFormatting>
  <conditionalFormatting sqref="A45:A1048576 A1:A28">
    <cfRule type="duplicateValues" dxfId="8" priority="32"/>
  </conditionalFormatting>
  <conditionalFormatting sqref="A62:A1048576 A1:A28">
    <cfRule type="duplicateValues" dxfId="7" priority="28"/>
  </conditionalFormatting>
  <conditionalFormatting sqref="K2:K17 K21:K28">
    <cfRule type="duplicateValues" dxfId="6" priority="116"/>
  </conditionalFormatting>
  <conditionalFormatting sqref="K18:K19">
    <cfRule type="duplicateValues" dxfId="5" priority="4"/>
    <cfRule type="duplicateValues" dxfId="4" priority="5"/>
    <cfRule type="duplicateValues" dxfId="3" priority="6"/>
  </conditionalFormatting>
  <conditionalFormatting sqref="K2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XFD1"/>
    </sheetView>
  </sheetViews>
  <sheetFormatPr defaultRowHeight="14.4" x14ac:dyDescent="0.3"/>
  <cols>
    <col min="1" max="1" width="26.5546875" bestFit="1" customWidth="1"/>
    <col min="2" max="2" width="15.6640625" style="17" bestFit="1" customWidth="1"/>
    <col min="3" max="3" width="13.21875" style="17" customWidth="1"/>
    <col min="4" max="4" width="15.77734375" style="15" customWidth="1"/>
    <col min="5" max="5" width="14.5546875" style="22" customWidth="1"/>
    <col min="6" max="6" width="6" customWidth="1"/>
    <col min="7" max="7" width="38.109375" bestFit="1" customWidth="1"/>
    <col min="8" max="8" width="14.44140625" bestFit="1" customWidth="1"/>
    <col min="10" max="10" width="10.5546875" bestFit="1" customWidth="1"/>
    <col min="11" max="11" width="9.109375" style="23"/>
  </cols>
  <sheetData>
    <row r="1" spans="1:11" s="38" customFormat="1" ht="28.8" x14ac:dyDescent="0.3">
      <c r="A1" s="38" t="s">
        <v>153</v>
      </c>
      <c r="B1" s="39" t="s">
        <v>161</v>
      </c>
      <c r="C1" s="39" t="s">
        <v>169</v>
      </c>
      <c r="D1" s="40" t="s">
        <v>185</v>
      </c>
      <c r="E1" s="41" t="s">
        <v>173</v>
      </c>
      <c r="G1" s="38" t="s">
        <v>179</v>
      </c>
      <c r="H1" s="40" t="s">
        <v>156</v>
      </c>
      <c r="J1" s="38" t="s">
        <v>181</v>
      </c>
      <c r="K1" s="42">
        <f>+E17</f>
        <v>1.1415890663390664</v>
      </c>
    </row>
    <row r="2" spans="1:11" x14ac:dyDescent="0.3">
      <c r="A2" t="s">
        <v>38</v>
      </c>
      <c r="B2" s="17">
        <f>+'Birleşik Ağaç'!E8</f>
        <v>0.42871499999999996</v>
      </c>
      <c r="C2" s="17">
        <f>+B2*'Sabit Fiyatlar ve Dönüşümler'!T3</f>
        <v>3.5726249999999999</v>
      </c>
      <c r="D2" s="15">
        <f>+B2*('Sabit Fiyatlar ve Dönüşümler'!V3+'Sabit Fiyatlar ve Dönüşümler'!W3+'Sabit Fiyatlar ve Dönüşümler'!X3)</f>
        <v>0.29980069930069925</v>
      </c>
      <c r="E2" s="22">
        <f t="shared" ref="E2:E3" si="0">+D2+C2</f>
        <v>3.8724256993006994</v>
      </c>
      <c r="G2" t="s">
        <v>157</v>
      </c>
      <c r="H2" s="15">
        <f>+('Birleşik Ağaç'!E6*'Sabit Fiyatlar ve Dönüşümler'!E2)+('Birleşik Ağaç'!E7*'Sabit Fiyatlar ve Dönüşümler'!E3)+('Birleşik Ağaç'!E10*'Sabit Fiyatlar ve Dönüşümler'!E4)+('Birleşik Ağaç'!E11*'Sabit Fiyatlar ve Dönüşümler'!E5)+('Birleşik Ağaç'!E12*'Sabit Fiyatlar ve Dönüşümler'!E6)+('Birleşik Ağaç'!E13*'Sabit Fiyatlar ve Dönüşümler'!E7)+('Birleşik Ağaç'!E14*'Sabit Fiyatlar ve Dönüşümler'!E7)+('Birleşik Ağaç'!E15*'Sabit Fiyatlar ve Dönüşümler'!E7)</f>
        <v>1.167527</v>
      </c>
      <c r="J2" t="s">
        <v>179</v>
      </c>
      <c r="K2" s="23">
        <f>+H9</f>
        <v>4.2446020495119994</v>
      </c>
    </row>
    <row r="3" spans="1:11" x14ac:dyDescent="0.3">
      <c r="A3" t="s">
        <v>44</v>
      </c>
      <c r="B3" s="17">
        <f>+'Birleşik Ağaç'!E16</f>
        <v>0.59160500000000016</v>
      </c>
      <c r="C3" s="17">
        <f>+B3*'Sabit Fiyatlar ve Dönüşümler'!T4</f>
        <v>4.9300416666666687</v>
      </c>
      <c r="D3" s="15">
        <f>+B3*('Sabit Fiyatlar ve Dönüşümler'!V4+'Sabit Fiyatlar ve Dönüşümler'!W4+'Sabit Fiyatlar ve Dönüşümler'!X4)</f>
        <v>0.34475815850815861</v>
      </c>
      <c r="E3" s="22">
        <f t="shared" si="0"/>
        <v>5.2747998251748269</v>
      </c>
      <c r="G3" t="s">
        <v>158</v>
      </c>
      <c r="H3" s="15">
        <f>+('Birleşik Ağaç'!E21*'Sabit Fiyatlar ve Dönüşümler'!E8)+('Birleşik Ağaç'!E22*'Sabit Fiyatlar ve Dönüşümler'!E9)+('Birleşik Ağaç'!E23*'Sabit Fiyatlar ve Dönüşümler'!E10)+('Birleşik Ağaç'!E24*'Sabit Fiyatlar ve Dönüşümler'!E11)+('Birleşik Ağaç'!E25*'Sabit Fiyatlar ve Dönüşümler'!E12)+('Birleşik Ağaç'!E26*'Sabit Fiyatlar ve Dönüşümler'!E13)+('Birleşik Ağaç'!E27*'Sabit Fiyatlar ve Dönüşümler'!E14)+('Birleşik Ağaç'!E28*'Sabit Fiyatlar ve Dönüşümler'!E15)+('Birleşik Ağaç'!E30*'Sabit Fiyatlar ve Dönüşümler'!E16)+('Birleşik Ağaç'!E31*'Sabit Fiyatlar ve Dönüşümler'!E17)+('Birleşik Ağaç'!E33*'Sabit Fiyatlar ve Dönüşümler'!E18)+('Birleşik Ağaç'!E34*'Sabit Fiyatlar ve Dönüşümler'!E19)</f>
        <v>1.5789910695120002</v>
      </c>
      <c r="J3" t="s">
        <v>182</v>
      </c>
      <c r="K3" s="23">
        <f>+(K2+K1)*0.12</f>
        <v>0.64634293390212783</v>
      </c>
    </row>
    <row r="4" spans="1:11" x14ac:dyDescent="0.3">
      <c r="A4" t="s">
        <v>34</v>
      </c>
      <c r="B4" s="17">
        <f>+'Birleşik Ağaç'!E18</f>
        <v>0.66439999999999999</v>
      </c>
      <c r="C4" s="17">
        <f>+B4*'Sabit Fiyatlar ve Dönüşümler'!T2</f>
        <v>4.1524999999999999</v>
      </c>
      <c r="D4" s="15">
        <f>+B4*('Sabit Fiyatlar ve Dönüşümler'!V2+'Sabit Fiyatlar ve Dönüşümler'!W2+'Sabit Fiyatlar ve Dönüşümler'!X2)</f>
        <v>0.61948717948717946</v>
      </c>
      <c r="E4" s="22">
        <f>+D4+C4</f>
        <v>4.7719871794871791</v>
      </c>
      <c r="G4" t="s">
        <v>159</v>
      </c>
      <c r="H4" s="15">
        <f>+('Birleşik Ağaç'!E37*'Sabit Fiyatlar ve Dönüşümler'!E20)+('Birleşik Ağaç'!E38*'Sabit Fiyatlar ve Dönüşümler'!E21)+('Birleşik Ağaç'!E39*'Sabit Fiyatlar ve Dönüşümler'!E22)+('Birleşik Ağaç'!E40*'Sabit Fiyatlar ve Dönüşümler'!E23)+('Birleşik Ağaç'!E41*'Sabit Fiyatlar ve Dönüşümler'!E24)+('Birleşik Ağaç'!E42*'Sabit Fiyatlar ve Dönüşümler'!E25)</f>
        <v>0.71444198999999986</v>
      </c>
      <c r="J4" t="s">
        <v>183</v>
      </c>
      <c r="K4" s="23">
        <f>+(K2+K1)*0.1</f>
        <v>0.53861911158510656</v>
      </c>
    </row>
    <row r="5" spans="1:11" x14ac:dyDescent="0.3">
      <c r="A5" t="s">
        <v>102</v>
      </c>
      <c r="B5" s="17">
        <f>+'Birleşik Ağaç'!E29</f>
        <v>0.15</v>
      </c>
      <c r="C5" s="17">
        <f>+B5*'Sabit Fiyatlar ve Dönüşümler'!T8</f>
        <v>1.25</v>
      </c>
      <c r="D5" s="15">
        <f>+B5*('Sabit Fiyatlar ve Dönüşümler'!V8+'Sabit Fiyatlar ve Dönüşümler'!W8+'Sabit Fiyatlar ve Dönüşümler'!X8)</f>
        <v>0.34965034965034963</v>
      </c>
      <c r="E5" s="22">
        <f t="shared" ref="E5:E8" si="1">+D5+C5</f>
        <v>1.5996503496503496</v>
      </c>
      <c r="G5" t="s">
        <v>160</v>
      </c>
      <c r="H5" s="15">
        <f>+('Birleşik Ağaç'!E37*'Sabit Fiyatlar ve Dönüşümler'!E20)+('Birleşik Ağaç'!E38*'Sabit Fiyatlar ve Dönüşümler'!E21)+('Birleşik Ağaç'!E39*'Sabit Fiyatlar ve Dönüşümler'!E22)+('Birleşik Ağaç'!E40*'Sabit Fiyatlar ve Dönüşümler'!E23)+('Birleşik Ağaç'!E41*'Sabit Fiyatlar ve Dönüşümler'!E24)+('Birleşik Ağaç'!E42*'Sabit Fiyatlar ve Dönüşümler'!E25)</f>
        <v>0.71444198999999986</v>
      </c>
      <c r="J5" t="s">
        <v>184</v>
      </c>
      <c r="K5" s="23">
        <f>+(K4+K3+K2+K1)*0.18</f>
        <v>1.1828075690408941</v>
      </c>
    </row>
    <row r="6" spans="1:11" x14ac:dyDescent="0.3">
      <c r="A6" t="s">
        <v>105</v>
      </c>
      <c r="B6" s="17">
        <f>+'Birleşik Ağaç'!E32</f>
        <v>0.15</v>
      </c>
      <c r="C6" s="17">
        <f>+B6*'Sabit Fiyatlar ve Dönüşümler'!T9</f>
        <v>0.9375</v>
      </c>
      <c r="D6" s="15">
        <f>+B6*('Sabit Fiyatlar ve Dönüşümler'!V9+'Sabit Fiyatlar ve Dönüşümler'!W9+'Sabit Fiyatlar ve Dönüşümler'!X9)</f>
        <v>0.26223776223776218</v>
      </c>
      <c r="E6" s="22">
        <f t="shared" si="1"/>
        <v>1.1997377622377621</v>
      </c>
      <c r="G6" t="s">
        <v>155</v>
      </c>
      <c r="H6" s="15">
        <f>+'Birleşik Ağaç'!E59*'Sabit Fiyatlar ve Dönüşümler'!E28</f>
        <v>6.6000000000000003E-2</v>
      </c>
    </row>
    <row r="7" spans="1:11" x14ac:dyDescent="0.3">
      <c r="A7" t="s">
        <v>81</v>
      </c>
      <c r="B7" s="17">
        <f>+'Birleşik Ağaç'!E35</f>
        <v>0.44672849999999997</v>
      </c>
      <c r="C7" s="17">
        <f>+B7*'Sabit Fiyatlar ve Dönüşümler'!T3</f>
        <v>3.7227375</v>
      </c>
      <c r="D7" s="15">
        <f>+B7*('Sabit Fiyatlar ve Dönüşümler'!V3+'Sabit Fiyatlar ve Dönüşümler'!W3+'Sabit Fiyatlar ve Dönüşümler'!X3)</f>
        <v>0.31239755244755241</v>
      </c>
      <c r="E7" s="22">
        <f t="shared" si="1"/>
        <v>4.0351350524475524</v>
      </c>
      <c r="G7" t="s">
        <v>151</v>
      </c>
      <c r="H7" s="15">
        <f>+('Birleşik Ağaç'!E61+'Birleşik Ağaç'!E54)*'Sabit Fiyatlar ve Dönüşümler'!E27</f>
        <v>1.6000000000000001E-3</v>
      </c>
      <c r="J7" t="s">
        <v>180</v>
      </c>
      <c r="K7" s="23">
        <f>+SUM(K1:K5)</f>
        <v>7.7539607303791938</v>
      </c>
    </row>
    <row r="8" spans="1:11" x14ac:dyDescent="0.3">
      <c r="A8" t="s">
        <v>91</v>
      </c>
      <c r="B8" s="17">
        <f>+'Birleşik Ağaç'!E43</f>
        <v>0.66048750000000001</v>
      </c>
      <c r="C8" s="17">
        <f>+B8*'Sabit Fiyatlar ve Dönüşümler'!T4</f>
        <v>5.5040625000000007</v>
      </c>
      <c r="D8" s="15">
        <f>+B8*('Sabit Fiyatlar ve Dönüşümler'!V3+'Sabit Fiyatlar ve Dönüşümler'!W3+'Sabit Fiyatlar ve Dönüşümler'!X3)</f>
        <v>0.46187937062937062</v>
      </c>
      <c r="E8" s="22">
        <f t="shared" si="1"/>
        <v>5.9659418706293712</v>
      </c>
      <c r="G8" t="s">
        <v>152</v>
      </c>
      <c r="H8" s="15">
        <f>+('Birleşik Ağaç'!E62+'Birleşik Ağaç'!E53)*'Sabit Fiyatlar ve Dönüşümler'!E26</f>
        <v>1.6000000000000001E-3</v>
      </c>
    </row>
    <row r="9" spans="1:11" x14ac:dyDescent="0.3">
      <c r="A9" t="s">
        <v>91</v>
      </c>
      <c r="B9" s="17">
        <f>+'Birleşik Ağaç'!E51</f>
        <v>0.70452000000000004</v>
      </c>
      <c r="C9" s="17">
        <f>+B9*'Sabit Fiyatlar ve Dönüşümler'!T4</f>
        <v>5.8710000000000004</v>
      </c>
      <c r="D9" s="15">
        <f>+B9*('Sabit Fiyatlar ve Dönüşümler'!V4+'Sabit Fiyatlar ve Dönüşümler'!W4+'Sabit Fiyatlar ve Dönüşümler'!X4)</f>
        <v>0.4105594405594406</v>
      </c>
      <c r="E9" s="22">
        <f t="shared" ref="E9:E15" si="2">+D9+C9</f>
        <v>6.281559440559441</v>
      </c>
      <c r="H9" s="23">
        <f>+SUM(H2:H8)</f>
        <v>4.2446020495119994</v>
      </c>
    </row>
    <row r="10" spans="1:11" x14ac:dyDescent="0.3">
      <c r="A10" t="s">
        <v>23</v>
      </c>
      <c r="B10" s="17">
        <f>+'Birleşik Ağaç'!E52</f>
        <v>0.2</v>
      </c>
      <c r="C10" s="17">
        <f>+B10*'Sabit Fiyatlar ve Dönüşümler'!T5</f>
        <v>1.4204545454545456</v>
      </c>
      <c r="D10" s="15">
        <f>+B10*('Sabit Fiyatlar ve Dönüşümler'!V5+'Sabit Fiyatlar ve Dönüşümler'!W5+'Sabit Fiyatlar ve Dönüşümler'!X5)</f>
        <v>0.69930069930069927</v>
      </c>
      <c r="E10" s="22">
        <f t="shared" si="2"/>
        <v>2.119755244755245</v>
      </c>
    </row>
    <row r="11" spans="1:11" x14ac:dyDescent="0.3">
      <c r="A11" t="s">
        <v>29</v>
      </c>
      <c r="B11" s="17">
        <f>+'Birleşik Ağaç'!E55</f>
        <v>0.22</v>
      </c>
      <c r="C11" s="17">
        <f>+B11*'Sabit Fiyatlar ve Dönüşümler'!T6</f>
        <v>1.1458333333333333</v>
      </c>
      <c r="D11" s="15">
        <f>+B11*('Sabit Fiyatlar ve Dönüşümler'!V6+'Sabit Fiyatlar ve Dönüşümler'!W6+'Sabit Fiyatlar ve Dönüşümler'!X6)</f>
        <v>0.10256410256410256</v>
      </c>
      <c r="E11" s="22">
        <f t="shared" si="2"/>
        <v>1.2483974358974359</v>
      </c>
    </row>
    <row r="12" spans="1:11" x14ac:dyDescent="0.3">
      <c r="A12" t="s">
        <v>117</v>
      </c>
      <c r="B12" s="17">
        <f>+'Birleşik Ağaç'!E57</f>
        <v>0.2</v>
      </c>
      <c r="C12" s="17">
        <f>+B12*'Sabit Fiyatlar ve Dönüşümler'!T7</f>
        <v>1.3636363636363638</v>
      </c>
      <c r="D12" s="15">
        <f>+B12*('Sabit Fiyatlar ve Dönüşümler'!V7+'Sabit Fiyatlar ve Dönüşümler'!W7+'Sabit Fiyatlar ve Dönüşümler'!X7)</f>
        <v>2.3310023310023312E-2</v>
      </c>
      <c r="E12" s="22">
        <f>+D12+C12</f>
        <v>1.3869463869463872</v>
      </c>
    </row>
    <row r="13" spans="1:11" x14ac:dyDescent="0.3">
      <c r="A13" t="s">
        <v>120</v>
      </c>
      <c r="B13" s="17">
        <f>+'Birleşik Ağaç'!E58</f>
        <v>0.21</v>
      </c>
      <c r="C13" s="17">
        <f>+B13*'Sabit Fiyatlar ve Dönüşümler'!T10</f>
        <v>1.75</v>
      </c>
      <c r="D13" s="15">
        <f>+B13*('Sabit Fiyatlar ve Dönüşümler'!V10+'Sabit Fiyatlar ve Dönüşümler'!W10+'Sabit Fiyatlar ve Dönüşümler'!X10)</f>
        <v>3.426573426573426E-2</v>
      </c>
      <c r="E13" s="22">
        <f>+D13+C13</f>
        <v>1.7842657342657342</v>
      </c>
    </row>
    <row r="14" spans="1:11" x14ac:dyDescent="0.3">
      <c r="A14" t="s">
        <v>119</v>
      </c>
      <c r="B14" s="17">
        <f>+'Birleşik Ağaç'!E60</f>
        <v>0.26</v>
      </c>
      <c r="C14" s="17">
        <f>+B14*'Sabit Fiyatlar ve Dönüşümler'!T11</f>
        <v>1.4772727272727273</v>
      </c>
      <c r="D14" s="15">
        <f>+B14*('Sabit Fiyatlar ve Dönüşümler'!V11+'Sabit Fiyatlar ve Dönüşümler'!W11+'Sabit Fiyatlar ve Dönüşümler'!X11)</f>
        <v>3.9393939393939398E-2</v>
      </c>
      <c r="E14" s="22">
        <f>+D14+C14</f>
        <v>1.5166666666666666</v>
      </c>
      <c r="I14" s="25"/>
    </row>
    <row r="15" spans="1:11" x14ac:dyDescent="0.3">
      <c r="A15" t="s">
        <v>121</v>
      </c>
      <c r="B15" s="17">
        <f>+'Birleşik Ağaç'!E63</f>
        <v>0.2</v>
      </c>
      <c r="C15" s="17">
        <f>+B15*'Sabit Fiyatlar ve Dönüşümler'!T12</f>
        <v>1.0416666666666667</v>
      </c>
      <c r="D15" s="15">
        <f>+B15*('Sabit Fiyatlar ve Dönüşümler'!V12+'Sabit Fiyatlar ve Dönüşümler'!W12+'Sabit Fiyatlar ve Dönüşümler'!X12)</f>
        <v>0.13986013986013987</v>
      </c>
      <c r="E15" s="22">
        <f t="shared" si="2"/>
        <v>1.1815268065268065</v>
      </c>
    </row>
    <row r="16" spans="1:11" x14ac:dyDescent="0.3">
      <c r="B16" s="15"/>
      <c r="C16" s="15"/>
      <c r="E16" s="22">
        <f>+SUM(E2:E15)</f>
        <v>42.23879545454546</v>
      </c>
      <c r="F16" s="15"/>
    </row>
    <row r="17" spans="4:5" x14ac:dyDescent="0.3">
      <c r="D17" s="15">
        <f>+SUM(D2:D15)/37</f>
        <v>0.11079635544635544</v>
      </c>
      <c r="E17" s="24">
        <f>+E16/37</f>
        <v>1.1415890663390664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Birleşik Ağaç</vt:lpstr>
      <vt:lpstr>Standart Ağaç</vt:lpstr>
      <vt:lpstr>BOM Tanımları</vt:lpstr>
      <vt:lpstr>Sabit Fiyatlar ve Dönüşümler</vt:lpstr>
      <vt:lpstr>Maliyet-fiyat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dcterms:created xsi:type="dcterms:W3CDTF">2024-10-17T08:41:03Z</dcterms:created>
  <dcterms:modified xsi:type="dcterms:W3CDTF">2024-11-15T18:25:48Z</dcterms:modified>
</cp:coreProperties>
</file>