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rawat/Desktop/Mac 16 /DSA WOW/"/>
    </mc:Choice>
  </mc:AlternateContent>
  <xr:revisionPtr revIDLastSave="0" documentId="8_{31698148-D3FC-024A-B135-888B4AEB2799}" xr6:coauthVersionLast="45" xr6:coauthVersionMax="45" xr10:uidLastSave="{00000000-0000-0000-0000-000000000000}"/>
  <bookViews>
    <workbookView xWindow="0" yWindow="0" windowWidth="35840" windowHeight="22400" xr2:uid="{AC8274E8-33DB-CC4C-980D-AE5A2123A9A6}"/>
  </bookViews>
  <sheets>
    <sheet name="UPOS" sheetId="1" r:id="rId1"/>
    <sheet name="Vendor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D24" i="1"/>
  <c r="D30" i="1" l="1"/>
  <c r="F15" i="1" l="1"/>
  <c r="F16" i="1"/>
  <c r="F17" i="1"/>
  <c r="F18" i="1"/>
  <c r="F19" i="1"/>
  <c r="F20" i="1"/>
  <c r="F21" i="1"/>
  <c r="F14" i="1"/>
  <c r="E11" i="1"/>
  <c r="F11" i="1"/>
  <c r="F23" i="1" l="1"/>
  <c r="C27" i="1" s="1"/>
  <c r="E11" i="2"/>
  <c r="D30" i="2" l="1"/>
  <c r="D11" i="1"/>
  <c r="D23" i="2"/>
  <c r="D22" i="2"/>
  <c r="H31" i="1"/>
  <c r="F21" i="2"/>
  <c r="D16" i="1"/>
  <c r="D23" i="1" s="1"/>
  <c r="C30" i="2" l="1"/>
  <c r="D31" i="1"/>
  <c r="C31" i="1"/>
  <c r="E5" i="2"/>
  <c r="E7" i="2" s="1"/>
  <c r="F17" i="2"/>
  <c r="C30" i="1"/>
  <c r="C7" i="1"/>
  <c r="C29" i="2" l="1"/>
  <c r="F14" i="2"/>
  <c r="F20" i="2"/>
  <c r="F16" i="2"/>
  <c r="F13" i="2"/>
  <c r="F18" i="2"/>
  <c r="F19" i="2"/>
  <c r="F15" i="2"/>
  <c r="F22" i="2" l="1"/>
  <c r="C26" i="2" s="1"/>
  <c r="C32" i="2" l="1"/>
  <c r="D32" i="2" s="1"/>
  <c r="C27" i="2"/>
  <c r="D27" i="1" l="1"/>
  <c r="E27" i="1"/>
  <c r="C28" i="1"/>
  <c r="C33" i="2"/>
  <c r="C33" i="1" l="1"/>
  <c r="L9" i="2"/>
  <c r="D33" i="1" l="1"/>
  <c r="D28" i="1"/>
  <c r="E28" i="1" l="1"/>
  <c r="C34" i="1" s="1"/>
</calcChain>
</file>

<file path=xl/sharedStrings.xml><?xml version="1.0" encoding="utf-8"?>
<sst xmlns="http://schemas.openxmlformats.org/spreadsheetml/2006/main" count="85" uniqueCount="62">
  <si>
    <t xml:space="preserve">UPOS </t>
  </si>
  <si>
    <t xml:space="preserve">Groceries </t>
  </si>
  <si>
    <t xml:space="preserve">Clothing </t>
  </si>
  <si>
    <t>Insurance</t>
  </si>
  <si>
    <t>Loan</t>
  </si>
  <si>
    <t xml:space="preserve">Flight </t>
  </si>
  <si>
    <t xml:space="preserve">Electronics &amp; Other Expence </t>
  </si>
  <si>
    <t>Travel &amp; Food</t>
  </si>
  <si>
    <t xml:space="preserve">Real Estate </t>
  </si>
  <si>
    <t xml:space="preserve">10X GG Coins Income </t>
  </si>
  <si>
    <t>IC</t>
  </si>
  <si>
    <t xml:space="preserve">My Circle </t>
  </si>
  <si>
    <t xml:space="preserve">New Customer </t>
  </si>
  <si>
    <t xml:space="preserve">Light Bill, Tele/Mobile,Water,D2H,Amazon Prime ,Zee5 Etc </t>
  </si>
  <si>
    <t xml:space="preserve">PA Commission </t>
  </si>
  <si>
    <t xml:space="preserve">% Commission </t>
  </si>
  <si>
    <t xml:space="preserve">Per Month New Customer </t>
  </si>
  <si>
    <t xml:space="preserve">Still we have Calculated High Revenue Products ,Referal Cashback in FIFO and RPP &amp; Reffered Vendors Also Self My Circle Cashback + GG Coins Trade Income </t>
  </si>
  <si>
    <t>UPOS Cost</t>
  </si>
  <si>
    <t>Net Income Expectation PA</t>
  </si>
  <si>
    <t>Total Agent for Free (Max 18)</t>
  </si>
  <si>
    <t>Input Value As per Your Descretion in this color Boxes</t>
  </si>
  <si>
    <t>Return Of Investment PA Expectation</t>
  </si>
  <si>
    <t>Per Month Customer By Agent For Next 12 Months only</t>
  </si>
  <si>
    <t>Agent % Commisiion Sharing</t>
  </si>
  <si>
    <t>Expence Of a Family of 4-5 People</t>
  </si>
  <si>
    <t>Total Income</t>
  </si>
  <si>
    <t>UPOS Agent Income</t>
  </si>
  <si>
    <t>Agent  Commisiion Sharing</t>
  </si>
  <si>
    <t>UPOS Owner Self User Income</t>
  </si>
  <si>
    <t>Income PA</t>
  </si>
  <si>
    <t xml:space="preserve">Future Referal Income in My Circle </t>
  </si>
  <si>
    <t>Future Referal Income in Instant Cashback</t>
  </si>
  <si>
    <t xml:space="preserve">Vendors Goal Setting </t>
  </si>
  <si>
    <t>Commission to GG</t>
  </si>
  <si>
    <t xml:space="preserve">Number of Customer Per Month </t>
  </si>
  <si>
    <t xml:space="preserve">Expected Sale Per Month </t>
  </si>
  <si>
    <t xml:space="preserve">Commmision to Be Paid </t>
  </si>
  <si>
    <t>There After Total In GG Coin Income for Vendor :</t>
  </si>
  <si>
    <t>Divert Customers to GG</t>
  </si>
  <si>
    <t>Multiply your per USER Income through UPOS</t>
  </si>
  <si>
    <t>Per Month</t>
  </si>
  <si>
    <t>UPOS Owner Income From Agent User's</t>
  </si>
  <si>
    <t>There After Total In Cash Income for Vendor:</t>
  </si>
  <si>
    <t>Insurance Self, Car,Health , Bike, Parents (Appox 2.5 Lakh)</t>
  </si>
  <si>
    <r>
      <t xml:space="preserve">Impostant Note : </t>
    </r>
    <r>
      <rPr>
        <sz val="8"/>
        <color theme="0"/>
        <rFont val="Calibri"/>
        <family val="2"/>
        <scheme val="minor"/>
      </rPr>
      <t xml:space="preserve">All income shown in above chart is as per the performace only and for illustration purpose and  not a gaurantee of income without work on UPOS To achive this minimum task should be achived as given. </t>
    </r>
  </si>
  <si>
    <r>
      <rPr>
        <sz val="11"/>
        <color theme="0"/>
        <rFont val="Calibri"/>
        <family val="2"/>
        <scheme val="minor"/>
      </rPr>
      <t xml:space="preserve">Still we have </t>
    </r>
    <r>
      <rPr>
        <b/>
        <sz val="11"/>
        <color theme="0"/>
        <rFont val="Calibri"/>
        <family val="2"/>
        <scheme val="minor"/>
      </rPr>
      <t>"Not Calculated"</t>
    </r>
    <r>
      <rPr>
        <sz val="11"/>
        <color theme="0"/>
        <rFont val="Calibri"/>
        <family val="2"/>
        <scheme val="minor"/>
      </rPr>
      <t xml:space="preserve"> High Revenue Products ,Referal Cashback in FIFO and RPP &amp; Reffered Vendors Also Self My Circle Cashback + GG Coins Trade Income </t>
    </r>
  </si>
  <si>
    <r>
      <t xml:space="preserve">Per Month Customer Self </t>
    </r>
    <r>
      <rPr>
        <b/>
        <sz val="8"/>
        <color theme="0"/>
        <rFont val="Calibri (Body)"/>
      </rPr>
      <t>For Next 12 Months only</t>
    </r>
  </si>
  <si>
    <r>
      <rPr>
        <sz val="12"/>
        <color theme="0"/>
        <rFont val="Calibri"/>
        <family val="2"/>
        <scheme val="minor"/>
      </rPr>
      <t xml:space="preserve">Still we have </t>
    </r>
    <r>
      <rPr>
        <b/>
        <sz val="12"/>
        <color theme="0"/>
        <rFont val="Calibri"/>
        <family val="2"/>
        <scheme val="minor"/>
      </rPr>
      <t>"Not Calculated"</t>
    </r>
    <r>
      <rPr>
        <sz val="12"/>
        <color theme="0"/>
        <rFont val="Calibri"/>
        <family val="2"/>
        <scheme val="minor"/>
      </rPr>
      <t xml:space="preserve"> High Revenue Products ,Referal Cashback in FIFO and RPP &amp; Reffered Vendors Also Self My Circle Cashback + GG Coins Trade Income </t>
    </r>
  </si>
  <si>
    <t xml:space="preserve">Total Yearly Sale </t>
  </si>
  <si>
    <t>Future Referal Income in Instant Cashback in 12 months therafter everymonth</t>
  </si>
  <si>
    <t xml:space="preserve">Electronics &amp; Motar Service ,Medical Other Expence </t>
  </si>
  <si>
    <t>There After Total In Cash Income for UPOS Owner/Agent :</t>
  </si>
  <si>
    <t>There After Total In GG Coin Income for UPOS Owner/Agent :</t>
  </si>
  <si>
    <r>
      <t>Impostant Note :</t>
    </r>
    <r>
      <rPr>
        <sz val="8"/>
        <color theme="0"/>
        <rFont val="Calibri"/>
        <family val="2"/>
        <scheme val="minor"/>
      </rPr>
      <t xml:space="preserve">All income shown in above chart is as per the performace only and for illustration purpose and  not a gaurantee of income without work on UPOS To achive this minimum task should be achived as given. </t>
    </r>
  </si>
  <si>
    <t>Input All Values as per your Descretion Only in Blue Colored Boxes                     -&gt;</t>
  </si>
  <si>
    <t>Total Property Sold</t>
  </si>
  <si>
    <t>Self Customer After 1 Year</t>
  </si>
  <si>
    <t>Agent Customer After 1 Year</t>
  </si>
  <si>
    <t>Vendor Income PA</t>
  </si>
  <si>
    <t>Number of Customer</t>
  </si>
  <si>
    <t>UPOS Potential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</si>
</sst>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#,##0"/>
    <numFmt numFmtId="165" formatCode="&quot;₹&quot;#,##0.00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8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8" xfId="0" applyFont="1" applyFill="1" applyBorder="1"/>
    <xf numFmtId="164" fontId="1" fillId="0" borderId="1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5" fontId="1" fillId="0" borderId="0" xfId="0" applyNumberFormat="1" applyFont="1"/>
    <xf numFmtId="164" fontId="2" fillId="0" borderId="1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 wrapText="1"/>
    </xf>
    <xf numFmtId="0" fontId="3" fillId="3" borderId="15" xfId="0" applyFont="1" applyFill="1" applyBorder="1"/>
    <xf numFmtId="0" fontId="3" fillId="3" borderId="14" xfId="0" applyFont="1" applyFill="1" applyBorder="1"/>
    <xf numFmtId="0" fontId="4" fillId="3" borderId="1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14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3" borderId="13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5" xfId="0" applyFont="1" applyFill="1" applyBorder="1" applyAlignment="1">
      <alignment wrapText="1"/>
    </xf>
    <xf numFmtId="164" fontId="2" fillId="0" borderId="20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9" fillId="0" borderId="26" xfId="0" applyFont="1" applyFill="1" applyBorder="1" applyAlignment="1"/>
    <xf numFmtId="0" fontId="9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9" fillId="4" borderId="22" xfId="0" applyFont="1" applyFill="1" applyBorder="1" applyProtection="1">
      <protection hidden="1"/>
    </xf>
    <xf numFmtId="0" fontId="1" fillId="0" borderId="13" xfId="0" applyFont="1" applyBorder="1" applyProtection="1">
      <protection hidden="1"/>
    </xf>
    <xf numFmtId="164" fontId="1" fillId="0" borderId="16" xfId="0" applyNumberFormat="1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left"/>
      <protection hidden="1"/>
    </xf>
    <xf numFmtId="0" fontId="1" fillId="0" borderId="15" xfId="0" applyFont="1" applyBorder="1" applyProtection="1"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" xfId="0" applyFont="1" applyBorder="1" applyProtection="1">
      <protection hidden="1"/>
    </xf>
    <xf numFmtId="0" fontId="1" fillId="0" borderId="14" xfId="0" applyFont="1" applyBorder="1" applyProtection="1">
      <protection hidden="1"/>
    </xf>
    <xf numFmtId="0" fontId="1" fillId="0" borderId="14" xfId="0" applyFont="1" applyBorder="1" applyAlignment="1" applyProtection="1">
      <alignment horizontal="left"/>
      <protection hidden="1"/>
    </xf>
    <xf numFmtId="0" fontId="1" fillId="5" borderId="18" xfId="0" applyFont="1" applyFill="1" applyBorder="1" applyAlignment="1" applyProtection="1">
      <alignment horizontal="center"/>
      <protection hidden="1"/>
    </xf>
    <xf numFmtId="9" fontId="1" fillId="0" borderId="0" xfId="0" applyNumberFormat="1" applyFont="1" applyProtection="1">
      <protection hidden="1"/>
    </xf>
    <xf numFmtId="164" fontId="1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0" fontId="4" fillId="3" borderId="1" xfId="0" applyFont="1" applyFill="1" applyBorder="1" applyAlignment="1" applyProtection="1">
      <alignment horizontal="center"/>
      <protection hidden="1"/>
    </xf>
    <xf numFmtId="0" fontId="4" fillId="3" borderId="1" xfId="0" applyFont="1" applyFill="1" applyBorder="1" applyProtection="1">
      <protection hidden="1"/>
    </xf>
    <xf numFmtId="0" fontId="4" fillId="3" borderId="1" xfId="0" applyFont="1" applyFill="1" applyBorder="1" applyAlignment="1" applyProtection="1">
      <alignment vertical="center"/>
      <protection hidden="1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3" borderId="13" xfId="0" applyFont="1" applyFill="1" applyBorder="1" applyAlignment="1" applyProtection="1">
      <alignment horizontal="left" wrapText="1"/>
      <protection hidden="1"/>
    </xf>
    <xf numFmtId="10" fontId="1" fillId="0" borderId="16" xfId="0" applyNumberFormat="1" applyFont="1" applyBorder="1" applyAlignment="1" applyProtection="1">
      <alignment horizontal="center" vertical="center"/>
      <protection hidden="1"/>
    </xf>
    <xf numFmtId="164" fontId="1" fillId="0" borderId="13" xfId="0" applyNumberFormat="1" applyFont="1" applyBorder="1" applyAlignment="1" applyProtection="1">
      <alignment horizontal="center" vertical="center"/>
      <protection hidden="1"/>
    </xf>
    <xf numFmtId="9" fontId="1" fillId="0" borderId="0" xfId="0" applyNumberFormat="1" applyFont="1" applyBorder="1" applyAlignment="1" applyProtection="1">
      <alignment horizontal="center" vertical="center"/>
      <protection hidden="1"/>
    </xf>
    <xf numFmtId="0" fontId="3" fillId="3" borderId="15" xfId="0" applyFont="1" applyFill="1" applyBorder="1" applyProtection="1">
      <protection hidden="1"/>
    </xf>
    <xf numFmtId="10" fontId="1" fillId="0" borderId="17" xfId="0" applyNumberFormat="1" applyFont="1" applyBorder="1" applyAlignment="1" applyProtection="1">
      <alignment horizontal="center"/>
      <protection hidden="1"/>
    </xf>
    <xf numFmtId="164" fontId="1" fillId="0" borderId="15" xfId="0" applyNumberFormat="1" applyFont="1" applyBorder="1" applyAlignment="1" applyProtection="1">
      <alignment horizontal="center"/>
      <protection hidden="1"/>
    </xf>
    <xf numFmtId="9" fontId="1" fillId="0" borderId="0" xfId="0" applyNumberFormat="1" applyFont="1" applyBorder="1" applyAlignment="1" applyProtection="1">
      <alignment horizontal="center"/>
      <protection hidden="1"/>
    </xf>
    <xf numFmtId="9" fontId="1" fillId="0" borderId="17" xfId="0" applyNumberFormat="1" applyFont="1" applyBorder="1" applyAlignment="1" applyProtection="1">
      <alignment horizontal="center"/>
      <protection hidden="1"/>
    </xf>
    <xf numFmtId="0" fontId="3" fillId="3" borderId="14" xfId="0" applyFont="1" applyFill="1" applyBorder="1" applyProtection="1">
      <protection hidden="1"/>
    </xf>
    <xf numFmtId="9" fontId="1" fillId="0" borderId="18" xfId="0" applyNumberFormat="1" applyFont="1" applyBorder="1" applyAlignment="1" applyProtection="1">
      <alignment horizontal="center"/>
      <protection hidden="1"/>
    </xf>
    <xf numFmtId="164" fontId="1" fillId="0" borderId="14" xfId="0" applyNumberFormat="1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164" fontId="2" fillId="0" borderId="1" xfId="0" applyNumberFormat="1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4" fillId="3" borderId="11" xfId="0" applyFont="1" applyFill="1" applyBorder="1" applyProtection="1"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0" fontId="4" fillId="3" borderId="12" xfId="0" applyFont="1" applyFill="1" applyBorder="1" applyProtection="1">
      <protection hidden="1"/>
    </xf>
    <xf numFmtId="164" fontId="2" fillId="0" borderId="20" xfId="0" applyNumberFormat="1" applyFont="1" applyBorder="1" applyAlignment="1" applyProtection="1">
      <alignment horizontal="center"/>
      <protection hidden="1"/>
    </xf>
    <xf numFmtId="0" fontId="1" fillId="0" borderId="10" xfId="0" applyFont="1" applyBorder="1" applyProtection="1"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3" borderId="5" xfId="0" applyFont="1" applyFill="1" applyBorder="1" applyProtection="1">
      <protection hidden="1"/>
    </xf>
    <xf numFmtId="164" fontId="2" fillId="0" borderId="20" xfId="0" applyNumberFormat="1" applyFont="1" applyBorder="1" applyAlignment="1" applyProtection="1">
      <alignment horizontal="center" vertical="center"/>
      <protection hidden="1"/>
    </xf>
    <xf numFmtId="9" fontId="1" fillId="0" borderId="1" xfId="0" applyNumberFormat="1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wrapText="1"/>
      <protection hidden="1"/>
    </xf>
    <xf numFmtId="164" fontId="2" fillId="0" borderId="1" xfId="0" applyNumberFormat="1" applyFont="1" applyFill="1" applyBorder="1" applyAlignment="1" applyProtection="1">
      <alignment horizontal="center" vertical="center"/>
      <protection hidden="1"/>
    </xf>
    <xf numFmtId="164" fontId="1" fillId="0" borderId="1" xfId="0" applyNumberFormat="1" applyFont="1" applyFill="1" applyBorder="1" applyAlignment="1" applyProtection="1">
      <alignment horizontal="center"/>
      <protection hidden="1"/>
    </xf>
    <xf numFmtId="0" fontId="4" fillId="0" borderId="2" xfId="0" applyFont="1" applyFill="1" applyBorder="1" applyProtection="1">
      <protection hidden="1"/>
    </xf>
    <xf numFmtId="164" fontId="1" fillId="0" borderId="3" xfId="0" applyNumberFormat="1" applyFont="1" applyFill="1" applyBorder="1" applyAlignment="1" applyProtection="1">
      <alignment horizontal="center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9" fontId="1" fillId="2" borderId="17" xfId="0" applyNumberFormat="1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 applyProtection="1">
      <alignment horizontal="center"/>
      <protection locked="0"/>
    </xf>
    <xf numFmtId="9" fontId="1" fillId="2" borderId="9" xfId="0" applyNumberFormat="1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9" fontId="1" fillId="2" borderId="16" xfId="0" applyNumberFormat="1" applyFont="1" applyFill="1" applyBorder="1" applyAlignment="1" applyProtection="1">
      <alignment vertical="center"/>
      <protection locked="0"/>
    </xf>
    <xf numFmtId="9" fontId="1" fillId="2" borderId="17" xfId="0" applyNumberFormat="1" applyFont="1" applyFill="1" applyBorder="1" applyProtection="1">
      <protection locked="0"/>
    </xf>
    <xf numFmtId="1" fontId="1" fillId="2" borderId="17" xfId="0" applyNumberFormat="1" applyFont="1" applyFill="1" applyBorder="1" applyProtection="1">
      <protection locked="0"/>
    </xf>
    <xf numFmtId="1" fontId="1" fillId="2" borderId="18" xfId="0" applyNumberFormat="1" applyFont="1" applyFill="1" applyBorder="1" applyProtection="1">
      <protection locked="0"/>
    </xf>
    <xf numFmtId="9" fontId="1" fillId="2" borderId="22" xfId="0" applyNumberFormat="1" applyFont="1" applyFill="1" applyBorder="1" applyAlignment="1" applyProtection="1">
      <alignment horizontal="center"/>
      <protection locked="0"/>
    </xf>
    <xf numFmtId="9" fontId="1" fillId="2" borderId="20" xfId="0" applyNumberFormat="1" applyFont="1" applyFill="1" applyBorder="1" applyAlignment="1" applyProtection="1">
      <alignment horizontal="center" vertical="center"/>
      <protection locked="0"/>
    </xf>
    <xf numFmtId="3" fontId="1" fillId="2" borderId="18" xfId="0" applyNumberFormat="1" applyFont="1" applyFill="1" applyBorder="1" applyAlignment="1" applyProtection="1">
      <alignment horizontal="center"/>
      <protection locked="0"/>
    </xf>
    <xf numFmtId="9" fontId="1" fillId="2" borderId="24" xfId="0" applyNumberFormat="1" applyFont="1" applyFill="1" applyBorder="1" applyAlignment="1" applyProtection="1">
      <alignment horizontal="center"/>
      <protection locked="0"/>
    </xf>
    <xf numFmtId="1" fontId="1" fillId="2" borderId="18" xfId="0" applyNumberFormat="1" applyFont="1" applyFill="1" applyBorder="1" applyAlignment="1" applyProtection="1">
      <alignment horizontal="center"/>
      <protection locked="0"/>
    </xf>
    <xf numFmtId="1" fontId="1" fillId="2" borderId="17" xfId="0" applyNumberFormat="1" applyFont="1" applyFill="1" applyBorder="1" applyAlignment="1" applyProtection="1">
      <alignment horizontal="center"/>
      <protection locked="0"/>
    </xf>
    <xf numFmtId="9" fontId="1" fillId="2" borderId="16" xfId="0" applyNumberFormat="1" applyFont="1" applyFill="1" applyBorder="1" applyAlignment="1" applyProtection="1">
      <alignment horizontal="center" vertical="center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9" fillId="4" borderId="2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7" fillId="4" borderId="26" xfId="0" applyFont="1" applyFill="1" applyBorder="1" applyAlignment="1" applyProtection="1">
      <alignment horizontal="center" vertical="center" wrapText="1"/>
      <protection hidden="1"/>
    </xf>
    <xf numFmtId="0" fontId="7" fillId="4" borderId="0" xfId="0" applyFont="1" applyFill="1" applyBorder="1" applyAlignment="1" applyProtection="1">
      <alignment horizontal="center" vertical="center" wrapText="1"/>
      <protection hidden="1"/>
    </xf>
    <xf numFmtId="0" fontId="4" fillId="4" borderId="0" xfId="0" applyFont="1" applyFill="1" applyAlignment="1" applyProtection="1">
      <alignment horizont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1555-FD0F-344D-8BBC-DC46FA05F698}">
  <dimension ref="B2:J44"/>
  <sheetViews>
    <sheetView tabSelected="1" zoomScale="140" zoomScaleNormal="140" workbookViewId="0">
      <selection activeCell="C16" sqref="C16"/>
    </sheetView>
  </sheetViews>
  <sheetFormatPr baseColWidth="10" defaultRowHeight="11" x14ac:dyDescent="0.15"/>
  <cols>
    <col min="1" max="1" width="1.83203125" style="1" customWidth="1"/>
    <col min="2" max="2" width="35.33203125" style="1" bestFit="1" customWidth="1"/>
    <col min="3" max="3" width="17.83203125" style="2" bestFit="1" customWidth="1"/>
    <col min="4" max="4" width="32.5" style="2" bestFit="1" customWidth="1"/>
    <col min="5" max="5" width="8" style="1" bestFit="1" customWidth="1"/>
    <col min="6" max="6" width="17.1640625" style="2" bestFit="1" customWidth="1"/>
    <col min="7" max="7" width="3.83203125" style="2" bestFit="1" customWidth="1"/>
    <col min="8" max="8" width="6.83203125" style="2" bestFit="1" customWidth="1"/>
    <col min="9" max="9" width="2.5" style="2" bestFit="1" customWidth="1"/>
    <col min="10" max="10" width="6.33203125" style="1" bestFit="1" customWidth="1"/>
    <col min="11" max="12" width="0" style="1" hidden="1" customWidth="1"/>
    <col min="13" max="16384" width="10.83203125" style="1"/>
  </cols>
  <sheetData>
    <row r="2" spans="2:10" x14ac:dyDescent="0.15">
      <c r="B2" s="3"/>
      <c r="C2" s="4"/>
      <c r="D2" s="4"/>
      <c r="E2" s="4"/>
    </row>
    <row r="3" spans="2:10" ht="24" x14ac:dyDescent="0.3">
      <c r="B3" s="149" t="s">
        <v>61</v>
      </c>
      <c r="C3" s="150"/>
      <c r="D3" s="150"/>
      <c r="E3" s="150"/>
      <c r="F3" s="150"/>
      <c r="G3" s="150"/>
      <c r="H3" s="150"/>
      <c r="I3" s="150"/>
      <c r="J3" s="150"/>
    </row>
    <row r="4" spans="2:10" s="50" customFormat="1" ht="25" thickBot="1" x14ac:dyDescent="0.35">
      <c r="B4" s="51"/>
      <c r="C4" s="52"/>
      <c r="D4" s="52"/>
      <c r="E4" s="52"/>
      <c r="F4" s="52"/>
      <c r="G4" s="52"/>
      <c r="H4" s="52"/>
      <c r="I4" s="52"/>
    </row>
    <row r="5" spans="2:10" ht="17" customHeight="1" thickBot="1" x14ac:dyDescent="0.2">
      <c r="B5" s="37" t="s">
        <v>18</v>
      </c>
      <c r="C5" s="5">
        <v>54000</v>
      </c>
      <c r="D5" s="39" t="s">
        <v>47</v>
      </c>
      <c r="E5" s="125">
        <v>10</v>
      </c>
      <c r="H5" s="1"/>
      <c r="I5" s="1"/>
    </row>
    <row r="6" spans="2:10" ht="17" customHeight="1" thickBot="1" x14ac:dyDescent="0.2">
      <c r="B6" s="38" t="s">
        <v>22</v>
      </c>
      <c r="C6" s="124">
        <v>1</v>
      </c>
      <c r="D6" s="40" t="s">
        <v>20</v>
      </c>
      <c r="E6" s="126">
        <v>18</v>
      </c>
      <c r="F6" s="26" t="s">
        <v>24</v>
      </c>
      <c r="G6" s="128">
        <v>0.5</v>
      </c>
      <c r="H6" s="1"/>
      <c r="I6" s="1"/>
    </row>
    <row r="7" spans="2:10" ht="17" customHeight="1" thickBot="1" x14ac:dyDescent="0.2">
      <c r="B7" s="34" t="s">
        <v>19</v>
      </c>
      <c r="C7" s="6">
        <f>C6*C5</f>
        <v>54000</v>
      </c>
      <c r="D7" s="41" t="s">
        <v>23</v>
      </c>
      <c r="E7" s="127">
        <v>10</v>
      </c>
      <c r="H7" s="1"/>
      <c r="I7" s="1"/>
    </row>
    <row r="8" spans="2:10" x14ac:dyDescent="0.15">
      <c r="H8" s="7"/>
    </row>
    <row r="9" spans="2:10" ht="12" thickBot="1" x14ac:dyDescent="0.2"/>
    <row r="10" spans="2:10" s="56" customFormat="1" ht="37" thickBot="1" x14ac:dyDescent="0.25">
      <c r="C10" s="57"/>
      <c r="D10" s="58" t="s">
        <v>12</v>
      </c>
      <c r="E10" s="59" t="s">
        <v>57</v>
      </c>
      <c r="F10" s="59" t="s">
        <v>58</v>
      </c>
      <c r="G10" s="57"/>
      <c r="H10" s="57"/>
      <c r="I10" s="57"/>
    </row>
    <row r="11" spans="2:10" ht="13" thickBot="1" x14ac:dyDescent="0.2">
      <c r="B11" s="32" t="s">
        <v>0</v>
      </c>
      <c r="C11" s="33" t="s">
        <v>16</v>
      </c>
      <c r="D11" s="9">
        <f>(E5+(E6*E7))</f>
        <v>190</v>
      </c>
      <c r="E11" s="10">
        <f>E5*12</f>
        <v>120</v>
      </c>
      <c r="F11" s="2">
        <f>(E7*E6)*12</f>
        <v>2160</v>
      </c>
    </row>
    <row r="12" spans="2:10" s="50" customFormat="1" ht="12" thickBot="1" x14ac:dyDescent="0.2">
      <c r="B12" s="46"/>
      <c r="C12" s="47"/>
      <c r="D12" s="48"/>
      <c r="E12" s="48"/>
      <c r="F12" s="49"/>
      <c r="G12" s="49"/>
      <c r="H12" s="49"/>
      <c r="I12" s="49"/>
    </row>
    <row r="13" spans="2:10" s="8" customFormat="1" ht="12" thickBot="1" x14ac:dyDescent="0.2">
      <c r="C13" s="26" t="s">
        <v>15</v>
      </c>
      <c r="D13" s="26" t="s">
        <v>25</v>
      </c>
      <c r="F13" s="26" t="s">
        <v>14</v>
      </c>
      <c r="G13" s="11"/>
      <c r="H13" s="4"/>
      <c r="I13" s="4"/>
    </row>
    <row r="14" spans="2:10" ht="13" thickBot="1" x14ac:dyDescent="0.2">
      <c r="B14" s="29" t="s">
        <v>13</v>
      </c>
      <c r="C14" s="12">
        <v>3.0000000000000001E-3</v>
      </c>
      <c r="D14" s="129">
        <v>60000</v>
      </c>
      <c r="E14" s="132">
        <v>1</v>
      </c>
      <c r="F14" s="23">
        <f>E14*D14*C14</f>
        <v>180</v>
      </c>
      <c r="H14" s="1"/>
    </row>
    <row r="15" spans="2:10" ht="12" thickBot="1" x14ac:dyDescent="0.2">
      <c r="B15" s="30" t="s">
        <v>1</v>
      </c>
      <c r="C15" s="13">
        <v>1.2E-2</v>
      </c>
      <c r="D15" s="130">
        <v>120000</v>
      </c>
      <c r="E15" s="133">
        <v>1</v>
      </c>
      <c r="F15" s="23">
        <f t="shared" ref="F15:F21" si="0">E15*D15*C15</f>
        <v>1440</v>
      </c>
      <c r="H15" s="1"/>
    </row>
    <row r="16" spans="2:10" ht="12" thickBot="1" x14ac:dyDescent="0.2">
      <c r="B16" s="30" t="s">
        <v>2</v>
      </c>
      <c r="C16" s="14">
        <v>0.03</v>
      </c>
      <c r="D16" s="130">
        <f>60000</f>
        <v>60000</v>
      </c>
      <c r="E16" s="133">
        <v>1</v>
      </c>
      <c r="F16" s="23">
        <f t="shared" si="0"/>
        <v>1800</v>
      </c>
      <c r="H16" s="1"/>
    </row>
    <row r="17" spans="2:10" ht="12" thickBot="1" x14ac:dyDescent="0.2">
      <c r="B17" s="30" t="s">
        <v>3</v>
      </c>
      <c r="C17" s="14">
        <v>0.05</v>
      </c>
      <c r="D17" s="130">
        <v>150000</v>
      </c>
      <c r="E17" s="133">
        <v>1</v>
      </c>
      <c r="F17" s="23">
        <f t="shared" si="0"/>
        <v>7500</v>
      </c>
      <c r="H17" s="1"/>
    </row>
    <row r="18" spans="2:10" ht="12" thickBot="1" x14ac:dyDescent="0.2">
      <c r="B18" s="30" t="s">
        <v>4</v>
      </c>
      <c r="C18" s="13">
        <v>2.5000000000000001E-3</v>
      </c>
      <c r="D18" s="130">
        <v>3000000</v>
      </c>
      <c r="E18" s="134">
        <v>50</v>
      </c>
      <c r="F18" s="23">
        <f t="shared" si="0"/>
        <v>375000</v>
      </c>
      <c r="H18" s="1"/>
    </row>
    <row r="19" spans="2:10" ht="12" thickBot="1" x14ac:dyDescent="0.2">
      <c r="B19" s="30" t="s">
        <v>5</v>
      </c>
      <c r="C19" s="14">
        <v>0.02</v>
      </c>
      <c r="D19" s="130">
        <v>36000</v>
      </c>
      <c r="E19" s="133">
        <v>1</v>
      </c>
      <c r="F19" s="23">
        <f t="shared" si="0"/>
        <v>720</v>
      </c>
      <c r="H19" s="1"/>
    </row>
    <row r="20" spans="2:10" ht="12" thickBot="1" x14ac:dyDescent="0.2">
      <c r="B20" s="30" t="s">
        <v>7</v>
      </c>
      <c r="C20" s="14">
        <v>0.02</v>
      </c>
      <c r="D20" s="130">
        <v>50000</v>
      </c>
      <c r="E20" s="133">
        <v>1</v>
      </c>
      <c r="F20" s="23">
        <f t="shared" si="0"/>
        <v>1000</v>
      </c>
      <c r="H20" s="1"/>
    </row>
    <row r="21" spans="2:10" ht="12" thickBot="1" x14ac:dyDescent="0.2">
      <c r="B21" s="30" t="s">
        <v>51</v>
      </c>
      <c r="C21" s="14">
        <v>0.02</v>
      </c>
      <c r="D21" s="130">
        <v>100000</v>
      </c>
      <c r="E21" s="133">
        <v>1</v>
      </c>
      <c r="F21" s="23">
        <f t="shared" si="0"/>
        <v>2000</v>
      </c>
      <c r="H21" s="1"/>
    </row>
    <row r="22" spans="2:10" ht="12" thickBot="1" x14ac:dyDescent="0.2">
      <c r="B22" s="31" t="s">
        <v>8</v>
      </c>
      <c r="C22" s="15">
        <v>0.02</v>
      </c>
      <c r="D22" s="131">
        <v>3000000</v>
      </c>
      <c r="E22" s="135">
        <v>50</v>
      </c>
      <c r="F22" s="23">
        <f>E22*D22*C22</f>
        <v>3000000</v>
      </c>
      <c r="H22" s="1"/>
    </row>
    <row r="23" spans="2:10" ht="12" thickBot="1" x14ac:dyDescent="0.2">
      <c r="C23" s="26" t="s">
        <v>49</v>
      </c>
      <c r="D23" s="21">
        <f>(D14*E14)+(D15*E15)+(D16*E16)+(D17*E17)+(D19*E19)+(D20*E20)+(D21*E21)</f>
        <v>576000</v>
      </c>
      <c r="E23" s="25" t="s">
        <v>26</v>
      </c>
      <c r="F23" s="24">
        <f>SUM(F14:F22)-F22-F18</f>
        <v>14640</v>
      </c>
      <c r="H23" s="7"/>
    </row>
    <row r="24" spans="2:10" ht="12" thickBot="1" x14ac:dyDescent="0.2">
      <c r="C24" s="26" t="s">
        <v>56</v>
      </c>
      <c r="D24" s="21">
        <f>E22*D22</f>
        <v>150000000</v>
      </c>
      <c r="E24" s="55"/>
      <c r="F24" s="54"/>
    </row>
    <row r="25" spans="2:10" ht="12" thickBot="1" x14ac:dyDescent="0.2">
      <c r="C25" s="7"/>
      <c r="F25" s="7"/>
      <c r="H25" s="7"/>
    </row>
    <row r="26" spans="2:10" ht="12" thickBot="1" x14ac:dyDescent="0.2">
      <c r="C26" s="26" t="s">
        <v>29</v>
      </c>
      <c r="D26" s="26" t="s">
        <v>27</v>
      </c>
      <c r="E26" s="157" t="s">
        <v>42</v>
      </c>
      <c r="F26" s="158"/>
      <c r="G26" s="159"/>
    </row>
    <row r="27" spans="2:10" ht="12" thickBot="1" x14ac:dyDescent="0.2">
      <c r="B27" s="35" t="s">
        <v>30</v>
      </c>
      <c r="C27" s="18">
        <f>F23*E11+F22+F18</f>
        <v>5131800</v>
      </c>
      <c r="D27" s="18">
        <f>((F23*E7)*12)*(G6)</f>
        <v>878400</v>
      </c>
      <c r="E27" s="160">
        <f>F23*F11*(100%-G6)</f>
        <v>15811200</v>
      </c>
      <c r="F27" s="161"/>
      <c r="G27" s="162"/>
      <c r="H27" s="7"/>
    </row>
    <row r="28" spans="2:10" ht="12" thickBot="1" x14ac:dyDescent="0.2">
      <c r="B28" s="36" t="s">
        <v>9</v>
      </c>
      <c r="C28" s="20">
        <f>C27*10</f>
        <v>51318000</v>
      </c>
      <c r="D28" s="20">
        <f>D27*10</f>
        <v>8784000</v>
      </c>
      <c r="E28" s="160">
        <f>E27*10</f>
        <v>158112000</v>
      </c>
      <c r="F28" s="163"/>
      <c r="G28" s="164"/>
    </row>
    <row r="29" spans="2:10" ht="12" thickBot="1" x14ac:dyDescent="0.2">
      <c r="B29" s="16"/>
      <c r="C29" s="17"/>
    </row>
    <row r="30" spans="2:10" ht="17" customHeight="1" thickBot="1" x14ac:dyDescent="0.2">
      <c r="B30" s="25" t="s">
        <v>31</v>
      </c>
      <c r="C30" s="18">
        <f>(E5*12)*H30*1000000</f>
        <v>12000000</v>
      </c>
      <c r="D30" s="18">
        <f>(H30*(E7*12)*1000000)</f>
        <v>12000000</v>
      </c>
      <c r="E30" s="165">
        <v>0</v>
      </c>
      <c r="F30" s="166"/>
      <c r="G30" s="166"/>
      <c r="H30" s="136">
        <v>0.1</v>
      </c>
      <c r="I30" s="21"/>
      <c r="J30" s="19" t="s">
        <v>11</v>
      </c>
    </row>
    <row r="31" spans="2:10" ht="25" thickBot="1" x14ac:dyDescent="0.2">
      <c r="B31" s="42" t="s">
        <v>50</v>
      </c>
      <c r="C31" s="43">
        <f>(((D23*I31*E5)*12+(D24*I31))*10%)*H31</f>
        <v>591624</v>
      </c>
      <c r="D31" s="43">
        <f>((((E7*12)*H31)*(((D23)*I31)))*10%)+ ((D24*I31*H31)*10%)</f>
        <v>591624</v>
      </c>
      <c r="E31" s="167">
        <v>0</v>
      </c>
      <c r="F31" s="168"/>
      <c r="G31" s="168"/>
      <c r="H31" s="44">
        <f>100%-H30</f>
        <v>0.9</v>
      </c>
      <c r="I31" s="137">
        <v>0.03</v>
      </c>
      <c r="J31" s="45" t="s">
        <v>10</v>
      </c>
    </row>
    <row r="32" spans="2:10" ht="12" thickBot="1" x14ac:dyDescent="0.2">
      <c r="B32" s="16"/>
      <c r="C32" s="17"/>
    </row>
    <row r="33" spans="2:10" ht="12" thickBot="1" x14ac:dyDescent="0.2">
      <c r="B33" s="22" t="s">
        <v>52</v>
      </c>
      <c r="C33" s="28">
        <f>C31+C27+C30+E27</f>
        <v>33534624</v>
      </c>
      <c r="D33" s="28">
        <f>D31+D27+D30</f>
        <v>13470024</v>
      </c>
      <c r="F33" s="27"/>
    </row>
    <row r="34" spans="2:10" ht="12" thickBot="1" x14ac:dyDescent="0.2">
      <c r="B34" s="25" t="s">
        <v>53</v>
      </c>
      <c r="C34" s="28">
        <f>E28+C28</f>
        <v>209430000</v>
      </c>
    </row>
    <row r="35" spans="2:10" x14ac:dyDescent="0.15">
      <c r="B35" s="151" t="s">
        <v>17</v>
      </c>
      <c r="C35" s="152"/>
      <c r="D35" s="152"/>
      <c r="E35" s="152"/>
      <c r="F35" s="153"/>
    </row>
    <row r="36" spans="2:10" ht="12" thickBot="1" x14ac:dyDescent="0.2">
      <c r="B36" s="154"/>
      <c r="C36" s="155"/>
      <c r="D36" s="155"/>
      <c r="E36" s="155"/>
      <c r="F36" s="156"/>
    </row>
    <row r="38" spans="2:10" x14ac:dyDescent="0.15">
      <c r="D38" s="7"/>
    </row>
    <row r="39" spans="2:10" ht="11" customHeight="1" x14ac:dyDescent="0.15">
      <c r="B39" s="146" t="s">
        <v>48</v>
      </c>
      <c r="C39" s="147"/>
      <c r="D39" s="147"/>
      <c r="E39" s="147"/>
      <c r="F39" s="147"/>
      <c r="G39" s="147"/>
      <c r="H39" s="147"/>
      <c r="I39" s="147"/>
      <c r="J39" s="147"/>
    </row>
    <row r="40" spans="2:10" ht="21" customHeight="1" x14ac:dyDescent="0.15">
      <c r="B40" s="146"/>
      <c r="C40" s="147"/>
      <c r="D40" s="147"/>
      <c r="E40" s="147"/>
      <c r="F40" s="147"/>
      <c r="G40" s="147"/>
      <c r="H40" s="147"/>
      <c r="I40" s="147"/>
      <c r="J40" s="147"/>
    </row>
    <row r="41" spans="2:10" x14ac:dyDescent="0.15">
      <c r="E41" s="2"/>
      <c r="H41" s="1"/>
      <c r="I41" s="1"/>
    </row>
    <row r="42" spans="2:10" ht="11" customHeight="1" x14ac:dyDescent="0.15">
      <c r="B42" s="148" t="s">
        <v>54</v>
      </c>
      <c r="C42" s="148"/>
      <c r="D42" s="148"/>
      <c r="E42" s="148"/>
      <c r="F42" s="148"/>
      <c r="G42" s="148"/>
      <c r="H42" s="148"/>
      <c r="I42" s="148"/>
      <c r="J42" s="148"/>
    </row>
    <row r="43" spans="2:10" ht="12" thickBot="1" x14ac:dyDescent="0.2"/>
    <row r="44" spans="2:10" ht="12" thickBot="1" x14ac:dyDescent="0.2">
      <c r="B44" s="144" t="s">
        <v>55</v>
      </c>
      <c r="C44" s="145"/>
      <c r="D44" s="53"/>
    </row>
  </sheetData>
  <sheetProtection sheet="1" objects="1" scenarios="1"/>
  <mergeCells count="10">
    <mergeCell ref="B44:C44"/>
    <mergeCell ref="B39:J40"/>
    <mergeCell ref="B42:J42"/>
    <mergeCell ref="B3:J3"/>
    <mergeCell ref="B35:F36"/>
    <mergeCell ref="E26:G26"/>
    <mergeCell ref="E27:G27"/>
    <mergeCell ref="E28:G28"/>
    <mergeCell ref="E30:G30"/>
    <mergeCell ref="E31:G3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C08E-1114-104C-B921-9BC75FC82A3B}">
  <dimension ref="B1:L46"/>
  <sheetViews>
    <sheetView topLeftCell="A10" zoomScale="140" zoomScaleNormal="140" workbookViewId="0">
      <selection activeCell="G19" sqref="G19"/>
    </sheetView>
  </sheetViews>
  <sheetFormatPr baseColWidth="10" defaultRowHeight="11" x14ac:dyDescent="0.15"/>
  <cols>
    <col min="1" max="1" width="1.83203125" style="60" customWidth="1"/>
    <col min="2" max="2" width="32.83203125" style="60" bestFit="1" customWidth="1"/>
    <col min="3" max="3" width="20.5" style="61" bestFit="1" customWidth="1"/>
    <col min="4" max="4" width="26.33203125" style="61" bestFit="1" customWidth="1"/>
    <col min="5" max="5" width="18.6640625" style="61" bestFit="1" customWidth="1"/>
    <col min="6" max="6" width="16.6640625" style="61" bestFit="1" customWidth="1"/>
    <col min="7" max="7" width="10.5" style="61" bestFit="1" customWidth="1"/>
    <col min="8" max="8" width="8.1640625" style="61" bestFit="1" customWidth="1"/>
    <col min="9" max="9" width="16.6640625" style="60" bestFit="1" customWidth="1"/>
    <col min="10" max="10" width="7" style="60" bestFit="1" customWidth="1"/>
    <col min="11" max="11" width="15.6640625" style="60" hidden="1" customWidth="1"/>
    <col min="12" max="14" width="0" style="60" hidden="1" customWidth="1"/>
    <col min="15" max="16384" width="10.83203125" style="60"/>
  </cols>
  <sheetData>
    <row r="1" spans="2:12" ht="12" thickBot="1" x14ac:dyDescent="0.2"/>
    <row r="2" spans="2:12" ht="12" thickBot="1" x14ac:dyDescent="0.2">
      <c r="B2" s="62"/>
      <c r="C2" s="169" t="s">
        <v>21</v>
      </c>
      <c r="D2" s="170"/>
      <c r="E2" s="63"/>
      <c r="F2" s="63"/>
      <c r="G2" s="63"/>
      <c r="H2" s="63"/>
    </row>
    <row r="3" spans="2:12" ht="12" thickBot="1" x14ac:dyDescent="0.2">
      <c r="B3" s="64"/>
      <c r="C3" s="65"/>
      <c r="D3" s="65"/>
      <c r="E3" s="65"/>
    </row>
    <row r="4" spans="2:12" ht="25" thickBot="1" x14ac:dyDescent="0.35">
      <c r="B4" s="66" t="s">
        <v>33</v>
      </c>
      <c r="F4" s="60"/>
      <c r="H4" s="60"/>
    </row>
    <row r="5" spans="2:12" ht="12" thickBot="1" x14ac:dyDescent="0.2">
      <c r="B5" s="67" t="s">
        <v>18</v>
      </c>
      <c r="C5" s="68">
        <v>0</v>
      </c>
      <c r="D5" s="69" t="s">
        <v>36</v>
      </c>
      <c r="E5" s="125">
        <f>C7*1000</f>
        <v>100000</v>
      </c>
      <c r="F5" s="60"/>
      <c r="H5" s="60"/>
    </row>
    <row r="6" spans="2:12" ht="12" thickBot="1" x14ac:dyDescent="0.2">
      <c r="B6" s="70" t="s">
        <v>34</v>
      </c>
      <c r="C6" s="124">
        <v>0.06</v>
      </c>
      <c r="D6" s="71" t="s">
        <v>40</v>
      </c>
      <c r="E6" s="139">
        <v>1</v>
      </c>
      <c r="F6" s="72" t="s">
        <v>24</v>
      </c>
      <c r="G6" s="128">
        <v>0.5</v>
      </c>
      <c r="H6" s="60"/>
    </row>
    <row r="7" spans="2:12" ht="12" thickBot="1" x14ac:dyDescent="0.2">
      <c r="B7" s="73" t="s">
        <v>35</v>
      </c>
      <c r="C7" s="138">
        <v>100</v>
      </c>
      <c r="D7" s="74" t="s">
        <v>37</v>
      </c>
      <c r="E7" s="75">
        <f>C6*E5*G7</f>
        <v>6000</v>
      </c>
      <c r="F7" s="72" t="s">
        <v>39</v>
      </c>
      <c r="G7" s="128">
        <v>1</v>
      </c>
      <c r="H7" s="60"/>
    </row>
    <row r="8" spans="2:12" x14ac:dyDescent="0.15">
      <c r="F8" s="60"/>
      <c r="H8" s="60"/>
      <c r="I8" s="76"/>
    </row>
    <row r="9" spans="2:12" ht="12" thickBot="1" x14ac:dyDescent="0.2">
      <c r="K9" s="60" t="s">
        <v>28</v>
      </c>
      <c r="L9" s="77" t="e">
        <f>#REF!*(100%-G6)</f>
        <v>#REF!</v>
      </c>
    </row>
    <row r="10" spans="2:12" s="78" customFormat="1" ht="12" thickBot="1" x14ac:dyDescent="0.2">
      <c r="C10" s="65"/>
      <c r="D10" s="79" t="s">
        <v>12</v>
      </c>
      <c r="E10" s="79" t="s">
        <v>60</v>
      </c>
      <c r="F10" s="65"/>
      <c r="G10" s="65"/>
      <c r="H10" s="65"/>
    </row>
    <row r="11" spans="2:12" ht="13" thickBot="1" x14ac:dyDescent="0.2">
      <c r="B11" s="81" t="s">
        <v>0</v>
      </c>
      <c r="C11" s="82" t="s">
        <v>16</v>
      </c>
      <c r="D11" s="83">
        <v>0</v>
      </c>
      <c r="E11" s="84">
        <f>C7*E6</f>
        <v>100</v>
      </c>
      <c r="H11" s="60"/>
    </row>
    <row r="12" spans="2:12" s="78" customFormat="1" ht="12" thickBot="1" x14ac:dyDescent="0.2">
      <c r="C12" s="85" t="s">
        <v>15</v>
      </c>
      <c r="D12" s="79" t="s">
        <v>25</v>
      </c>
      <c r="E12" s="65"/>
      <c r="F12" s="79" t="s">
        <v>14</v>
      </c>
      <c r="G12" s="86"/>
    </row>
    <row r="13" spans="2:12" ht="24" x14ac:dyDescent="0.15">
      <c r="B13" s="87" t="s">
        <v>13</v>
      </c>
      <c r="C13" s="88">
        <v>3.0000000000000001E-3</v>
      </c>
      <c r="D13" s="129">
        <v>60000</v>
      </c>
      <c r="E13" s="142">
        <v>1</v>
      </c>
      <c r="F13" s="89">
        <f>E13*D13*C13*E11</f>
        <v>18000</v>
      </c>
      <c r="G13" s="90"/>
      <c r="H13" s="60"/>
    </row>
    <row r="14" spans="2:12" x14ac:dyDescent="0.15">
      <c r="B14" s="91" t="s">
        <v>1</v>
      </c>
      <c r="C14" s="92">
        <v>5.0000000000000001E-3</v>
      </c>
      <c r="D14" s="130">
        <v>120000</v>
      </c>
      <c r="E14" s="124">
        <v>1</v>
      </c>
      <c r="F14" s="93">
        <f>E14*D14*C14*E11</f>
        <v>60000</v>
      </c>
      <c r="G14" s="94"/>
      <c r="H14" s="60"/>
    </row>
    <row r="15" spans="2:12" x14ac:dyDescent="0.15">
      <c r="B15" s="91" t="s">
        <v>2</v>
      </c>
      <c r="C15" s="95">
        <v>0.03</v>
      </c>
      <c r="D15" s="130">
        <v>60000</v>
      </c>
      <c r="E15" s="124">
        <v>1</v>
      </c>
      <c r="F15" s="93">
        <f>E15*D15*C15*E11</f>
        <v>180000</v>
      </c>
      <c r="G15" s="94"/>
      <c r="H15" s="60"/>
    </row>
    <row r="16" spans="2:12" x14ac:dyDescent="0.15">
      <c r="B16" s="91" t="s">
        <v>44</v>
      </c>
      <c r="C16" s="95">
        <v>0.05</v>
      </c>
      <c r="D16" s="130">
        <v>150000</v>
      </c>
      <c r="E16" s="124">
        <v>1</v>
      </c>
      <c r="F16" s="93">
        <f>E16*D16*C16*E11</f>
        <v>750000</v>
      </c>
      <c r="G16" s="94"/>
      <c r="H16" s="60"/>
    </row>
    <row r="17" spans="2:8" x14ac:dyDescent="0.15">
      <c r="B17" s="91" t="s">
        <v>4</v>
      </c>
      <c r="C17" s="92">
        <v>2.5000000000000001E-3</v>
      </c>
      <c r="D17" s="130">
        <v>3000000</v>
      </c>
      <c r="E17" s="141">
        <v>50</v>
      </c>
      <c r="F17" s="93">
        <f>E17*D17*C17</f>
        <v>375000</v>
      </c>
      <c r="G17" s="94"/>
      <c r="H17" s="60"/>
    </row>
    <row r="18" spans="2:8" x14ac:dyDescent="0.15">
      <c r="B18" s="91" t="s">
        <v>5</v>
      </c>
      <c r="C18" s="95">
        <v>0.02</v>
      </c>
      <c r="D18" s="130">
        <v>36000</v>
      </c>
      <c r="E18" s="124">
        <v>1</v>
      </c>
      <c r="F18" s="93">
        <f>E18*D18*C18*E11</f>
        <v>72000</v>
      </c>
      <c r="G18" s="94"/>
      <c r="H18" s="60"/>
    </row>
    <row r="19" spans="2:8" x14ac:dyDescent="0.15">
      <c r="B19" s="91" t="s">
        <v>7</v>
      </c>
      <c r="C19" s="95">
        <v>0.02</v>
      </c>
      <c r="D19" s="130">
        <v>50000</v>
      </c>
      <c r="E19" s="124">
        <v>1</v>
      </c>
      <c r="F19" s="93">
        <f>E19*D19*C19*E11</f>
        <v>100000</v>
      </c>
      <c r="G19" s="94"/>
      <c r="H19" s="60"/>
    </row>
    <row r="20" spans="2:8" x14ac:dyDescent="0.15">
      <c r="B20" s="91" t="s">
        <v>6</v>
      </c>
      <c r="C20" s="95">
        <v>0.02</v>
      </c>
      <c r="D20" s="130">
        <v>100000</v>
      </c>
      <c r="E20" s="124">
        <v>1</v>
      </c>
      <c r="F20" s="93">
        <f>E20*D20*C20*E11</f>
        <v>200000</v>
      </c>
      <c r="G20" s="94"/>
      <c r="H20" s="60"/>
    </row>
    <row r="21" spans="2:8" ht="12" thickBot="1" x14ac:dyDescent="0.2">
      <c r="B21" s="96" t="s">
        <v>8</v>
      </c>
      <c r="C21" s="97">
        <v>0.02</v>
      </c>
      <c r="D21" s="131">
        <v>3000000</v>
      </c>
      <c r="E21" s="140">
        <v>50</v>
      </c>
      <c r="F21" s="98">
        <f>E21*D21*C21</f>
        <v>3000000</v>
      </c>
      <c r="G21" s="94"/>
      <c r="H21" s="60"/>
    </row>
    <row r="22" spans="2:8" ht="12" thickBot="1" x14ac:dyDescent="0.2">
      <c r="C22" s="79" t="s">
        <v>49</v>
      </c>
      <c r="D22" s="99">
        <f>(D13*E13)+(D14*E14)+(D15*E15)+(D16*E16)+(D18*E18)+(D19*E19)+(D20*E20)</f>
        <v>576000</v>
      </c>
      <c r="E22" s="79" t="s">
        <v>26</v>
      </c>
      <c r="F22" s="100">
        <f>SUM(F13:F21)</f>
        <v>4755000</v>
      </c>
      <c r="H22" s="60"/>
    </row>
    <row r="23" spans="2:8" ht="12" thickBot="1" x14ac:dyDescent="0.2">
      <c r="C23" s="79" t="s">
        <v>56</v>
      </c>
      <c r="D23" s="99">
        <f>D21*E21</f>
        <v>150000000</v>
      </c>
      <c r="F23" s="101"/>
      <c r="H23" s="60"/>
    </row>
    <row r="24" spans="2:8" ht="12" thickBot="1" x14ac:dyDescent="0.2">
      <c r="F24" s="101"/>
      <c r="H24" s="60"/>
    </row>
    <row r="25" spans="2:8" ht="12" thickBot="1" x14ac:dyDescent="0.2">
      <c r="C25" s="102" t="s">
        <v>59</v>
      </c>
      <c r="D25" s="60"/>
      <c r="F25" s="60"/>
      <c r="H25" s="60"/>
    </row>
    <row r="26" spans="2:8" ht="12" thickBot="1" x14ac:dyDescent="0.2">
      <c r="B26" s="103" t="s">
        <v>30</v>
      </c>
      <c r="C26" s="104">
        <f>F22*(100%-G6)</f>
        <v>2377500</v>
      </c>
      <c r="D26" s="101"/>
      <c r="F26" s="60"/>
      <c r="H26" s="60"/>
    </row>
    <row r="27" spans="2:8" ht="12" thickBot="1" x14ac:dyDescent="0.2">
      <c r="B27" s="105" t="s">
        <v>9</v>
      </c>
      <c r="C27" s="106">
        <f>C26*10+(E7*2)</f>
        <v>23787000</v>
      </c>
      <c r="D27" s="60"/>
      <c r="F27" s="60"/>
      <c r="H27" s="60"/>
    </row>
    <row r="28" spans="2:8" ht="12" thickBot="1" x14ac:dyDescent="0.2">
      <c r="B28" s="107"/>
      <c r="C28" s="108"/>
      <c r="H28" s="60"/>
    </row>
    <row r="29" spans="2:8" ht="12" thickBot="1" x14ac:dyDescent="0.2">
      <c r="B29" s="80" t="s">
        <v>31</v>
      </c>
      <c r="C29" s="104">
        <f>D29*E11*1000000</f>
        <v>10000000</v>
      </c>
      <c r="D29" s="136">
        <v>0.1</v>
      </c>
      <c r="E29" s="99"/>
      <c r="F29" s="109" t="s">
        <v>11</v>
      </c>
      <c r="H29" s="60"/>
    </row>
    <row r="30" spans="2:8" ht="12" thickBot="1" x14ac:dyDescent="0.2">
      <c r="B30" s="110" t="s">
        <v>32</v>
      </c>
      <c r="C30" s="111">
        <f>(((D22*E11*E30)+(D23*E30))*10%)*D30</f>
        <v>560520</v>
      </c>
      <c r="D30" s="112">
        <f>100%-D29</f>
        <v>0.9</v>
      </c>
      <c r="E30" s="143">
        <v>0.03</v>
      </c>
      <c r="F30" s="99" t="s">
        <v>10</v>
      </c>
      <c r="H30" s="60"/>
    </row>
    <row r="31" spans="2:8" ht="12" thickBot="1" x14ac:dyDescent="0.2">
      <c r="B31" s="107"/>
      <c r="C31" s="113"/>
      <c r="D31" s="114"/>
      <c r="E31" s="115"/>
      <c r="F31" s="114"/>
      <c r="H31" s="60"/>
    </row>
    <row r="32" spans="2:8" ht="13" thickBot="1" x14ac:dyDescent="0.2">
      <c r="B32" s="116" t="s">
        <v>43</v>
      </c>
      <c r="C32" s="117">
        <f>C26+C29+C30</f>
        <v>12938020</v>
      </c>
      <c r="D32" s="118">
        <f>C32/12</f>
        <v>1078168.3333333333</v>
      </c>
      <c r="E32" s="114" t="s">
        <v>41</v>
      </c>
      <c r="F32" s="114"/>
      <c r="G32" s="60"/>
      <c r="H32" s="60"/>
    </row>
    <row r="33" spans="2:8" ht="12" thickBot="1" x14ac:dyDescent="0.2">
      <c r="B33" s="80" t="s">
        <v>38</v>
      </c>
      <c r="C33" s="118">
        <f>C27</f>
        <v>23787000</v>
      </c>
      <c r="D33" s="115"/>
      <c r="E33" s="115"/>
      <c r="F33" s="115"/>
      <c r="H33" s="60"/>
    </row>
    <row r="34" spans="2:8" x14ac:dyDescent="0.15">
      <c r="B34" s="119"/>
      <c r="C34" s="120"/>
      <c r="D34" s="115"/>
      <c r="E34" s="115"/>
      <c r="F34" s="115"/>
      <c r="H34" s="60"/>
    </row>
    <row r="35" spans="2:8" x14ac:dyDescent="0.15">
      <c r="B35" s="171" t="s">
        <v>46</v>
      </c>
      <c r="C35" s="172"/>
      <c r="D35" s="172"/>
      <c r="E35" s="172"/>
      <c r="F35" s="172"/>
      <c r="G35" s="172"/>
      <c r="H35" s="60"/>
    </row>
    <row r="36" spans="2:8" x14ac:dyDescent="0.15">
      <c r="B36" s="171"/>
      <c r="C36" s="172"/>
      <c r="D36" s="172"/>
      <c r="E36" s="172"/>
      <c r="F36" s="172"/>
      <c r="G36" s="172"/>
      <c r="H36" s="60"/>
    </row>
    <row r="37" spans="2:8" x14ac:dyDescent="0.15">
      <c r="H37" s="60"/>
    </row>
    <row r="38" spans="2:8" x14ac:dyDescent="0.15">
      <c r="B38" s="173" t="s">
        <v>45</v>
      </c>
      <c r="C38" s="173"/>
      <c r="D38" s="173"/>
      <c r="E38" s="173"/>
      <c r="F38" s="173"/>
      <c r="G38" s="173"/>
      <c r="H38" s="60"/>
    </row>
    <row r="39" spans="2:8" x14ac:dyDescent="0.15">
      <c r="H39" s="60"/>
    </row>
    <row r="40" spans="2:8" x14ac:dyDescent="0.15">
      <c r="H40" s="60"/>
    </row>
    <row r="41" spans="2:8" x14ac:dyDescent="0.15">
      <c r="C41" s="121"/>
      <c r="H41" s="60"/>
    </row>
    <row r="42" spans="2:8" x14ac:dyDescent="0.15">
      <c r="B42" s="122"/>
      <c r="C42" s="123"/>
      <c r="D42" s="123"/>
      <c r="E42" s="123"/>
      <c r="F42" s="123"/>
      <c r="H42" s="60"/>
    </row>
    <row r="43" spans="2:8" x14ac:dyDescent="0.15">
      <c r="H43" s="60"/>
    </row>
    <row r="44" spans="2:8" x14ac:dyDescent="0.15">
      <c r="H44" s="60"/>
    </row>
    <row r="45" spans="2:8" x14ac:dyDescent="0.15">
      <c r="H45" s="60"/>
    </row>
    <row r="46" spans="2:8" x14ac:dyDescent="0.15">
      <c r="H46" s="60"/>
    </row>
  </sheetData>
  <sheetProtection sheet="1" objects="1" scenarios="1"/>
  <mergeCells count="3">
    <mergeCell ref="C2:D2"/>
    <mergeCell ref="B35:G36"/>
    <mergeCell ref="B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UPOS</vt:lpstr>
      <vt:lpstr>Vendor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2020-04-30T09:36:35Z</dcterms:created>
  <dcterms:modified xsi:type="dcterms:W3CDTF">2020-09-26T05:43:02Z</dcterms:modified>
</cp:coreProperties>
</file>