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xr:revisionPtr revIDLastSave="0" documentId="13_ncr:1_{B99487A5-AB29-194A-8AB1-39741E31FD59}" xr6:coauthVersionLast="36" xr6:coauthVersionMax="36" xr10:uidLastSave="{00000000-0000-0000-0000-000000000000}"/>
  <bookViews>
    <workbookView xWindow="1840" yWindow="1080" windowWidth="26960" windowHeight="16280" tabRatio="500" xr2:uid="{00000000-000D-0000-FFFF-FFFF00000000}"/>
  </bookViews>
  <sheets>
    <sheet name="Sheet1" sheetId="1" r:id="rId1"/>
  </sheets>
  <definedNames>
    <definedName name="_xlnm._FilterDatabase" localSheetId="0" hidden="1">Sheet1!$E$1:$E$63</definedName>
    <definedName name="ABCdrug">Sheet1!$F$41</definedName>
    <definedName name="ABCsol">Sheet1!$F$42</definedName>
    <definedName name="Cavg">Sheet1!$F$68</definedName>
    <definedName name="CL">Sheet1!$F$4</definedName>
    <definedName name="Dose">Sheet1!$F$66</definedName>
    <definedName name="eps">Sheet1!$F$46</definedName>
    <definedName name="k12D">Sheet1!$F$13</definedName>
    <definedName name="k13D">Sheet1!$F$49</definedName>
    <definedName name="k13d_prop">Sheet1!$F$48</definedName>
    <definedName name="k13d_thurber">Sheet1!$F$47</definedName>
    <definedName name="k13DS">Sheet1!$F$51</definedName>
    <definedName name="k13S">Sheet1!$F$50</definedName>
    <definedName name="k21D">Sheet1!$F$14</definedName>
    <definedName name="k31D">Sheet1!$F$54</definedName>
    <definedName name="k31D_prop">Sheet1!$F$53</definedName>
    <definedName name="k31D_thurber">Sheet1!$F$52</definedName>
    <definedName name="Kd">Sheet1!$F$18</definedName>
    <definedName name="keD">Sheet1!$F$5</definedName>
    <definedName name="keD3_">Sheet1!$F$36</definedName>
    <definedName name="keDM3">Sheet1!$F$40</definedName>
    <definedName name="keDMtot">Sheet1!$F$69</definedName>
    <definedName name="keM3_">Sheet1!$F$39</definedName>
    <definedName name="koff">Sheet1!$F$18</definedName>
    <definedName name="kon">Sheet1!$F$21</definedName>
    <definedName name="kshed">Sheet1!$F$29</definedName>
    <definedName name="kshedDM3">Sheet1!$F$30</definedName>
    <definedName name="kshedM3">Sheet1!$F$29</definedName>
    <definedName name="M30_">Sheet1!$F$27</definedName>
    <definedName name="MWS">Sheet1!$F$16</definedName>
    <definedName name="P">Sheet1!$F$43</definedName>
    <definedName name="Q">Sheet1!$F$6</definedName>
    <definedName name="Rcap">Sheet1!$F$44</definedName>
    <definedName name="Rkrogh">Sheet1!$F$45</definedName>
    <definedName name="Tau">Sheet1!$F$67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Sheet1!$F$31</definedName>
    <definedName name="Vp">Sheet1!$F$8</definedName>
    <definedName name="Vtum">Sheet1!$F$31</definedName>
    <definedName name="VtumDS">Sheet1!$F$33</definedName>
    <definedName name="VtumS">Sheet1!$F$32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1" l="1"/>
  <c r="F72" i="1"/>
  <c r="F71" i="1"/>
  <c r="I73" i="1"/>
  <c r="I72" i="1"/>
  <c r="I71" i="1"/>
  <c r="F69" i="1" l="1"/>
  <c r="F66" i="1"/>
  <c r="F68" i="1" s="1"/>
  <c r="F14" i="1"/>
  <c r="F13" i="1"/>
  <c r="F48" i="1" s="1"/>
  <c r="F10" i="1"/>
  <c r="F11" i="1"/>
  <c r="F12" i="1"/>
  <c r="F9" i="1"/>
  <c r="F33" i="1"/>
  <c r="F34" i="1"/>
  <c r="F35" i="1"/>
  <c r="F32" i="1"/>
  <c r="F17" i="1"/>
  <c r="F5" i="1"/>
  <c r="F43" i="1"/>
  <c r="F52" i="1" s="1"/>
  <c r="F47" i="1" s="1"/>
  <c r="F28" i="1"/>
  <c r="I66" i="1"/>
  <c r="I65" i="1"/>
  <c r="I7" i="1"/>
  <c r="I28" i="1"/>
  <c r="I4" i="1"/>
  <c r="I35" i="1"/>
  <c r="I30" i="1"/>
  <c r="I54" i="1"/>
  <c r="I69" i="1"/>
  <c r="I48" i="1"/>
  <c r="I68" i="1"/>
  <c r="I39" i="1"/>
  <c r="I45" i="1"/>
  <c r="I10" i="1"/>
  <c r="I41" i="1"/>
  <c r="I11" i="1"/>
  <c r="I64" i="1"/>
  <c r="I6" i="1"/>
  <c r="I61" i="1"/>
  <c r="I18" i="1"/>
  <c r="I44" i="1"/>
  <c r="I23" i="1"/>
  <c r="I43" i="1"/>
  <c r="I62" i="1"/>
  <c r="I16" i="1"/>
  <c r="I22" i="1"/>
  <c r="I12" i="1"/>
  <c r="I25" i="1"/>
  <c r="I67" i="1"/>
  <c r="I70" i="1"/>
  <c r="I31" i="1"/>
  <c r="I36" i="1"/>
  <c r="I50" i="1"/>
  <c r="I29" i="1"/>
  <c r="I32" i="1"/>
  <c r="I19" i="1"/>
  <c r="I13" i="1"/>
  <c r="I57" i="1"/>
  <c r="I56" i="1"/>
  <c r="I46" i="1"/>
  <c r="I27" i="1"/>
  <c r="I37" i="1"/>
  <c r="I17" i="1"/>
  <c r="I38" i="1"/>
  <c r="I26" i="1"/>
  <c r="I60" i="1"/>
  <c r="I55" i="1"/>
  <c r="I51" i="1"/>
  <c r="I15" i="1"/>
  <c r="I21" i="1"/>
  <c r="I59" i="1"/>
  <c r="I47" i="1"/>
  <c r="I33" i="1"/>
  <c r="I40" i="1"/>
  <c r="I24" i="1"/>
  <c r="I58" i="1"/>
  <c r="I9" i="1"/>
  <c r="I3" i="1"/>
  <c r="I34" i="1"/>
  <c r="I42" i="1"/>
  <c r="I63" i="1"/>
  <c r="I5" i="1"/>
  <c r="I8" i="1"/>
  <c r="I2" i="1"/>
  <c r="I49" i="1"/>
  <c r="I14" i="1"/>
  <c r="I53" i="1"/>
  <c r="I20" i="1"/>
  <c r="I52" i="1"/>
  <c r="F49" i="1" l="1"/>
  <c r="F53" i="1"/>
  <c r="F54" i="1" s="1"/>
  <c r="F70" i="1"/>
  <c r="F41" i="1" l="1"/>
</calcChain>
</file>

<file path=xl/sharedStrings.xml><?xml version="1.0" encoding="utf-8"?>
<sst xmlns="http://schemas.openxmlformats.org/spreadsheetml/2006/main" count="483" uniqueCount="178">
  <si>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</si>
  <si>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</si>
  <si>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</si>
  <si>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</si>
  <si>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</si>
  <si>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</si>
  <si>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</si>
  <si>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</si>
  <si>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</si>
  <si>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</si>
  <si>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</si>
  <si>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</si>
  <si>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</si>
  <si>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</si>
  <si>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</si>
  <si>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</si>
  <si>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</si>
  <si>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</si>
  <si>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</si>
  <si>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</si>
  <si>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</si>
  <si>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</si>
  <si>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</si>
  <si>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</si>
  <si>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</si>
  <si>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</si>
  <si>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</si>
  <si>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</si>
  <si>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</si>
  <si>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</si>
  <si>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</si>
  <si>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</si>
  <si>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</si>
  <si>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</si>
  <si>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</si>
  <si>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</si>
  <si>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</si>
  <si>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</si>
  <si>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</si>
  <si>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</si>
  <si>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</si>
  <si>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</si>
  <si>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</si>
  <si>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</si>
  <si>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</si>
  <si>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</si>
  <si>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</si>
  <si>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</si>
  <si>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</si>
  <si>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</si>
  <si>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</si>
  <si>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</si>
  <si>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</si>
  <si>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</si>
  <si>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</si>
  <si>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</si>
  <si>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</si>
  <si>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</si>
  <si>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</si>
  <si>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</si>
  <si>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</si>
  <si>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</si>
  <si>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</si>
  <si>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</si>
  <si>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</si>
  <si>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</si>
  <si>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</si>
  <si>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</si>
  <si>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</si>
  <si>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</si>
  <si>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</si>
  <si>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</si>
  <si>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</si>
  <si>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</si>
  <si>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</si>
  <si>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</si>
  <si>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</si>
  <si>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</si>
  <si>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</si>
  <si>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</si>
  <si>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</si>
  <si>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</si>
  <si>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</si>
  <si>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</si>
  <si>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</si>
  <si>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</si>
  <si>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</si>
  <si>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</si>
  <si>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</si>
  <si>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</si>
  <si>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</si>
  <si>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</si>
  <si>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</si>
  <si>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</si>
  <si>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</si>
  <si>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</si>
  <si>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</si>
  <si>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</si>
  <si>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</si>
  <si>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</si>
  <si>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</si>
  <si>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</si>
  <si>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</si>
  <si>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</si>
  <si>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</si>
  <si>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Bernadou16 - 10.1111/bcp.12875</t>
  </si>
  <si>
    <t>VM1</t>
  </si>
  <si>
    <t>VDM1</t>
  </si>
  <si>
    <t>MWD</t>
  </si>
  <si>
    <t>google search</t>
  </si>
  <si>
    <t>assume same as membrane-bound</t>
  </si>
  <si>
    <t>MWM</t>
  </si>
  <si>
    <t>Cilliers16 - 10.1208/s12248-016-9940-z</t>
  </si>
  <si>
    <t>not used</t>
  </si>
  <si>
    <t>VM3</t>
  </si>
  <si>
    <t>VDM3</t>
  </si>
  <si>
    <t>soluble target not widely modeled, ignored here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</si>
  <si>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</si>
  <si>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</si>
  <si>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</si>
  <si>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</si>
  <si>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</si>
  <si>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</si>
  <si>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</si>
  <si>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</si>
  <si>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</si>
  <si>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</si>
  <si>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</si>
  <si>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</si>
  <si>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</si>
  <si>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</si>
  <si>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</si>
  <si>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</si>
  <si>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</si>
  <si>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</si>
  <si>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</si>
  <si>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</si>
  <si>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</si>
  <si>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</si>
  <si>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</si>
  <si>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</si>
  <si>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</si>
  <si>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</si>
  <si>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</si>
  <si>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</si>
  <si>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</si>
  <si>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</si>
  <si>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</si>
  <si>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</si>
  <si>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</si>
  <si>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</si>
  <si>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</si>
  <si>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</si>
  <si>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</si>
  <si>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Tumor Distrib</t>
  </si>
  <si>
    <t>Target Turnover</t>
  </si>
  <si>
    <t>Binding</t>
  </si>
  <si>
    <t>Thiele Modulus</t>
  </si>
  <si>
    <t>phi^2</t>
  </si>
  <si>
    <t>check - &lt;1 means saturated</t>
  </si>
  <si>
    <t>From Thurber08 - 10.1016/j.addr.2008.04.012</t>
  </si>
  <si>
    <t>Dose</t>
  </si>
  <si>
    <t>nmol</t>
  </si>
  <si>
    <t>200 mg</t>
  </si>
  <si>
    <t>Dose intensity</t>
  </si>
  <si>
    <t>tau</t>
  </si>
  <si>
    <t>d</t>
  </si>
  <si>
    <t>Average concentration</t>
  </si>
  <si>
    <t>Cavg</t>
  </si>
  <si>
    <t>Total Elimination Tumor</t>
  </si>
  <si>
    <t>keDMtot</t>
  </si>
  <si>
    <t>guess/calc</t>
  </si>
  <si>
    <t>All</t>
  </si>
  <si>
    <t>V1</t>
  </si>
  <si>
    <t>used for Vlink model</t>
  </si>
  <si>
    <t>V2</t>
  </si>
  <si>
    <t>Tissue Volume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</si>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</sst>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74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65" totalsRowShown="0" headerRowDxfId="46" dataDxfId="45">
  <autoFilter ref="A1:J65" xr:uid="{00000000-0009-0000-0100-000001000000}"/>
  <tableColumns count="10">
    <tableColumn id="1" xr3:uid="{00000000-0010-0000-0000-000001000000}" name="Order" dataDxfId="44"/>
    <tableColumn id="2" xr3:uid="{00000000-0010-0000-0000-000002000000}" name="ParamType" dataDxfId="43"/>
    <tableColumn id="3" xr3:uid="{00000000-0010-0000-0000-000003000000}" name="Molecule" dataDxfId="42"/>
    <tableColumn id="4" xr3:uid="{00000000-0010-0000-0000-000004000000}" name="Description" dataDxfId="41"/>
    <tableColumn id="5" xr3:uid="{00000000-0010-0000-0000-000005000000}" name="Parameter" dataDxfId="40"/>
    <tableColumn id="6" xr3:uid="{00000000-0010-0000-0000-000006000000}" name="Value" dataDxfId="39"/>
    <tableColumn id="7" xr3:uid="{00000000-0010-0000-0000-000007000000}" name="Units" dataDxfId="38"/>
    <tableColumn id="8" xr3:uid="{00000000-0010-0000-0000-000008000000}" name="Source" dataDxfId="37"/>
    <tableColumn id="10" xr3:uid="{00000000-0010-0000-0000-00000A000000}" name="Formula" dataDxfId="36">
      <calculatedColumnFormula>_xlfn.IFNA(_xlfn.FORMULATEXT(F2),"")</calculatedColumnFormula>
    </tableColumn>
    <tableColumn id="9" xr3:uid="{00000000-0010-0000-0000-000009000000}" name="Comment or Reference" dataDxfId="3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topLeftCell="A40" workbookViewId="0">
      <selection activeCell="I56" sqref="I56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8.1640625" style="3" customWidth="1"/>
    <col min="7" max="7" width="9.83203125" style="1" customWidth="1"/>
    <col min="8" max="8" width="20" style="2" customWidth="1"/>
    <col min="9" max="9" width="25.5" style="2" customWidth="1"/>
    <col min="10" max="10" width="75.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137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123</v>
      </c>
      <c r="I2" s="15" t="str">
        <f t="shared" ref="I2:I33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123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0.22</v>
      </c>
      <c r="G4" s="2" t="s">
        <v>45</v>
      </c>
      <c r="H4" s="2" t="s">
        <v>53</v>
      </c>
      <c r="I4" s="15" t="str">
        <f t="shared" ca="1" si="0"/>
        <v/>
      </c>
      <c r="J4" s="9" t="s">
        <v>105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0.10476190476190476</v>
      </c>
      <c r="G5" s="2" t="s">
        <v>4</v>
      </c>
      <c r="H5" s="2" t="s">
        <v>52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0.36</v>
      </c>
      <c r="G6" s="2" t="s">
        <v>45</v>
      </c>
      <c r="H6" s="2" t="s">
        <v>53</v>
      </c>
      <c r="I6" s="15" t="str">
        <f t="shared" ca="1" si="0"/>
        <v/>
      </c>
      <c r="J6" s="9" t="s">
        <v>105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2.1</v>
      </c>
      <c r="G7" s="2" t="s">
        <v>2</v>
      </c>
      <c r="H7" s="2" t="s">
        <v>53</v>
      </c>
      <c r="I7" s="15" t="str">
        <f t="shared" ca="1" si="0"/>
        <v/>
      </c>
      <c r="J7" s="9" t="s">
        <v>105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1.3</v>
      </c>
      <c r="G8" s="2" t="s">
        <v>2</v>
      </c>
      <c r="H8" s="2" t="s">
        <v>53</v>
      </c>
      <c r="I8" s="15" t="str">
        <f t="shared" ca="1" si="0"/>
        <v/>
      </c>
      <c r="J8" s="9" t="s">
        <v>105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2.1</v>
      </c>
      <c r="G9" s="2" t="s">
        <v>2</v>
      </c>
      <c r="H9" s="2" t="s">
        <v>52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2.1</v>
      </c>
      <c r="G10" s="2" t="s">
        <v>2</v>
      </c>
      <c r="H10" s="2" t="s">
        <v>52</v>
      </c>
      <c r="I10" s="15" t="str">
        <f t="shared" ca="1" si="0"/>
        <v>=VD1_</v>
      </c>
      <c r="J10" s="9"/>
    </row>
    <row r="11" spans="1:10" x14ac:dyDescent="0.2">
      <c r="A11" s="8">
        <v>8</v>
      </c>
      <c r="B11" s="8" t="s">
        <v>48</v>
      </c>
      <c r="C11" s="8" t="s">
        <v>70</v>
      </c>
      <c r="D11" s="8" t="s">
        <v>64</v>
      </c>
      <c r="E11" s="2" t="s">
        <v>106</v>
      </c>
      <c r="F11" s="3">
        <f>VD1_</f>
        <v>2.1</v>
      </c>
      <c r="G11" s="2" t="s">
        <v>2</v>
      </c>
      <c r="H11" s="2" t="s">
        <v>52</v>
      </c>
      <c r="I11" s="15" t="str">
        <f t="shared" ca="1" si="0"/>
        <v>=VD1_</v>
      </c>
      <c r="J11" s="9"/>
    </row>
    <row r="12" spans="1:10" x14ac:dyDescent="0.2">
      <c r="A12" s="8">
        <v>9</v>
      </c>
      <c r="B12" s="8" t="s">
        <v>48</v>
      </c>
      <c r="C12" s="8" t="s">
        <v>71</v>
      </c>
      <c r="D12" s="8" t="s">
        <v>65</v>
      </c>
      <c r="E12" s="2" t="s">
        <v>107</v>
      </c>
      <c r="F12" s="3">
        <f>VD1_</f>
        <v>2.1</v>
      </c>
      <c r="G12" s="2" t="s">
        <v>2</v>
      </c>
      <c r="H12" s="2" t="s">
        <v>52</v>
      </c>
      <c r="I12" s="15" t="str">
        <f t="shared" ca="1" si="0"/>
        <v>=VD1_</v>
      </c>
      <c r="J12" s="9"/>
    </row>
    <row r="13" spans="1:10" s="6" customFormat="1" x14ac:dyDescent="0.2">
      <c r="A13" s="8">
        <v>10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0.1714285714285714</v>
      </c>
      <c r="G13" s="2" t="s">
        <v>4</v>
      </c>
      <c r="H13" s="2" t="s">
        <v>52</v>
      </c>
      <c r="I13" s="15" t="str">
        <f t="shared" ca="1" si="0"/>
        <v>=Q/VD1_</v>
      </c>
      <c r="J13" s="9"/>
    </row>
    <row r="14" spans="1:10" s="6" customFormat="1" x14ac:dyDescent="0.2">
      <c r="A14" s="8">
        <v>11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0.27692307692307688</v>
      </c>
      <c r="G14" s="2" t="s">
        <v>4</v>
      </c>
      <c r="H14" s="2" t="s">
        <v>52</v>
      </c>
      <c r="I14" s="15" t="str">
        <f t="shared" ca="1" si="0"/>
        <v>=Q/VD2_</v>
      </c>
      <c r="J14" s="9"/>
    </row>
    <row r="15" spans="1:10" s="6" customFormat="1" x14ac:dyDescent="0.2">
      <c r="A15" s="8">
        <v>11.1</v>
      </c>
      <c r="B15" s="8" t="s">
        <v>156</v>
      </c>
      <c r="C15" s="8" t="s">
        <v>68</v>
      </c>
      <c r="D15" s="8" t="s">
        <v>90</v>
      </c>
      <c r="E15" s="2" t="s">
        <v>108</v>
      </c>
      <c r="F15" s="3">
        <v>145</v>
      </c>
      <c r="G15" s="2" t="s">
        <v>92</v>
      </c>
      <c r="H15" s="2" t="s">
        <v>53</v>
      </c>
      <c r="I15" s="15" t="str">
        <f t="shared" ca="1" si="0"/>
        <v/>
      </c>
      <c r="J15" s="9" t="s">
        <v>109</v>
      </c>
    </row>
    <row r="16" spans="1:10" s="6" customFormat="1" x14ac:dyDescent="0.2">
      <c r="A16" s="8">
        <v>11.2</v>
      </c>
      <c r="B16" s="8" t="s">
        <v>156</v>
      </c>
      <c r="C16" s="8" t="s">
        <v>78</v>
      </c>
      <c r="D16" s="8" t="s">
        <v>90</v>
      </c>
      <c r="E16" s="2" t="s">
        <v>91</v>
      </c>
      <c r="F16" s="3">
        <v>68.599999999999994</v>
      </c>
      <c r="G16" s="2" t="s">
        <v>92</v>
      </c>
      <c r="H16" s="2" t="s">
        <v>53</v>
      </c>
      <c r="I16" s="15" t="str">
        <f t="shared" ca="1" si="0"/>
        <v/>
      </c>
      <c r="J16" s="9" t="s">
        <v>109</v>
      </c>
    </row>
    <row r="17" spans="1:10" s="10" customFormat="1" x14ac:dyDescent="0.2">
      <c r="A17" s="8">
        <v>11.3</v>
      </c>
      <c r="B17" s="8" t="s">
        <v>156</v>
      </c>
      <c r="C17" s="8" t="s">
        <v>70</v>
      </c>
      <c r="D17" s="8" t="s">
        <v>90</v>
      </c>
      <c r="E17" s="2" t="s">
        <v>111</v>
      </c>
      <c r="F17" s="3">
        <f>MWS</f>
        <v>68.599999999999994</v>
      </c>
      <c r="G17" s="2" t="s">
        <v>92</v>
      </c>
      <c r="H17" s="2" t="s">
        <v>53</v>
      </c>
      <c r="I17" s="15" t="str">
        <f t="shared" ca="1" si="0"/>
        <v>=MWS</v>
      </c>
      <c r="J17" s="9" t="s">
        <v>110</v>
      </c>
    </row>
    <row r="18" spans="1:10" s="10" customFormat="1" x14ac:dyDescent="0.2">
      <c r="A18" s="8">
        <v>12</v>
      </c>
      <c r="B18" s="8" t="s">
        <v>156</v>
      </c>
      <c r="C18" s="8" t="s">
        <v>73</v>
      </c>
      <c r="D18" s="8" t="s">
        <v>74</v>
      </c>
      <c r="E18" s="2" t="s">
        <v>50</v>
      </c>
      <c r="F18" s="12">
        <v>0.5</v>
      </c>
      <c r="G18" s="2" t="s">
        <v>51</v>
      </c>
      <c r="H18" s="2" t="s">
        <v>53</v>
      </c>
      <c r="I18" s="15" t="str">
        <f t="shared" ca="1" si="0"/>
        <v/>
      </c>
      <c r="J18" s="9" t="s">
        <v>112</v>
      </c>
    </row>
    <row r="19" spans="1:10" s="10" customFormat="1" x14ac:dyDescent="0.2">
      <c r="A19" s="8">
        <v>13</v>
      </c>
      <c r="B19" s="8" t="s">
        <v>156</v>
      </c>
      <c r="C19" s="8" t="s">
        <v>73</v>
      </c>
      <c r="D19" s="8" t="s">
        <v>75</v>
      </c>
      <c r="E19" s="2" t="s">
        <v>16</v>
      </c>
      <c r="F19" s="12">
        <v>30.240000000000002</v>
      </c>
      <c r="G19" s="2" t="s">
        <v>4</v>
      </c>
      <c r="H19" s="2" t="s">
        <v>53</v>
      </c>
      <c r="I19" s="15" t="str">
        <f t="shared" ca="1" si="0"/>
        <v/>
      </c>
      <c r="J19" s="9" t="s">
        <v>112</v>
      </c>
    </row>
    <row r="20" spans="1:10" s="6" customFormat="1" x14ac:dyDescent="0.2">
      <c r="A20" s="8">
        <v>14</v>
      </c>
      <c r="B20" s="8" t="s">
        <v>156</v>
      </c>
      <c r="C20" s="8" t="s">
        <v>73</v>
      </c>
      <c r="D20" s="8" t="s">
        <v>75</v>
      </c>
      <c r="E20" s="2" t="s">
        <v>18</v>
      </c>
      <c r="F20" s="12">
        <v>30.240000000000002</v>
      </c>
      <c r="G20" s="2" t="s">
        <v>4</v>
      </c>
      <c r="H20" s="2" t="s">
        <v>53</v>
      </c>
      <c r="I20" s="15" t="str">
        <f t="shared" ca="1" si="0"/>
        <v/>
      </c>
      <c r="J20" s="9" t="s">
        <v>112</v>
      </c>
    </row>
    <row r="21" spans="1:10" s="6" customFormat="1" x14ac:dyDescent="0.2">
      <c r="A21" s="8">
        <v>15</v>
      </c>
      <c r="B21" s="8" t="s">
        <v>156</v>
      </c>
      <c r="C21" s="8" t="s">
        <v>73</v>
      </c>
      <c r="D21" s="8" t="s">
        <v>76</v>
      </c>
      <c r="E21" s="2" t="s">
        <v>15</v>
      </c>
      <c r="F21" s="12">
        <v>60.480000000000004</v>
      </c>
      <c r="G21" s="2" t="s">
        <v>20</v>
      </c>
      <c r="H21" s="2" t="s">
        <v>53</v>
      </c>
      <c r="I21" s="15" t="str">
        <f t="shared" ca="1" si="0"/>
        <v/>
      </c>
      <c r="J21" s="9" t="s">
        <v>112</v>
      </c>
    </row>
    <row r="22" spans="1:10" s="6" customFormat="1" x14ac:dyDescent="0.2">
      <c r="A22" s="8">
        <v>16</v>
      </c>
      <c r="B22" s="8" t="s">
        <v>156</v>
      </c>
      <c r="C22" s="8" t="s">
        <v>73</v>
      </c>
      <c r="D22" s="8" t="s">
        <v>76</v>
      </c>
      <c r="E22" s="2" t="s">
        <v>17</v>
      </c>
      <c r="F22" s="12">
        <v>60.480000000000004</v>
      </c>
      <c r="G22" s="2" t="s">
        <v>20</v>
      </c>
      <c r="H22" s="2" t="s">
        <v>53</v>
      </c>
      <c r="I22" s="15" t="str">
        <f t="shared" ca="1" si="0"/>
        <v/>
      </c>
      <c r="J22" s="9" t="s">
        <v>112</v>
      </c>
    </row>
    <row r="23" spans="1:10" s="10" customFormat="1" x14ac:dyDescent="0.2">
      <c r="A23" s="8">
        <v>17</v>
      </c>
      <c r="B23" s="8" t="s">
        <v>155</v>
      </c>
      <c r="C23" s="8" t="s">
        <v>70</v>
      </c>
      <c r="D23" s="8" t="s">
        <v>69</v>
      </c>
      <c r="E23" s="2" t="s">
        <v>32</v>
      </c>
      <c r="F23" s="3">
        <v>1</v>
      </c>
      <c r="G23" s="2" t="s">
        <v>4</v>
      </c>
      <c r="H23" s="2" t="s">
        <v>124</v>
      </c>
      <c r="I23" s="15" t="str">
        <f t="shared" ca="1" si="0"/>
        <v/>
      </c>
      <c r="J23" s="9" t="s">
        <v>116</v>
      </c>
    </row>
    <row r="24" spans="1:10" s="6" customFormat="1" x14ac:dyDescent="0.2">
      <c r="A24" s="8">
        <v>18</v>
      </c>
      <c r="B24" s="8" t="s">
        <v>155</v>
      </c>
      <c r="C24" s="8" t="s">
        <v>71</v>
      </c>
      <c r="D24" s="8" t="s">
        <v>69</v>
      </c>
      <c r="E24" s="2" t="s">
        <v>34</v>
      </c>
      <c r="F24" s="3">
        <v>1</v>
      </c>
      <c r="G24" s="2" t="s">
        <v>4</v>
      </c>
      <c r="H24" s="2" t="s">
        <v>124</v>
      </c>
      <c r="I24" s="15" t="str">
        <f t="shared" ca="1" si="0"/>
        <v/>
      </c>
      <c r="J24" s="9"/>
    </row>
    <row r="25" spans="1:10" s="6" customFormat="1" x14ac:dyDescent="0.2">
      <c r="A25" s="8">
        <v>19</v>
      </c>
      <c r="B25" s="8" t="s">
        <v>155</v>
      </c>
      <c r="C25" s="8" t="s">
        <v>70</v>
      </c>
      <c r="D25" s="8" t="s">
        <v>77</v>
      </c>
      <c r="E25" s="2" t="s">
        <v>36</v>
      </c>
      <c r="F25" s="3">
        <v>0</v>
      </c>
      <c r="G25" s="2" t="s">
        <v>19</v>
      </c>
      <c r="H25" s="2" t="s">
        <v>123</v>
      </c>
      <c r="I25" s="15" t="str">
        <f t="shared" ca="1" si="0"/>
        <v/>
      </c>
      <c r="J25" s="9" t="s">
        <v>93</v>
      </c>
    </row>
    <row r="26" spans="1:10" s="6" customFormat="1" x14ac:dyDescent="0.2">
      <c r="A26" s="8">
        <v>20</v>
      </c>
      <c r="B26" s="8" t="s">
        <v>155</v>
      </c>
      <c r="C26" s="8" t="s">
        <v>70</v>
      </c>
      <c r="D26" s="8" t="s">
        <v>77</v>
      </c>
      <c r="E26" s="2" t="s">
        <v>37</v>
      </c>
      <c r="F26" s="3">
        <v>0</v>
      </c>
      <c r="G26" s="2" t="s">
        <v>19</v>
      </c>
      <c r="H26" s="2" t="s">
        <v>123</v>
      </c>
      <c r="I26" s="15" t="str">
        <f t="shared" ca="1" si="0"/>
        <v/>
      </c>
      <c r="J26" s="9" t="s">
        <v>93</v>
      </c>
    </row>
    <row r="27" spans="1:10" s="6" customFormat="1" x14ac:dyDescent="0.2">
      <c r="A27" s="8">
        <v>20.100000000000001</v>
      </c>
      <c r="B27" s="8" t="s">
        <v>155</v>
      </c>
      <c r="C27" s="8" t="s">
        <v>78</v>
      </c>
      <c r="D27" s="8" t="s">
        <v>117</v>
      </c>
      <c r="E27" s="2" t="s">
        <v>118</v>
      </c>
      <c r="F27" s="12">
        <v>830</v>
      </c>
      <c r="G27" s="2" t="s">
        <v>51</v>
      </c>
      <c r="H27" s="2" t="s">
        <v>53</v>
      </c>
      <c r="I27" s="15" t="str">
        <f t="shared" ca="1" si="0"/>
        <v/>
      </c>
      <c r="J27" s="9" t="s">
        <v>112</v>
      </c>
    </row>
    <row r="28" spans="1:10" s="11" customFormat="1" x14ac:dyDescent="0.2">
      <c r="A28" s="8">
        <v>21</v>
      </c>
      <c r="B28" s="8" t="s">
        <v>155</v>
      </c>
      <c r="C28" s="8" t="s">
        <v>78</v>
      </c>
      <c r="D28" s="8" t="s">
        <v>79</v>
      </c>
      <c r="E28" s="2" t="s">
        <v>38</v>
      </c>
      <c r="F28" s="3">
        <f>M30_*keM3_</f>
        <v>2366.4960000000001</v>
      </c>
      <c r="G28" s="2" t="s">
        <v>19</v>
      </c>
      <c r="H28" s="2" t="s">
        <v>52</v>
      </c>
      <c r="I28" s="15" t="str">
        <f t="shared" ca="1" si="0"/>
        <v>=M30_*keM3_</v>
      </c>
      <c r="J28" s="13"/>
    </row>
    <row r="29" spans="1:10" s="10" customFormat="1" x14ac:dyDescent="0.2">
      <c r="A29" s="8">
        <v>22</v>
      </c>
      <c r="B29" s="8" t="s">
        <v>155</v>
      </c>
      <c r="C29" s="8" t="s">
        <v>78</v>
      </c>
      <c r="D29" s="8" t="s">
        <v>80</v>
      </c>
      <c r="E29" s="2" t="s">
        <v>39</v>
      </c>
      <c r="F29" s="3">
        <v>0</v>
      </c>
      <c r="G29" s="2" t="s">
        <v>4</v>
      </c>
      <c r="H29" s="2" t="s">
        <v>123</v>
      </c>
      <c r="I29" s="15" t="str">
        <f t="shared" ca="1" si="0"/>
        <v/>
      </c>
      <c r="J29" s="9"/>
    </row>
    <row r="30" spans="1:10" s="6" customFormat="1" x14ac:dyDescent="0.2">
      <c r="A30" s="8">
        <v>23</v>
      </c>
      <c r="B30" s="8" t="s">
        <v>155</v>
      </c>
      <c r="C30" s="8" t="s">
        <v>81</v>
      </c>
      <c r="D30" s="8" t="s">
        <v>80</v>
      </c>
      <c r="E30" s="2" t="s">
        <v>40</v>
      </c>
      <c r="F30" s="3">
        <v>0</v>
      </c>
      <c r="G30" s="2" t="s">
        <v>4</v>
      </c>
      <c r="H30" s="2" t="s">
        <v>123</v>
      </c>
      <c r="I30" s="15" t="str">
        <f t="shared" ca="1" si="0"/>
        <v/>
      </c>
      <c r="J30" s="9"/>
    </row>
    <row r="31" spans="1:10" s="11" customFormat="1" x14ac:dyDescent="0.2">
      <c r="A31" s="8">
        <v>24</v>
      </c>
      <c r="B31" s="8" t="s">
        <v>49</v>
      </c>
      <c r="C31" s="8" t="s">
        <v>68</v>
      </c>
      <c r="D31" s="8" t="s">
        <v>82</v>
      </c>
      <c r="E31" s="2" t="s">
        <v>23</v>
      </c>
      <c r="F31" s="14">
        <v>0.1</v>
      </c>
      <c r="G31" s="19" t="s">
        <v>2</v>
      </c>
      <c r="H31" s="2" t="s">
        <v>54</v>
      </c>
      <c r="I31" s="23" t="str">
        <f t="shared" ca="1" si="0"/>
        <v/>
      </c>
      <c r="J31" s="20" t="s">
        <v>56</v>
      </c>
    </row>
    <row r="32" spans="1:10" s="6" customFormat="1" x14ac:dyDescent="0.2">
      <c r="A32" s="8">
        <v>25</v>
      </c>
      <c r="B32" s="8" t="s">
        <v>49</v>
      </c>
      <c r="C32" s="8" t="s">
        <v>70</v>
      </c>
      <c r="D32" s="8" t="s">
        <v>82</v>
      </c>
      <c r="E32" s="2" t="s">
        <v>25</v>
      </c>
      <c r="F32" s="3">
        <f>VD3_</f>
        <v>0.1</v>
      </c>
      <c r="G32" s="2" t="s">
        <v>2</v>
      </c>
      <c r="H32" s="2" t="s">
        <v>52</v>
      </c>
      <c r="I32" s="15" t="str">
        <f t="shared" ca="1" si="0"/>
        <v>=VD3_</v>
      </c>
      <c r="J32" s="9"/>
    </row>
    <row r="33" spans="1:10" s="6" customFormat="1" x14ac:dyDescent="0.2">
      <c r="A33" s="8">
        <v>26</v>
      </c>
      <c r="B33" s="8" t="s">
        <v>49</v>
      </c>
      <c r="C33" s="8" t="s">
        <v>71</v>
      </c>
      <c r="D33" s="8" t="s">
        <v>82</v>
      </c>
      <c r="E33" s="2" t="s">
        <v>27</v>
      </c>
      <c r="F33" s="3">
        <f>VD3_</f>
        <v>0.1</v>
      </c>
      <c r="G33" s="2" t="s">
        <v>2</v>
      </c>
      <c r="H33" s="2" t="s">
        <v>52</v>
      </c>
      <c r="I33" s="15" t="str">
        <f t="shared" ca="1" si="0"/>
        <v>=VD3_</v>
      </c>
      <c r="J33" s="9"/>
    </row>
    <row r="34" spans="1:10" s="6" customFormat="1" x14ac:dyDescent="0.2">
      <c r="A34" s="8">
        <v>26.1</v>
      </c>
      <c r="B34" s="8" t="s">
        <v>49</v>
      </c>
      <c r="C34" s="8" t="s">
        <v>78</v>
      </c>
      <c r="D34" s="8" t="s">
        <v>82</v>
      </c>
      <c r="E34" s="2" t="s">
        <v>114</v>
      </c>
      <c r="F34" s="3">
        <f>VD3_</f>
        <v>0.1</v>
      </c>
      <c r="G34" s="2" t="s">
        <v>2</v>
      </c>
      <c r="H34" s="2" t="s">
        <v>52</v>
      </c>
      <c r="I34" s="15" t="str">
        <f t="shared" ref="I34:I72" ca="1" si="1">_xlfn.IFNA(_xlfn.FORMULATEXT(F34),"")</f>
        <v>=VD3_</v>
      </c>
      <c r="J34" s="9"/>
    </row>
    <row r="35" spans="1:10" s="6" customFormat="1" x14ac:dyDescent="0.2">
      <c r="A35" s="8">
        <v>26.2</v>
      </c>
      <c r="B35" s="8" t="s">
        <v>49</v>
      </c>
      <c r="C35" s="8" t="s">
        <v>81</v>
      </c>
      <c r="D35" s="8" t="s">
        <v>82</v>
      </c>
      <c r="E35" s="2" t="s">
        <v>115</v>
      </c>
      <c r="F35" s="3">
        <f>VD3_</f>
        <v>0.1</v>
      </c>
      <c r="G35" s="2" t="s">
        <v>2</v>
      </c>
      <c r="H35" s="2" t="s">
        <v>52</v>
      </c>
      <c r="I35" s="15" t="str">
        <f t="shared" ca="1" si="1"/>
        <v>=VD3_</v>
      </c>
      <c r="J35" s="9"/>
    </row>
    <row r="36" spans="1:10" s="6" customFormat="1" x14ac:dyDescent="0.2">
      <c r="A36" s="8">
        <v>27</v>
      </c>
      <c r="B36" s="8" t="s">
        <v>155</v>
      </c>
      <c r="C36" s="8" t="s">
        <v>68</v>
      </c>
      <c r="D36" s="8" t="s">
        <v>83</v>
      </c>
      <c r="E36" s="2" t="s">
        <v>14</v>
      </c>
      <c r="F36" s="3">
        <v>0</v>
      </c>
      <c r="G36" s="2" t="s">
        <v>4</v>
      </c>
      <c r="H36" s="2" t="s">
        <v>123</v>
      </c>
      <c r="I36" s="15" t="str">
        <f t="shared" ca="1" si="1"/>
        <v/>
      </c>
      <c r="J36" s="9" t="s">
        <v>119</v>
      </c>
    </row>
    <row r="37" spans="1:10" s="6" customFormat="1" x14ac:dyDescent="0.2">
      <c r="A37" s="8">
        <v>28</v>
      </c>
      <c r="B37" s="8" t="s">
        <v>155</v>
      </c>
      <c r="C37" s="8" t="s">
        <v>70</v>
      </c>
      <c r="D37" s="8" t="s">
        <v>84</v>
      </c>
      <c r="E37" s="2" t="s">
        <v>33</v>
      </c>
      <c r="F37" s="3">
        <v>1</v>
      </c>
      <c r="G37" s="2" t="s">
        <v>4</v>
      </c>
      <c r="H37" s="2" t="s">
        <v>124</v>
      </c>
      <c r="I37" s="15" t="str">
        <f t="shared" ca="1" si="1"/>
        <v/>
      </c>
      <c r="J37" s="9" t="s">
        <v>122</v>
      </c>
    </row>
    <row r="38" spans="1:10" s="6" customFormat="1" x14ac:dyDescent="0.2">
      <c r="A38" s="8">
        <v>29</v>
      </c>
      <c r="B38" s="8" t="s">
        <v>155</v>
      </c>
      <c r="C38" s="8" t="s">
        <v>71</v>
      </c>
      <c r="D38" s="8" t="s">
        <v>85</v>
      </c>
      <c r="E38" s="2" t="s">
        <v>35</v>
      </c>
      <c r="F38" s="3">
        <v>1</v>
      </c>
      <c r="G38" s="2" t="s">
        <v>4</v>
      </c>
      <c r="H38" s="2" t="s">
        <v>124</v>
      </c>
      <c r="I38" s="15" t="str">
        <f t="shared" ca="1" si="1"/>
        <v/>
      </c>
      <c r="J38" s="9" t="s">
        <v>122</v>
      </c>
    </row>
    <row r="39" spans="1:10" s="6" customFormat="1" x14ac:dyDescent="0.2">
      <c r="A39" s="8">
        <v>30</v>
      </c>
      <c r="B39" s="8" t="s">
        <v>155</v>
      </c>
      <c r="C39" s="8" t="s">
        <v>78</v>
      </c>
      <c r="D39" s="8" t="s">
        <v>86</v>
      </c>
      <c r="E39" s="2" t="s">
        <v>41</v>
      </c>
      <c r="F39" s="3">
        <v>2.8512</v>
      </c>
      <c r="G39" s="2" t="s">
        <v>4</v>
      </c>
      <c r="H39" s="2" t="s">
        <v>53</v>
      </c>
      <c r="I39" s="15" t="str">
        <f t="shared" ca="1" si="1"/>
        <v/>
      </c>
      <c r="J39" s="9" t="s">
        <v>112</v>
      </c>
    </row>
    <row r="40" spans="1:10" s="6" customFormat="1" x14ac:dyDescent="0.2">
      <c r="A40" s="8">
        <v>31</v>
      </c>
      <c r="B40" s="8" t="s">
        <v>155</v>
      </c>
      <c r="C40" s="8" t="s">
        <v>81</v>
      </c>
      <c r="D40" s="8" t="s">
        <v>87</v>
      </c>
      <c r="E40" s="2" t="s">
        <v>42</v>
      </c>
      <c r="F40" s="3">
        <v>2.8512</v>
      </c>
      <c r="G40" s="2" t="s">
        <v>4</v>
      </c>
      <c r="H40" s="2" t="s">
        <v>53</v>
      </c>
      <c r="I40" s="15" t="str">
        <f t="shared" ca="1" si="1"/>
        <v/>
      </c>
      <c r="J40" s="9" t="s">
        <v>112</v>
      </c>
    </row>
    <row r="41" spans="1:10" x14ac:dyDescent="0.2">
      <c r="A41" s="8">
        <v>32</v>
      </c>
      <c r="B41" s="8" t="s">
        <v>154</v>
      </c>
      <c r="C41" s="8" t="s">
        <v>68</v>
      </c>
      <c r="D41" s="8" t="s">
        <v>120</v>
      </c>
      <c r="E41" s="2" t="s">
        <v>120</v>
      </c>
      <c r="F41" s="17">
        <f>k13D*(Vc/Vtum)/(keD3_+k31D)</f>
        <v>0.33333333333333331</v>
      </c>
      <c r="G41" s="18" t="s">
        <v>3</v>
      </c>
      <c r="H41" s="2" t="s">
        <v>139</v>
      </c>
      <c r="I41" s="21" t="str">
        <f t="shared" ca="1" si="1"/>
        <v>=k13D*(Vc/Vtum)/(keD3_+k31D)</v>
      </c>
      <c r="J41" s="22" t="s">
        <v>141</v>
      </c>
    </row>
    <row r="42" spans="1:10" x14ac:dyDescent="0.2">
      <c r="A42" s="8">
        <v>33</v>
      </c>
      <c r="B42" s="8" t="s">
        <v>154</v>
      </c>
      <c r="C42" s="8" t="s">
        <v>70</v>
      </c>
      <c r="D42" s="8" t="s">
        <v>121</v>
      </c>
      <c r="E42" s="2" t="s">
        <v>121</v>
      </c>
      <c r="F42" s="3">
        <v>0</v>
      </c>
      <c r="G42" s="2" t="s">
        <v>3</v>
      </c>
      <c r="H42" s="2" t="s">
        <v>113</v>
      </c>
      <c r="I42" s="15" t="str">
        <f t="shared" ca="1" si="1"/>
        <v/>
      </c>
      <c r="J42" s="9"/>
    </row>
    <row r="43" spans="1:10" x14ac:dyDescent="0.2">
      <c r="A43" s="8">
        <v>33.1</v>
      </c>
      <c r="B43" s="8" t="s">
        <v>154</v>
      </c>
      <c r="C43" s="8" t="s">
        <v>151</v>
      </c>
      <c r="D43" s="8" t="s">
        <v>142</v>
      </c>
      <c r="E43" s="2" t="s">
        <v>126</v>
      </c>
      <c r="F43" s="3">
        <f>0.000000003*1000000*60*60*24</f>
        <v>259.2</v>
      </c>
      <c r="G43" s="1" t="s">
        <v>127</v>
      </c>
      <c r="H43" s="2" t="s">
        <v>53</v>
      </c>
      <c r="I43" s="15" t="str">
        <f t="shared" ca="1" si="1"/>
        <v>=0.000000003*1000000*60*60*24</v>
      </c>
      <c r="J43" s="9" t="s">
        <v>112</v>
      </c>
    </row>
    <row r="44" spans="1:10" x14ac:dyDescent="0.2">
      <c r="A44" s="8">
        <v>33.200000000000003</v>
      </c>
      <c r="B44" s="8" t="s">
        <v>154</v>
      </c>
      <c r="C44" s="8" t="s">
        <v>151</v>
      </c>
      <c r="D44" s="8" t="s">
        <v>143</v>
      </c>
      <c r="E44" s="2" t="s">
        <v>128</v>
      </c>
      <c r="F44" s="3">
        <v>8</v>
      </c>
      <c r="G44" s="1" t="s">
        <v>129</v>
      </c>
      <c r="H44" s="2" t="s">
        <v>53</v>
      </c>
      <c r="I44" s="15" t="str">
        <f t="shared" ca="1" si="1"/>
        <v/>
      </c>
      <c r="J44" s="9" t="s">
        <v>112</v>
      </c>
    </row>
    <row r="45" spans="1:10" x14ac:dyDescent="0.2">
      <c r="A45" s="8">
        <v>33.299999999999997</v>
      </c>
      <c r="B45" s="8" t="s">
        <v>154</v>
      </c>
      <c r="C45" s="8" t="s">
        <v>151</v>
      </c>
      <c r="D45" s="8" t="s">
        <v>144</v>
      </c>
      <c r="E45" s="2" t="s">
        <v>130</v>
      </c>
      <c r="F45" s="3">
        <v>75</v>
      </c>
      <c r="G45" s="1" t="s">
        <v>129</v>
      </c>
      <c r="H45" s="2" t="s">
        <v>53</v>
      </c>
      <c r="I45" s="15" t="str">
        <f t="shared" ca="1" si="1"/>
        <v/>
      </c>
      <c r="J45" s="9" t="s">
        <v>112</v>
      </c>
    </row>
    <row r="46" spans="1:10" x14ac:dyDescent="0.2">
      <c r="A46" s="8">
        <v>33.4</v>
      </c>
      <c r="B46" s="8" t="s">
        <v>154</v>
      </c>
      <c r="C46" s="8" t="s">
        <v>151</v>
      </c>
      <c r="D46" s="8" t="s">
        <v>145</v>
      </c>
      <c r="E46" s="1" t="s">
        <v>131</v>
      </c>
      <c r="F46" s="3">
        <v>1</v>
      </c>
      <c r="G46" s="1" t="s">
        <v>3</v>
      </c>
      <c r="H46" s="2" t="s">
        <v>124</v>
      </c>
      <c r="I46" s="15" t="str">
        <f t="shared" ca="1" si="1"/>
        <v/>
      </c>
      <c r="J46" s="9" t="s">
        <v>136</v>
      </c>
    </row>
    <row r="47" spans="1:10" x14ac:dyDescent="0.2">
      <c r="A47" s="8">
        <v>33.5</v>
      </c>
      <c r="B47" s="8" t="s">
        <v>154</v>
      </c>
      <c r="C47" s="8" t="s">
        <v>68</v>
      </c>
      <c r="D47" s="8" t="s">
        <v>146</v>
      </c>
      <c r="E47" s="2" t="s">
        <v>132</v>
      </c>
      <c r="F47" s="3">
        <f>k31D_thurber*VD3_/VD1_</f>
        <v>3.5108571428571426E-2</v>
      </c>
      <c r="G47" s="2" t="s">
        <v>4</v>
      </c>
      <c r="H47" s="2" t="s">
        <v>52</v>
      </c>
      <c r="I47" s="15" t="str">
        <f t="shared" ca="1" si="1"/>
        <v>=k31D_thurber*VD3_/VD1_</v>
      </c>
      <c r="J47" s="9" t="s">
        <v>152</v>
      </c>
    </row>
    <row r="48" spans="1:10" x14ac:dyDescent="0.2">
      <c r="A48" s="8">
        <v>33.6</v>
      </c>
      <c r="B48" s="8" t="s">
        <v>154</v>
      </c>
      <c r="C48" s="8" t="s">
        <v>68</v>
      </c>
      <c r="D48" s="8" t="s">
        <v>147</v>
      </c>
      <c r="E48" s="2" t="s">
        <v>133</v>
      </c>
      <c r="F48" s="3">
        <f>k12D*VD3_/VD2_</f>
        <v>1.3186813186813185E-2</v>
      </c>
      <c r="G48" s="2" t="s">
        <v>4</v>
      </c>
      <c r="H48" s="2" t="s">
        <v>52</v>
      </c>
      <c r="I48" s="15" t="str">
        <f t="shared" ca="1" si="1"/>
        <v>=k12D*VD3_/VD2_</v>
      </c>
      <c r="J48" s="9"/>
    </row>
    <row r="49" spans="1:10" s="6" customFormat="1" x14ac:dyDescent="0.2">
      <c r="A49" s="8">
        <v>34</v>
      </c>
      <c r="B49" s="8" t="s">
        <v>154</v>
      </c>
      <c r="C49" s="8" t="s">
        <v>68</v>
      </c>
      <c r="D49" s="8" t="s">
        <v>88</v>
      </c>
      <c r="E49" s="2" t="s">
        <v>11</v>
      </c>
      <c r="F49" s="14">
        <f>k13d_prop</f>
        <v>1.3186813186813185E-2</v>
      </c>
      <c r="G49" s="19" t="s">
        <v>4</v>
      </c>
      <c r="H49" s="2" t="s">
        <v>54</v>
      </c>
      <c r="I49" s="14" t="str">
        <f t="shared" ca="1" si="1"/>
        <v>=k13d_prop</v>
      </c>
      <c r="J49" s="14" t="s">
        <v>140</v>
      </c>
    </row>
    <row r="50" spans="1:10" s="6" customFormat="1" x14ac:dyDescent="0.2">
      <c r="A50" s="8">
        <v>35</v>
      </c>
      <c r="B50" s="8" t="s">
        <v>154</v>
      </c>
      <c r="C50" s="8" t="s">
        <v>70</v>
      </c>
      <c r="D50" s="8" t="s">
        <v>88</v>
      </c>
      <c r="E50" s="2" t="s">
        <v>28</v>
      </c>
      <c r="F50" s="3">
        <v>0</v>
      </c>
      <c r="G50" s="2" t="s">
        <v>4</v>
      </c>
      <c r="H50" s="2" t="s">
        <v>123</v>
      </c>
      <c r="I50" s="15" t="str">
        <f t="shared" ca="1" si="1"/>
        <v/>
      </c>
      <c r="J50" s="9" t="s">
        <v>125</v>
      </c>
    </row>
    <row r="51" spans="1:10" s="6" customFormat="1" x14ac:dyDescent="0.2">
      <c r="A51" s="8">
        <v>36</v>
      </c>
      <c r="B51" s="8" t="s">
        <v>154</v>
      </c>
      <c r="C51" s="8" t="s">
        <v>71</v>
      </c>
      <c r="D51" s="8" t="s">
        <v>88</v>
      </c>
      <c r="E51" s="2" t="s">
        <v>30</v>
      </c>
      <c r="F51" s="3">
        <v>0</v>
      </c>
      <c r="G51" s="2" t="s">
        <v>4</v>
      </c>
      <c r="H51" s="2" t="s">
        <v>123</v>
      </c>
      <c r="I51" s="15" t="str">
        <f t="shared" ca="1" si="1"/>
        <v/>
      </c>
      <c r="J51" s="9" t="s">
        <v>55</v>
      </c>
    </row>
    <row r="52" spans="1:10" s="6" customFormat="1" x14ac:dyDescent="0.2">
      <c r="A52" s="8">
        <v>36.1</v>
      </c>
      <c r="B52" s="8" t="s">
        <v>154</v>
      </c>
      <c r="C52" s="8" t="s">
        <v>68</v>
      </c>
      <c r="D52" s="8" t="s">
        <v>148</v>
      </c>
      <c r="E52" s="2" t="s">
        <v>134</v>
      </c>
      <c r="F52" s="3">
        <f>2*P*Rcap/Rkrogh^2</f>
        <v>0.73727999999999994</v>
      </c>
      <c r="G52" s="2" t="s">
        <v>4</v>
      </c>
      <c r="H52" s="2" t="s">
        <v>52</v>
      </c>
      <c r="I52" s="15" t="str">
        <f t="shared" ca="1" si="1"/>
        <v>=2*P*Rcap/Rkrogh^2</v>
      </c>
      <c r="J52" s="16" t="s">
        <v>138</v>
      </c>
    </row>
    <row r="53" spans="1:10" s="6" customFormat="1" x14ac:dyDescent="0.2">
      <c r="A53" s="8">
        <v>36.200000000000003</v>
      </c>
      <c r="B53" s="8" t="s">
        <v>154</v>
      </c>
      <c r="C53" s="8" t="s">
        <v>68</v>
      </c>
      <c r="D53" s="8" t="s">
        <v>149</v>
      </c>
      <c r="E53" s="2" t="s">
        <v>135</v>
      </c>
      <c r="F53" s="14">
        <f>VD1_/VD3_*k13d_prop*3</f>
        <v>0.8307692307692307</v>
      </c>
      <c r="G53" s="19" t="s">
        <v>4</v>
      </c>
      <c r="H53" s="19" t="s">
        <v>171</v>
      </c>
      <c r="I53" s="23" t="str">
        <f t="shared" ca="1" si="1"/>
        <v>=VD1_/VD3_*k13d_prop*3</v>
      </c>
      <c r="J53" s="20" t="s">
        <v>153</v>
      </c>
    </row>
    <row r="54" spans="1:10" s="6" customFormat="1" x14ac:dyDescent="0.2">
      <c r="A54" s="8">
        <v>37</v>
      </c>
      <c r="B54" s="8" t="s">
        <v>154</v>
      </c>
      <c r="C54" s="8" t="s">
        <v>68</v>
      </c>
      <c r="D54" s="8" t="s">
        <v>150</v>
      </c>
      <c r="E54" s="2" t="s">
        <v>12</v>
      </c>
      <c r="F54" s="14">
        <f>k31D_prop</f>
        <v>0.8307692307692307</v>
      </c>
      <c r="G54" s="19" t="s">
        <v>4</v>
      </c>
      <c r="H54" s="2" t="s">
        <v>54</v>
      </c>
      <c r="I54" s="20" t="str">
        <f t="shared" ca="1" si="1"/>
        <v>=k31D_prop</v>
      </c>
      <c r="J54" s="20" t="s">
        <v>140</v>
      </c>
    </row>
    <row r="55" spans="1:10" s="6" customFormat="1" x14ac:dyDescent="0.2">
      <c r="A55" s="8">
        <v>38</v>
      </c>
      <c r="B55" s="8" t="s">
        <v>154</v>
      </c>
      <c r="C55" s="8" t="s">
        <v>70</v>
      </c>
      <c r="D55" s="8" t="s">
        <v>150</v>
      </c>
      <c r="E55" s="2" t="s">
        <v>29</v>
      </c>
      <c r="F55" s="3">
        <v>1</v>
      </c>
      <c r="G55" s="2" t="s">
        <v>4</v>
      </c>
      <c r="H55" s="2" t="s">
        <v>124</v>
      </c>
      <c r="I55" s="15" t="str">
        <f t="shared" ca="1" si="1"/>
        <v/>
      </c>
      <c r="J55" s="9" t="s">
        <v>122</v>
      </c>
    </row>
    <row r="56" spans="1:10" s="6" customFormat="1" x14ac:dyDescent="0.2">
      <c r="A56" s="8">
        <v>39</v>
      </c>
      <c r="B56" s="8" t="s">
        <v>154</v>
      </c>
      <c r="C56" s="8" t="s">
        <v>71</v>
      </c>
      <c r="D56" s="8" t="s">
        <v>150</v>
      </c>
      <c r="E56" s="2" t="s">
        <v>31</v>
      </c>
      <c r="F56" s="3">
        <v>1</v>
      </c>
      <c r="G56" s="2" t="s">
        <v>4</v>
      </c>
      <c r="H56" s="2" t="s">
        <v>124</v>
      </c>
      <c r="I56" s="15" t="str">
        <f t="shared" ca="1" si="1"/>
        <v/>
      </c>
      <c r="J56" s="9" t="s">
        <v>122</v>
      </c>
    </row>
    <row r="57" spans="1:10" s="11" customFormat="1" x14ac:dyDescent="0.2">
      <c r="A57" s="8">
        <v>40</v>
      </c>
      <c r="B57" s="8" t="s">
        <v>154</v>
      </c>
      <c r="C57" s="8" t="s">
        <v>78</v>
      </c>
      <c r="D57" s="8" t="s">
        <v>77</v>
      </c>
      <c r="E57" s="2" t="s">
        <v>94</v>
      </c>
      <c r="F57" s="3">
        <v>0</v>
      </c>
      <c r="G57" s="2" t="s">
        <v>19</v>
      </c>
      <c r="H57" s="2" t="s">
        <v>123</v>
      </c>
      <c r="I57" s="15" t="str">
        <f t="shared" ca="1" si="1"/>
        <v/>
      </c>
      <c r="J57" s="13"/>
    </row>
    <row r="58" spans="1:10" s="10" customFormat="1" x14ac:dyDescent="0.2">
      <c r="A58" s="8">
        <v>41</v>
      </c>
      <c r="B58" s="8" t="s">
        <v>154</v>
      </c>
      <c r="C58" s="8" t="s">
        <v>78</v>
      </c>
      <c r="D58" s="8" t="s">
        <v>95</v>
      </c>
      <c r="E58" s="2" t="s">
        <v>96</v>
      </c>
      <c r="F58" s="3">
        <v>0</v>
      </c>
      <c r="G58" s="2" t="s">
        <v>4</v>
      </c>
      <c r="H58" s="2" t="s">
        <v>123</v>
      </c>
      <c r="I58" s="15" t="str">
        <f t="shared" ca="1" si="1"/>
        <v/>
      </c>
      <c r="J58" s="9"/>
    </row>
    <row r="59" spans="1:10" s="6" customFormat="1" x14ac:dyDescent="0.2">
      <c r="A59" s="8">
        <v>42</v>
      </c>
      <c r="B59" s="8" t="s">
        <v>154</v>
      </c>
      <c r="C59" s="8" t="s">
        <v>81</v>
      </c>
      <c r="D59" s="8" t="s">
        <v>95</v>
      </c>
      <c r="E59" s="2" t="s">
        <v>97</v>
      </c>
      <c r="F59" s="3">
        <v>0</v>
      </c>
      <c r="G59" s="2" t="s">
        <v>4</v>
      </c>
      <c r="H59" s="2" t="s">
        <v>123</v>
      </c>
      <c r="I59" s="15" t="str">
        <f t="shared" ca="1" si="1"/>
        <v/>
      </c>
      <c r="J59" s="9"/>
    </row>
    <row r="60" spans="1:10" s="6" customFormat="1" x14ac:dyDescent="0.2">
      <c r="A60" s="8">
        <v>43</v>
      </c>
      <c r="B60" s="8" t="s">
        <v>154</v>
      </c>
      <c r="C60" s="8" t="s">
        <v>78</v>
      </c>
      <c r="D60" s="8" t="s">
        <v>86</v>
      </c>
      <c r="E60" s="2" t="s">
        <v>98</v>
      </c>
      <c r="F60" s="3">
        <v>1</v>
      </c>
      <c r="G60" s="2" t="s">
        <v>4</v>
      </c>
      <c r="H60" s="2" t="s">
        <v>124</v>
      </c>
      <c r="I60" s="15" t="str">
        <f t="shared" ca="1" si="1"/>
        <v/>
      </c>
      <c r="J60" s="9"/>
    </row>
    <row r="61" spans="1:10" s="6" customFormat="1" x14ac:dyDescent="0.2">
      <c r="A61" s="8">
        <v>44</v>
      </c>
      <c r="B61" s="8" t="s">
        <v>154</v>
      </c>
      <c r="C61" s="8" t="s">
        <v>81</v>
      </c>
      <c r="D61" s="8" t="s">
        <v>87</v>
      </c>
      <c r="E61" s="2" t="s">
        <v>99</v>
      </c>
      <c r="F61" s="3">
        <v>1</v>
      </c>
      <c r="G61" s="2" t="s">
        <v>4</v>
      </c>
      <c r="H61" s="2" t="s">
        <v>124</v>
      </c>
      <c r="I61" s="15" t="str">
        <f t="shared" ca="1" si="1"/>
        <v/>
      </c>
      <c r="J61" s="9"/>
    </row>
    <row r="62" spans="1:10" s="6" customFormat="1" x14ac:dyDescent="0.2">
      <c r="A62" s="8">
        <v>45</v>
      </c>
      <c r="B62" s="8" t="s">
        <v>154</v>
      </c>
      <c r="C62" s="8" t="s">
        <v>78</v>
      </c>
      <c r="D62" s="8" t="s">
        <v>88</v>
      </c>
      <c r="E62" s="2" t="s">
        <v>100</v>
      </c>
      <c r="F62" s="3">
        <v>0</v>
      </c>
      <c r="G62" s="2" t="s">
        <v>4</v>
      </c>
      <c r="H62" s="2" t="s">
        <v>123</v>
      </c>
      <c r="I62" s="15" t="str">
        <f t="shared" ca="1" si="1"/>
        <v/>
      </c>
      <c r="J62" s="9"/>
    </row>
    <row r="63" spans="1:10" s="6" customFormat="1" x14ac:dyDescent="0.2">
      <c r="A63" s="8">
        <v>46</v>
      </c>
      <c r="B63" s="8" t="s">
        <v>154</v>
      </c>
      <c r="C63" s="8" t="s">
        <v>78</v>
      </c>
      <c r="D63" s="8" t="s">
        <v>89</v>
      </c>
      <c r="E63" s="2" t="s">
        <v>101</v>
      </c>
      <c r="F63" s="3">
        <v>0</v>
      </c>
      <c r="G63" s="2" t="s">
        <v>4</v>
      </c>
      <c r="H63" s="2" t="s">
        <v>123</v>
      </c>
      <c r="I63" s="15" t="str">
        <f t="shared" ca="1" si="1"/>
        <v/>
      </c>
      <c r="J63" s="10"/>
    </row>
    <row r="64" spans="1:10" s="6" customFormat="1" x14ac:dyDescent="0.2">
      <c r="A64" s="8">
        <v>47</v>
      </c>
      <c r="B64" s="8" t="s">
        <v>154</v>
      </c>
      <c r="C64" s="8" t="s">
        <v>81</v>
      </c>
      <c r="D64" s="8" t="s">
        <v>88</v>
      </c>
      <c r="E64" s="2" t="s">
        <v>102</v>
      </c>
      <c r="F64" s="3">
        <v>0</v>
      </c>
      <c r="G64" s="2" t="s">
        <v>4</v>
      </c>
      <c r="H64" s="2" t="s">
        <v>123</v>
      </c>
      <c r="I64" s="15" t="str">
        <f t="shared" ca="1" si="1"/>
        <v/>
      </c>
      <c r="J64" s="9"/>
    </row>
    <row r="65" spans="1:10" s="6" customFormat="1" x14ac:dyDescent="0.2">
      <c r="A65" s="8">
        <v>48</v>
      </c>
      <c r="B65" s="8" t="s">
        <v>154</v>
      </c>
      <c r="C65" s="8" t="s">
        <v>81</v>
      </c>
      <c r="D65" s="8" t="s">
        <v>89</v>
      </c>
      <c r="E65" s="2" t="s">
        <v>103</v>
      </c>
      <c r="F65" s="3">
        <v>0</v>
      </c>
      <c r="G65" s="2" t="s">
        <v>4</v>
      </c>
      <c r="H65" s="2" t="s">
        <v>123</v>
      </c>
      <c r="I65" s="15" t="str">
        <f t="shared" ca="1" si="1"/>
        <v/>
      </c>
      <c r="J65" s="9"/>
    </row>
    <row r="66" spans="1:10" s="6" customFormat="1" x14ac:dyDescent="0.2">
      <c r="A66" s="8">
        <v>72</v>
      </c>
      <c r="B66" s="8" t="s">
        <v>161</v>
      </c>
      <c r="C66" s="8" t="s">
        <v>68</v>
      </c>
      <c r="D66" s="8" t="s">
        <v>161</v>
      </c>
      <c r="E66" s="2" t="s">
        <v>161</v>
      </c>
      <c r="F66" s="3">
        <f>8*80*6.67</f>
        <v>4268.8</v>
      </c>
      <c r="G66" s="2" t="s">
        <v>162</v>
      </c>
      <c r="H66" s="2" t="s">
        <v>53</v>
      </c>
      <c r="I66" s="12" t="str">
        <f t="shared" ca="1" si="1"/>
        <v>=8*80*6.67</v>
      </c>
      <c r="J66" s="9" t="s">
        <v>163</v>
      </c>
    </row>
    <row r="67" spans="1:10" s="6" customFormat="1" x14ac:dyDescent="0.2">
      <c r="A67" s="8">
        <v>73</v>
      </c>
      <c r="B67" s="8" t="s">
        <v>161</v>
      </c>
      <c r="C67" s="8" t="s">
        <v>68</v>
      </c>
      <c r="D67" s="8" t="s">
        <v>164</v>
      </c>
      <c r="E67" s="2" t="s">
        <v>165</v>
      </c>
      <c r="F67" s="3">
        <v>21</v>
      </c>
      <c r="G67" s="2" t="s">
        <v>166</v>
      </c>
      <c r="H67" s="2" t="s">
        <v>53</v>
      </c>
      <c r="I67" s="12" t="str">
        <f t="shared" ca="1" si="1"/>
        <v/>
      </c>
      <c r="J67" s="9"/>
    </row>
    <row r="68" spans="1:10" s="6" customFormat="1" x14ac:dyDescent="0.2">
      <c r="A68" s="8">
        <v>74</v>
      </c>
      <c r="B68" s="8" t="s">
        <v>48</v>
      </c>
      <c r="C68" s="8" t="s">
        <v>68</v>
      </c>
      <c r="D68" s="8" t="s">
        <v>167</v>
      </c>
      <c r="E68" s="2" t="s">
        <v>168</v>
      </c>
      <c r="F68" s="3">
        <f>Dose/(CL*Tau)</f>
        <v>923.98268398268397</v>
      </c>
      <c r="G68" s="2" t="s">
        <v>51</v>
      </c>
      <c r="H68" s="2" t="s">
        <v>52</v>
      </c>
      <c r="I68" s="12" t="str">
        <f ca="1">_xlfn.IFNA(_xlfn.FORMULATEXT(F68),"")</f>
        <v>=Dose/(CL*Tau)</v>
      </c>
      <c r="J68" s="9"/>
    </row>
    <row r="69" spans="1:10" s="6" customFormat="1" x14ac:dyDescent="0.2">
      <c r="A69" s="8">
        <v>75</v>
      </c>
      <c r="B69" s="8" t="s">
        <v>155</v>
      </c>
      <c r="C69" s="8" t="s">
        <v>81</v>
      </c>
      <c r="D69" s="8" t="s">
        <v>169</v>
      </c>
      <c r="E69" s="2" t="s">
        <v>170</v>
      </c>
      <c r="F69" s="3">
        <f>kshedDM3+keDM3</f>
        <v>2.8512</v>
      </c>
      <c r="G69" s="2" t="s">
        <v>4</v>
      </c>
      <c r="H69" s="2" t="s">
        <v>52</v>
      </c>
      <c r="I69" s="12" t="str">
        <f t="shared" ca="1" si="1"/>
        <v>=kshedDM3+keDM3</v>
      </c>
      <c r="J69" s="10"/>
    </row>
    <row r="70" spans="1:10" s="6" customFormat="1" x14ac:dyDescent="0.2">
      <c r="A70" s="8">
        <v>76</v>
      </c>
      <c r="B70" s="8" t="s">
        <v>154</v>
      </c>
      <c r="C70" s="8" t="s">
        <v>81</v>
      </c>
      <c r="D70" s="8" t="s">
        <v>157</v>
      </c>
      <c r="E70" s="2" t="s">
        <v>158</v>
      </c>
      <c r="F70" s="17">
        <f>keDMtot*M30_/(k31D_thurber*Cavg)</f>
        <v>3.4738374221092583</v>
      </c>
      <c r="G70" s="18" t="s">
        <v>3</v>
      </c>
      <c r="H70" s="18" t="s">
        <v>159</v>
      </c>
      <c r="I70" s="22" t="str">
        <f t="shared" ca="1" si="1"/>
        <v>=keDMtot*M30_/(k31D_thurber*Cavg)</v>
      </c>
      <c r="J70" s="9" t="s">
        <v>160</v>
      </c>
    </row>
    <row r="71" spans="1:10" s="6" customFormat="1" x14ac:dyDescent="0.2">
      <c r="A71" s="8">
        <v>77</v>
      </c>
      <c r="B71" s="8" t="s">
        <v>48</v>
      </c>
      <c r="C71" s="8" t="s">
        <v>172</v>
      </c>
      <c r="D71" s="8" t="s">
        <v>62</v>
      </c>
      <c r="E71" s="2" t="s">
        <v>173</v>
      </c>
      <c r="F71" s="3">
        <f>VD1_</f>
        <v>2.1</v>
      </c>
      <c r="G71" s="2" t="s">
        <v>2</v>
      </c>
      <c r="H71" s="2" t="s">
        <v>52</v>
      </c>
      <c r="I71" s="12" t="str">
        <f t="shared" ca="1" si="1"/>
        <v>=VD1_</v>
      </c>
      <c r="J71" s="9" t="s">
        <v>174</v>
      </c>
    </row>
    <row r="72" spans="1:10" x14ac:dyDescent="0.2">
      <c r="A72" s="8">
        <v>78</v>
      </c>
      <c r="B72" s="8" t="s">
        <v>48</v>
      </c>
      <c r="C72" s="8" t="s">
        <v>172</v>
      </c>
      <c r="D72" s="8" t="s">
        <v>63</v>
      </c>
      <c r="E72" s="2" t="s">
        <v>175</v>
      </c>
      <c r="F72" s="3">
        <f>VD2_</f>
        <v>1.3</v>
      </c>
      <c r="G72" s="2" t="s">
        <v>2</v>
      </c>
      <c r="H72" s="2" t="s">
        <v>52</v>
      </c>
      <c r="I72" s="12" t="str">
        <f t="shared" ca="1" si="1"/>
        <v>=VD2_</v>
      </c>
      <c r="J72" s="9" t="s">
        <v>174</v>
      </c>
    </row>
    <row r="73" spans="1:10" x14ac:dyDescent="0.2">
      <c r="A73" s="24">
        <v>79</v>
      </c>
      <c r="B73" s="8" t="s">
        <v>154</v>
      </c>
      <c r="C73" s="8" t="s">
        <v>172</v>
      </c>
      <c r="D73" s="8" t="s">
        <v>176</v>
      </c>
      <c r="E73" s="25" t="s">
        <v>177</v>
      </c>
      <c r="F73" s="26">
        <f>VD3_</f>
        <v>0.1</v>
      </c>
      <c r="G73" s="2" t="s">
        <v>2</v>
      </c>
      <c r="H73" s="2" t="s">
        <v>52</v>
      </c>
      <c r="I73" s="27" t="str">
        <f ca="1">_xlfn.IFNA(_xlfn.FORMULATEXT(F73),"")</f>
        <v>=VD3_</v>
      </c>
      <c r="J73" s="9" t="s">
        <v>174</v>
      </c>
    </row>
  </sheetData>
  <conditionalFormatting sqref="F280">
    <cfRule type="containsText" dxfId="73" priority="63" operator="containsText" text="derived">
      <formula>NOT(ISERROR(SEARCH("derived",F280)))</formula>
    </cfRule>
  </conditionalFormatting>
  <conditionalFormatting sqref="J8">
    <cfRule type="expression" dxfId="72" priority="61">
      <formula>$H2="fit"</formula>
    </cfRule>
  </conditionalFormatting>
  <conditionalFormatting sqref="J23:K28 H43:I46 K43:K46 I3:I65 A74:K1048576 D46 C43:C46 C42:K42 C47:K65 A42:B65 A30:K41 C29:K29 C23:G28 A23:B29 A1:K22">
    <cfRule type="containsText" dxfId="71" priority="60" operator="containsText" text="calc">
      <formula>NOT(ISERROR(SEARCH("calc",A1)))</formula>
    </cfRule>
  </conditionalFormatting>
  <conditionalFormatting sqref="H1:I22 H29:I65 I3:I65 H74:I1048576">
    <cfRule type="containsText" dxfId="70" priority="58" operator="containsText" text="literature">
      <formula>NOT(ISERROR(SEARCH("literature",H1)))</formula>
    </cfRule>
    <cfRule type="containsText" dxfId="69" priority="59" operator="containsText" text="guess">
      <formula>NOT(ISERROR(SEARCH("guess",H1)))</formula>
    </cfRule>
  </conditionalFormatting>
  <conditionalFormatting sqref="H1:I65 H74:I1048576">
    <cfRule type="containsText" dxfId="68" priority="53" operator="containsText" text="not used">
      <formula>NOT(ISERROR(SEARCH("not used",H1)))</formula>
    </cfRule>
    <cfRule type="containsText" dxfId="67" priority="54" operator="containsText" text="literature">
      <formula>NOT(ISERROR(SEARCH("literature",H1)))</formula>
    </cfRule>
    <cfRule type="containsText" dxfId="66" priority="55" operator="containsText" text="guess">
      <formula>NOT(ISERROR(SEARCH("guess",H1)))</formula>
    </cfRule>
    <cfRule type="containsText" dxfId="65" priority="56" operator="containsText" text="calc">
      <formula>NOT(ISERROR(SEARCH("calc",H1)))</formula>
    </cfRule>
    <cfRule type="containsText" dxfId="64" priority="57" operator="containsText" text="check">
      <formula>NOT(ISERROR(SEARCH("check",H1)))</formula>
    </cfRule>
  </conditionalFormatting>
  <conditionalFormatting sqref="I66:K70 A66:A70">
    <cfRule type="containsText" dxfId="63" priority="52" operator="containsText" text="calc">
      <formula>NOT(ISERROR(SEARCH("calc",A66)))</formula>
    </cfRule>
  </conditionalFormatting>
  <conditionalFormatting sqref="I66:I70">
    <cfRule type="containsText" dxfId="62" priority="50" operator="containsText" text="literature">
      <formula>NOT(ISERROR(SEARCH("literature",I66)))</formula>
    </cfRule>
    <cfRule type="containsText" dxfId="61" priority="51" operator="containsText" text="guess">
      <formula>NOT(ISERROR(SEARCH("guess",I66)))</formula>
    </cfRule>
  </conditionalFormatting>
  <conditionalFormatting sqref="I66:I70">
    <cfRule type="containsText" dxfId="60" priority="45" operator="containsText" text="not used">
      <formula>NOT(ISERROR(SEARCH("not used",I66)))</formula>
    </cfRule>
    <cfRule type="containsText" dxfId="59" priority="46" operator="containsText" text="literature">
      <formula>NOT(ISERROR(SEARCH("literature",I66)))</formula>
    </cfRule>
    <cfRule type="containsText" dxfId="58" priority="47" operator="containsText" text="guess">
      <formula>NOT(ISERROR(SEARCH("guess",I66)))</formula>
    </cfRule>
    <cfRule type="containsText" dxfId="57" priority="48" operator="containsText" text="calc">
      <formula>NOT(ISERROR(SEARCH("calc",I66)))</formula>
    </cfRule>
    <cfRule type="containsText" dxfId="56" priority="49" operator="containsText" text="check">
      <formula>NOT(ISERROR(SEARCH("check",I66)))</formula>
    </cfRule>
  </conditionalFormatting>
  <conditionalFormatting sqref="H66:H70">
    <cfRule type="containsText" dxfId="55" priority="44" operator="containsText" text="calc">
      <formula>NOT(ISERROR(SEARCH("calc",H66)))</formula>
    </cfRule>
  </conditionalFormatting>
  <conditionalFormatting sqref="H66:H70">
    <cfRule type="containsText" dxfId="54" priority="42" operator="containsText" text="literature">
      <formula>NOT(ISERROR(SEARCH("literature",H66)))</formula>
    </cfRule>
    <cfRule type="containsText" dxfId="53" priority="43" operator="containsText" text="guess">
      <formula>NOT(ISERROR(SEARCH("guess",H66)))</formula>
    </cfRule>
  </conditionalFormatting>
  <conditionalFormatting sqref="H66:H70">
    <cfRule type="containsText" dxfId="52" priority="37" operator="containsText" text="not used">
      <formula>NOT(ISERROR(SEARCH("not used",H66)))</formula>
    </cfRule>
    <cfRule type="containsText" dxfId="51" priority="38" operator="containsText" text="literature">
      <formula>NOT(ISERROR(SEARCH("literature",H66)))</formula>
    </cfRule>
    <cfRule type="containsText" dxfId="50" priority="39" operator="containsText" text="guess">
      <formula>NOT(ISERROR(SEARCH("guess",H66)))</formula>
    </cfRule>
    <cfRule type="containsText" dxfId="49" priority="40" operator="containsText" text="calc">
      <formula>NOT(ISERROR(SEARCH("calc",H66)))</formula>
    </cfRule>
    <cfRule type="containsText" dxfId="48" priority="41" operator="containsText" text="check">
      <formula>NOT(ISERROR(SEARCH("check",H66)))</formula>
    </cfRule>
  </conditionalFormatting>
  <conditionalFormatting sqref="H66:H70">
    <cfRule type="containsText" dxfId="47" priority="36" operator="containsText" text="internal data">
      <formula>NOT(ISERROR(SEARCH("internal data",H66)))</formula>
    </cfRule>
  </conditionalFormatting>
  <conditionalFormatting sqref="A72:G73 I71:K73">
    <cfRule type="containsText" dxfId="34" priority="35" operator="containsText" text="calc">
      <formula>NOT(ISERROR(SEARCH("calc",A71)))</formula>
    </cfRule>
  </conditionalFormatting>
  <conditionalFormatting sqref="I71:I73">
    <cfRule type="containsText" dxfId="33" priority="33" operator="containsText" text="literature">
      <formula>NOT(ISERROR(SEARCH("literature",I71)))</formula>
    </cfRule>
    <cfRule type="containsText" dxfId="32" priority="34" operator="containsText" text="guess">
      <formula>NOT(ISERROR(SEARCH("guess",I71)))</formula>
    </cfRule>
  </conditionalFormatting>
  <conditionalFormatting sqref="I71:I73">
    <cfRule type="containsText" dxfId="31" priority="28" operator="containsText" text="not used">
      <formula>NOT(ISERROR(SEARCH("not used",I71)))</formula>
    </cfRule>
    <cfRule type="containsText" dxfId="30" priority="29" operator="containsText" text="literature">
      <formula>NOT(ISERROR(SEARCH("literature",I71)))</formula>
    </cfRule>
    <cfRule type="containsText" dxfId="29" priority="30" operator="containsText" text="guess">
      <formula>NOT(ISERROR(SEARCH("guess",I71)))</formula>
    </cfRule>
    <cfRule type="containsText" dxfId="28" priority="31" operator="containsText" text="calc">
      <formula>NOT(ISERROR(SEARCH("calc",I71)))</formula>
    </cfRule>
    <cfRule type="containsText" dxfId="27" priority="32" operator="containsText" text="check">
      <formula>NOT(ISERROR(SEARCH("check",I71)))</formula>
    </cfRule>
  </conditionalFormatting>
  <conditionalFormatting sqref="H71">
    <cfRule type="containsText" dxfId="26" priority="27" operator="containsText" text="calc">
      <formula>NOT(ISERROR(SEARCH("calc",H71)))</formula>
    </cfRule>
  </conditionalFormatting>
  <conditionalFormatting sqref="H71">
    <cfRule type="containsText" dxfId="25" priority="25" operator="containsText" text="literature">
      <formula>NOT(ISERROR(SEARCH("literature",H71)))</formula>
    </cfRule>
    <cfRule type="containsText" dxfId="24" priority="26" operator="containsText" text="guess">
      <formula>NOT(ISERROR(SEARCH("guess",H71)))</formula>
    </cfRule>
  </conditionalFormatting>
  <conditionalFormatting sqref="H71">
    <cfRule type="containsText" dxfId="23" priority="20" operator="containsText" text="not used">
      <formula>NOT(ISERROR(SEARCH("not used",H71)))</formula>
    </cfRule>
    <cfRule type="containsText" dxfId="22" priority="21" operator="containsText" text="literature">
      <formula>NOT(ISERROR(SEARCH("literature",H71)))</formula>
    </cfRule>
    <cfRule type="containsText" dxfId="21" priority="22" operator="containsText" text="guess">
      <formula>NOT(ISERROR(SEARCH("guess",H71)))</formula>
    </cfRule>
    <cfRule type="containsText" dxfId="20" priority="23" operator="containsText" text="calc">
      <formula>NOT(ISERROR(SEARCH("calc",H71)))</formula>
    </cfRule>
    <cfRule type="containsText" dxfId="19" priority="24" operator="containsText" text="check">
      <formula>NOT(ISERROR(SEARCH("check",H71)))</formula>
    </cfRule>
  </conditionalFormatting>
  <conditionalFormatting sqref="H71">
    <cfRule type="containsText" dxfId="18" priority="19" operator="containsText" text="internal data">
      <formula>NOT(ISERROR(SEARCH("internal data",H71)))</formula>
    </cfRule>
  </conditionalFormatting>
  <conditionalFormatting sqref="H72">
    <cfRule type="containsText" dxfId="17" priority="18" operator="containsText" text="calc">
      <formula>NOT(ISERROR(SEARCH("calc",H72)))</formula>
    </cfRule>
  </conditionalFormatting>
  <conditionalFormatting sqref="H72">
    <cfRule type="containsText" dxfId="16" priority="16" operator="containsText" text="literature">
      <formula>NOT(ISERROR(SEARCH("literature",H72)))</formula>
    </cfRule>
    <cfRule type="containsText" dxfId="15" priority="17" operator="containsText" text="guess">
      <formula>NOT(ISERROR(SEARCH("guess",H72)))</formula>
    </cfRule>
  </conditionalFormatting>
  <conditionalFormatting sqref="H72">
    <cfRule type="containsText" dxfId="14" priority="11" operator="containsText" text="not used">
      <formula>NOT(ISERROR(SEARCH("not used",H72)))</formula>
    </cfRule>
    <cfRule type="containsText" dxfId="13" priority="12" operator="containsText" text="literature">
      <formula>NOT(ISERROR(SEARCH("literature",H72)))</formula>
    </cfRule>
    <cfRule type="containsText" dxfId="12" priority="13" operator="containsText" text="guess">
      <formula>NOT(ISERROR(SEARCH("guess",H72)))</formula>
    </cfRule>
    <cfRule type="containsText" dxfId="11" priority="14" operator="containsText" text="calc">
      <formula>NOT(ISERROR(SEARCH("calc",H72)))</formula>
    </cfRule>
    <cfRule type="containsText" dxfId="10" priority="15" operator="containsText" text="check">
      <formula>NOT(ISERROR(SEARCH("check",H72)))</formula>
    </cfRule>
  </conditionalFormatting>
  <conditionalFormatting sqref="H72">
    <cfRule type="containsText" dxfId="9" priority="10" operator="containsText" text="internal data">
      <formula>NOT(ISERROR(SEARCH("internal data",H72)))</formula>
    </cfRule>
  </conditionalFormatting>
  <conditionalFormatting sqref="H73">
    <cfRule type="containsText" dxfId="8" priority="9" operator="containsText" text="calc">
      <formula>NOT(ISERROR(SEARCH("calc",H73)))</formula>
    </cfRule>
  </conditionalFormatting>
  <conditionalFormatting sqref="H73">
    <cfRule type="containsText" dxfId="7" priority="7" operator="containsText" text="literature">
      <formula>NOT(ISERROR(SEARCH("literature",H73)))</formula>
    </cfRule>
    <cfRule type="containsText" dxfId="6" priority="8" operator="containsText" text="guess">
      <formula>NOT(ISERROR(SEARCH("guess",H73)))</formula>
    </cfRule>
  </conditionalFormatting>
  <conditionalFormatting sqref="H73">
    <cfRule type="containsText" dxfId="5" priority="2" operator="containsText" text="not used">
      <formula>NOT(ISERROR(SEARCH("not used",H73)))</formula>
    </cfRule>
    <cfRule type="containsText" dxfId="4" priority="3" operator="containsText" text="literature">
      <formula>NOT(ISERROR(SEARCH("literature",H73)))</formula>
    </cfRule>
    <cfRule type="containsText" dxfId="3" priority="4" operator="containsText" text="guess">
      <formula>NOT(ISERROR(SEARCH("guess",H73)))</formula>
    </cfRule>
    <cfRule type="containsText" dxfId="2" priority="5" operator="containsText" text="calc">
      <formula>NOT(ISERROR(SEARCH("calc",H73)))</formula>
    </cfRule>
    <cfRule type="containsText" dxfId="1" priority="6" operator="containsText" text="check">
      <formula>NOT(ISERROR(SEARCH("check",H73)))</formula>
    </cfRule>
  </conditionalFormatting>
  <conditionalFormatting sqref="H73">
    <cfRule type="containsText" dxfId="0" priority="1" operator="containsText" text="internal data">
      <formula>NOT(ISERROR(SEARCH("internal data",H73)))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44</vt:i4>
      </vt:variant>
    </vt:vector>
  </HeadingPairs>
  <TitlesOfParts>
    <vt:vector size="45" baseType="lpstr">
      <vt:lpstr>Sheet1</vt:lpstr>
      <vt:lpstr>ABCdrug</vt:lpstr>
      <vt:lpstr>ABCsol</vt:lpstr>
      <vt:lpstr>Cavg</vt:lpstr>
      <vt:lpstr>CL</vt:lpstr>
      <vt:lpstr>Dose</vt:lpstr>
      <vt:lpstr>eps</vt:lpstr>
      <vt:lpstr>k12D</vt:lpstr>
      <vt:lpstr>k13D</vt:lpstr>
      <vt:lpstr>k13d_prop</vt:lpstr>
      <vt:lpstr>k13d_thurber</vt:lpstr>
      <vt:lpstr>k13DS</vt:lpstr>
      <vt:lpstr>k13S</vt:lpstr>
      <vt:lpstr>k21D</vt:lpstr>
      <vt:lpstr>k31D</vt:lpstr>
      <vt:lpstr>k31D_prop</vt:lpstr>
      <vt:lpstr>k31D_thurber</vt:lpstr>
      <vt:lpstr>Kd</vt:lpstr>
      <vt:lpstr>keD</vt:lpstr>
      <vt:lpstr>keD3_</vt:lpstr>
      <vt:lpstr>keDM3</vt:lpstr>
      <vt:lpstr>keDMtot</vt:lpstr>
      <vt:lpstr>keM3_</vt:lpstr>
      <vt:lpstr>koff</vt:lpstr>
      <vt:lpstr>kon</vt:lpstr>
      <vt:lpstr>kshed</vt:lpstr>
      <vt:lpstr>kshedDM3</vt:lpstr>
      <vt:lpstr>kshedM3</vt:lpstr>
      <vt:lpstr>M30_</vt:lpstr>
      <vt:lpstr>MWS</vt:lpstr>
      <vt:lpstr>P</vt:lpstr>
      <vt:lpstr>Q</vt:lpstr>
      <vt:lpstr>Rcap</vt:lpstr>
      <vt:lpstr>Rkrogh</vt:lpstr>
      <vt:lpstr>Tau</vt:lpstr>
      <vt:lpstr>Vc</vt:lpstr>
      <vt:lpstr>VcDS</vt:lpstr>
      <vt:lpstr>VcS</vt:lpstr>
      <vt:lpstr>VD1_</vt:lpstr>
      <vt:lpstr>VD2_</vt:lpstr>
      <vt:lpstr>VD3_</vt:lpstr>
      <vt:lpstr>Vp</vt:lpstr>
      <vt:lpstr>Vtum</vt:lpstr>
      <vt:lpstr>VtumDS</vt:lpstr>
      <vt:lpstr>VtumS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2018-12-20T20:10:05Z</dcterms:modified>
</cp:coreProperties>
</file>