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xr:revisionPtr revIDLastSave="0" documentId="13_ncr:1_{02E230CC-4662-C54A-8F0D-2BFDC454D006}" xr6:coauthVersionLast="34" xr6:coauthVersionMax="34" xr10:uidLastSave="{00000000-0000-0000-0000-000000000000}"/>
  <bookViews>
    <workbookView xWindow="4700" yWindow="460" windowWidth="24100" windowHeight="16900" tabRatio="500" xr2:uid="{00000000-000D-0000-FFFF-FFFF00000000}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3">Sheet1!$F$42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DM1">Sheet1!$F$44</definedName>
    <definedName name="kshedDM3">Sheet1!$F$46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0" i="1" l="1"/>
  <c r="F69" i="1"/>
  <c r="I70" i="1"/>
  <c r="I69" i="1"/>
  <c r="F46" i="1" l="1"/>
  <c r="F76" i="1" s="1"/>
  <c r="F77" i="1" s="1"/>
  <c r="F21" i="1"/>
  <c r="F20" i="1"/>
  <c r="F73" i="1"/>
  <c r="F75" i="1"/>
  <c r="F72" i="1"/>
  <c r="F71" i="1"/>
  <c r="F13" i="1"/>
  <c r="F60" i="1"/>
  <c r="F61" i="1" s="1"/>
  <c r="F65" i="1"/>
  <c r="F66" i="1"/>
  <c r="F68" i="1" s="1"/>
  <c r="F36" i="1"/>
  <c r="F45" i="1"/>
  <c r="F38" i="1"/>
  <c r="F35" i="1"/>
  <c r="F37" i="1" s="1"/>
  <c r="F25" i="1"/>
  <c r="F23" i="1"/>
  <c r="F22" i="1"/>
  <c r="F55" i="1"/>
  <c r="F64" i="1"/>
  <c r="F59" i="1"/>
  <c r="F14" i="1"/>
  <c r="F10" i="1"/>
  <c r="F11" i="1"/>
  <c r="F12" i="1"/>
  <c r="F9" i="1"/>
  <c r="F49" i="1"/>
  <c r="F50" i="1"/>
  <c r="F51" i="1"/>
  <c r="F48" i="1"/>
  <c r="F17" i="1"/>
  <c r="F5" i="1"/>
  <c r="I75" i="1"/>
  <c r="I61" i="1"/>
  <c r="I29" i="1"/>
  <c r="I34" i="1"/>
  <c r="I67" i="1"/>
  <c r="I37" i="1"/>
  <c r="I23" i="1"/>
  <c r="I11" i="1"/>
  <c r="I9" i="1"/>
  <c r="I13" i="1"/>
  <c r="I40" i="1"/>
  <c r="I6" i="1"/>
  <c r="I42" i="1"/>
  <c r="I19" i="1"/>
  <c r="I35" i="1"/>
  <c r="I48" i="1"/>
  <c r="I17" i="1"/>
  <c r="I50" i="1"/>
  <c r="I56" i="1"/>
  <c r="I59" i="1"/>
  <c r="I15" i="1"/>
  <c r="I30" i="1"/>
  <c r="I64" i="1"/>
  <c r="I58" i="1"/>
  <c r="I5" i="1"/>
  <c r="I47" i="1"/>
  <c r="I46" i="1"/>
  <c r="I4" i="1"/>
  <c r="I41" i="1"/>
  <c r="I12" i="1"/>
  <c r="I51" i="1"/>
  <c r="I52" i="1"/>
  <c r="I53" i="1"/>
  <c r="I60" i="1"/>
  <c r="I31" i="1"/>
  <c r="I32" i="1"/>
  <c r="I73" i="1"/>
  <c r="I2" i="1"/>
  <c r="I24" i="1"/>
  <c r="I21" i="1"/>
  <c r="I76" i="1"/>
  <c r="I26" i="1"/>
  <c r="I8" i="1"/>
  <c r="I27" i="1"/>
  <c r="I20" i="1"/>
  <c r="I38" i="1"/>
  <c r="I66" i="1"/>
  <c r="I71" i="1"/>
  <c r="I3" i="1"/>
  <c r="I57" i="1"/>
  <c r="I36" i="1"/>
  <c r="I22" i="1"/>
  <c r="I68" i="1"/>
  <c r="I54" i="1"/>
  <c r="I78" i="1"/>
  <c r="I62" i="1"/>
  <c r="I43" i="1"/>
  <c r="I44" i="1"/>
  <c r="I16" i="1"/>
  <c r="I63" i="1"/>
  <c r="I18" i="1"/>
  <c r="I33" i="1"/>
  <c r="I14" i="1"/>
  <c r="I49" i="1"/>
  <c r="I45" i="1"/>
  <c r="I55" i="1"/>
  <c r="I10" i="1"/>
  <c r="I77" i="1"/>
  <c r="I25" i="1"/>
  <c r="I65" i="1"/>
  <c r="I28" i="1"/>
  <c r="I72" i="1"/>
  <c r="I79" i="1"/>
  <c r="I39" i="1"/>
  <c r="I74" i="1"/>
  <c r="I7" i="1"/>
  <c r="F53" i="1" l="1"/>
  <c r="F63" i="1"/>
  <c r="F62" i="1"/>
  <c r="F67" i="1"/>
</calcChain>
</file>

<file path=xl/sharedStrings.xml><?xml version="1.0" encoding="utf-8"?>
<sst xmlns="http://schemas.openxmlformats.org/spreadsheetml/2006/main" count="507" uniqueCount="200">
  <si>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</si>
  <si>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</si>
  <si>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</si>
  <si>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</si>
  <si>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</si>
  <si>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</si>
  <si>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</si>
  <si>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</si>
  <si>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</si>
  <si>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</si>
  <si>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</si>
  <si>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</si>
  <si>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</si>
  <si>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</si>
  <si>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</si>
  <si>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</si>
  <si>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</si>
  <si>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</si>
  <si>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</si>
  <si>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</si>
  <si>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</si>
  <si>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</si>
  <si>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</si>
  <si>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</si>
  <si>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</si>
  <si>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</si>
  <si>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</si>
  <si>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</si>
  <si>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</si>
  <si>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</si>
  <si>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</si>
  <si>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</si>
  <si>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</si>
  <si>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</si>
  <si>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</si>
  <si>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</si>
  <si>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</si>
  <si>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</si>
  <si>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</si>
  <si>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</si>
  <si>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</si>
  <si>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</si>
  <si>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</si>
  <si>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</si>
  <si>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</si>
  <si>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</si>
  <si>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</si>
  <si>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</si>
  <si>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</si>
  <si>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</si>
  <si>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</si>
  <si>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</si>
  <si>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</si>
  <si>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</si>
  <si>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</si>
  <si>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</si>
  <si>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</si>
  <si>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</si>
  <si>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</si>
  <si>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</si>
  <si>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</si>
  <si>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</si>
  <si>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</si>
  <si>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</si>
  <si>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</si>
  <si>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</si>
  <si>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</si>
  <si>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</si>
  <si>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</si>
  <si>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</si>
  <si>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</si>
  <si>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</si>
  <si>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</si>
  <si>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</si>
  <si>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</si>
  <si>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</si>
  <si>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</si>
  <si>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</si>
  <si>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</si>
  <si>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</si>
  <si>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</si>
  <si>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</si>
  <si>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</si>
  <si>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</si>
  <si>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</si>
  <si>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</si>
  <si>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</si>
  <si>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</si>
  <si>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</si>
  <si>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</si>
  <si>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</si>
  <si>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</si>
  <si>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</si>
  <si>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</si>
  <si>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</si>
  <si>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</si>
  <si>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</si>
  <si>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</si>
  <si>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</si>
  <si>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</si>
  <si>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</si>
  <si>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</si>
  <si>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</si>
  <si>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</si>
  <si>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</si>
  <si>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</si>
  <si>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</si>
  <si>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</si>
  <si>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</si>
  <si>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</si>
  <si>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</si>
  <si>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</si>
  <si>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</si>
  <si>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</si>
  <si>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</si>
  <si>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</si>
  <si>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</si>
  <si>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</si>
  <si>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</si>
  <si>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</si>
  <si>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</si>
  <si>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</si>
  <si>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</si>
  <si>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</si>
  <si>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</si>
  <si>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</si>
  <si>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</si>
  <si>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</si>
  <si>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</si>
  <si>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</si>
  <si>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</si>
  <si>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</si>
  <si>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</si>
  <si>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</si>
  <si>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</si>
  <si>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</si>
  <si>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</si>
  <si>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</si>
  <si>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</si>
  <si>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</si>
  <si>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</si>
  <si>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</si>
  <si>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</si>
  <si>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</si>
  <si>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</si>
  <si>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</si>
  <si>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</si>
  <si>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</si>
  <si>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</si>
  <si>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</si>
  <si>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</si>
  <si>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</si>
  <si>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</si>
  <si>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</si>
  <si>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</si>
  <si>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</si>
  <si>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</si>
  <si>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</si>
  <si>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</si>
  <si>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</si>
  <si>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</si>
  <si>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</si>
  <si>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</si>
  <si>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</si>
  <si>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</si>
  <si>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</si>
  <si>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</si>
  <si>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</si>
  <si>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</si>
  <si>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</si>
  <si>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</si>
  <si>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</si>
  <si>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</si>
  <si>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</si>
  <si>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</si>
  <si>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</si>
  <si>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</si>
  <si>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</si>
  <si>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</si>
  <si>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</si>
  <si>
    <t>Assume it's equal to k31D</t>
  </si>
  <si>
    <t>scale by volume</t>
  </si>
  <si>
    <t>Dose</t>
  </si>
  <si>
    <t>nmol</t>
  </si>
  <si>
    <t>15 mg/kg dose (1200 mg)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</si>
  <si>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</si>
  <si>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</si>
  <si>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</si>
  <si>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</si>
  <si>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</si>
  <si>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</si>
  <si>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</si>
  <si>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</si>
  <si>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</si>
  <si>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</si>
  <si>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</si>
  <si>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</si>
  <si>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calc/guess</t>
  </si>
  <si>
    <t>Ayyar18, Table 4 kin https://doi.org/10.1007/s10928-018-9585-x(012 345678,9-().volV)(0123456789().,-volV)</t>
  </si>
  <si>
    <t>Ayyar18, Table 4 kout https://doi.org/10.1007/s10928-018-9585-x(012 345678,9-().volV)(0123456789().,-volV)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</si>
</sst>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41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9" totalsRowShown="0" headerRowDxfId="20" dataDxfId="19">
  <autoFilter ref="A1:J79" xr:uid="{00000000-0009-0000-0100-000001000000}"/>
  <tableColumns count="10">
    <tableColumn id="1" xr3:uid="{00000000-0010-0000-0000-000001000000}" name="Order" dataDxfId="18"/>
    <tableColumn id="2" xr3:uid="{00000000-0010-0000-0000-000002000000}" name="ParamType" dataDxfId="17"/>
    <tableColumn id="3" xr3:uid="{00000000-0010-0000-0000-000003000000}" name="Molecule" dataDxfId="16"/>
    <tableColumn id="4" xr3:uid="{00000000-0010-0000-0000-000004000000}" name="Description" dataDxfId="15"/>
    <tableColumn id="5" xr3:uid="{00000000-0010-0000-0000-000005000000}" name="Parameter" dataDxfId="14"/>
    <tableColumn id="6" xr3:uid="{00000000-0010-0000-0000-000006000000}" name="Value" dataDxfId="13"/>
    <tableColumn id="7" xr3:uid="{00000000-0010-0000-0000-000007000000}" name="Units" dataDxfId="12"/>
    <tableColumn id="8" xr3:uid="{00000000-0010-0000-0000-000008000000}" name="Source" dataDxfId="11"/>
    <tableColumn id="10" xr3:uid="{00000000-0010-0000-0000-00000A000000}" name="Formula" dataDxfId="10">
      <calculatedColumnFormula>_xlfn.IFNA(_xlfn.FORMULATEXT(F2),"")</calculatedColumnFormula>
    </tableColumn>
    <tableColumn id="9" xr3:uid="{00000000-0010-0000-0000-000009000000}" name="Comment or Reference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topLeftCell="A46" zoomScale="99" workbookViewId="0">
      <selection activeCell="D64" sqref="D64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4" t="str">
        <f t="shared" ca="1" si="0"/>
        <v/>
      </c>
      <c r="J4" s="9" t="s">
        <v>149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149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4" t="str">
        <f t="shared" ca="1" si="0"/>
        <v/>
      </c>
      <c r="J7" s="9" t="s">
        <v>149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4" t="str">
        <f t="shared" ca="1" si="0"/>
        <v/>
      </c>
      <c r="J8" s="9" t="s">
        <v>149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173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173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4" t="str">
        <f t="shared" ca="1" si="0"/>
        <v/>
      </c>
      <c r="J16" s="9" t="s">
        <v>153</v>
      </c>
    </row>
    <row r="17" spans="1:10" s="10" customFormat="1" x14ac:dyDescent="0.2">
      <c r="A17" s="8">
        <v>16</v>
      </c>
      <c r="B17" s="8" t="s">
        <v>173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4" t="str">
        <f t="shared" ca="1" si="0"/>
        <v>=MWS</v>
      </c>
      <c r="J17" s="9" t="s">
        <v>154</v>
      </c>
    </row>
    <row r="18" spans="1:10" s="10" customFormat="1" x14ac:dyDescent="0.2">
      <c r="A18" s="8">
        <v>17</v>
      </c>
      <c r="B18" s="8" t="s">
        <v>173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4" t="str">
        <f t="shared" ca="1" si="0"/>
        <v/>
      </c>
      <c r="J18" s="9" t="s">
        <v>150</v>
      </c>
    </row>
    <row r="19" spans="1:10" s="10" customFormat="1" x14ac:dyDescent="0.2">
      <c r="A19" s="8">
        <v>18</v>
      </c>
      <c r="B19" s="8" t="s">
        <v>173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4" t="str">
        <f t="shared" ca="1" si="0"/>
        <v/>
      </c>
      <c r="J19" s="9" t="s">
        <v>151</v>
      </c>
    </row>
    <row r="20" spans="1:10" s="6" customFormat="1" x14ac:dyDescent="0.2">
      <c r="A20" s="8">
        <v>19</v>
      </c>
      <c r="B20" s="8" t="s">
        <v>173</v>
      </c>
      <c r="C20" s="8" t="s">
        <v>73</v>
      </c>
      <c r="D20" s="8" t="s">
        <v>75</v>
      </c>
      <c r="E20" s="2" t="s">
        <v>18</v>
      </c>
      <c r="F20" s="12">
        <f>F19</f>
        <v>3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173</v>
      </c>
      <c r="C21" s="8" t="s">
        <v>73</v>
      </c>
      <c r="D21" s="8" t="s">
        <v>76</v>
      </c>
      <c r="E21" s="2" t="s">
        <v>15</v>
      </c>
      <c r="F21" s="12">
        <f>Kd*koff</f>
        <v>1.2000000000000002</v>
      </c>
      <c r="G21" s="2" t="s">
        <v>20</v>
      </c>
      <c r="H21" s="2" t="s">
        <v>53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173</v>
      </c>
      <c r="C22" s="8" t="s">
        <v>73</v>
      </c>
      <c r="D22" s="8" t="s">
        <v>76</v>
      </c>
      <c r="E22" s="2" t="s">
        <v>17</v>
      </c>
      <c r="F22" s="12">
        <f>kon</f>
        <v>1.2000000000000002</v>
      </c>
      <c r="G22" s="2" t="s">
        <v>20</v>
      </c>
      <c r="H22" s="2" t="s">
        <v>53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174</v>
      </c>
      <c r="C23" s="8"/>
      <c r="D23" s="8" t="s">
        <v>158</v>
      </c>
      <c r="E23" s="2" t="s">
        <v>152</v>
      </c>
      <c r="F23" s="21">
        <f>3/MWS</f>
        <v>7.4999999999999997E-2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155</v>
      </c>
    </row>
    <row r="24" spans="1:10" s="23" customFormat="1" x14ac:dyDescent="0.2">
      <c r="A24" s="8">
        <v>23</v>
      </c>
      <c r="B24" s="8" t="s">
        <v>174</v>
      </c>
      <c r="C24" s="8"/>
      <c r="D24" s="8"/>
      <c r="E24" s="2" t="s">
        <v>159</v>
      </c>
      <c r="F24" s="12">
        <v>60</v>
      </c>
      <c r="G24" s="2" t="s">
        <v>3</v>
      </c>
      <c r="H24" s="2" t="s">
        <v>156</v>
      </c>
      <c r="I24" s="14" t="str">
        <f ca="1">_xlfn.IFNA(_xlfn.FORMULATEXT(F24),"")</f>
        <v/>
      </c>
      <c r="J24" s="9" t="s">
        <v>157</v>
      </c>
    </row>
    <row r="25" spans="1:10" s="23" customFormat="1" x14ac:dyDescent="0.2">
      <c r="A25" s="8">
        <v>24</v>
      </c>
      <c r="B25" s="8" t="s">
        <v>174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156</v>
      </c>
      <c r="I25" s="14" t="str">
        <f ca="1">_xlfn.IFNA(_xlfn.FORMULATEXT(F25),"")</f>
        <v>=S1acc*keDS1</v>
      </c>
      <c r="J25" s="9" t="s">
        <v>157</v>
      </c>
    </row>
    <row r="26" spans="1:10" s="23" customFormat="1" x14ac:dyDescent="0.2">
      <c r="A26" s="8">
        <v>25</v>
      </c>
      <c r="B26" s="8" t="s">
        <v>174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156</v>
      </c>
      <c r="I26" s="14" t="str">
        <f t="shared" ref="I26:I52" ca="1" si="1">_xlfn.IFNA(_xlfn.FORMULATEXT(F26),"")</f>
        <v/>
      </c>
      <c r="J26" s="9" t="s">
        <v>157</v>
      </c>
    </row>
    <row r="27" spans="1:10" s="23" customFormat="1" x14ac:dyDescent="0.2">
      <c r="A27" s="8">
        <v>26</v>
      </c>
      <c r="B27" s="8" t="s">
        <v>174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174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174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176</v>
      </c>
    </row>
    <row r="30" spans="1:10" s="6" customFormat="1" x14ac:dyDescent="0.2">
      <c r="A30" s="8">
        <v>29</v>
      </c>
      <c r="B30" s="8" t="s">
        <v>174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176</v>
      </c>
    </row>
    <row r="31" spans="1:10" s="6" customFormat="1" x14ac:dyDescent="0.2">
      <c r="A31" s="8">
        <v>30</v>
      </c>
      <c r="B31" s="8" t="s">
        <v>174</v>
      </c>
      <c r="C31" s="8" t="s">
        <v>78</v>
      </c>
      <c r="D31" s="8" t="s">
        <v>161</v>
      </c>
      <c r="E31" s="2" t="s">
        <v>162</v>
      </c>
      <c r="F31" s="3">
        <v>15000</v>
      </c>
      <c r="G31" s="2" t="s">
        <v>3</v>
      </c>
      <c r="H31" s="2" t="s">
        <v>53</v>
      </c>
      <c r="I31" s="14" t="str">
        <f t="shared" ca="1" si="1"/>
        <v/>
      </c>
      <c r="J31" s="9" t="s">
        <v>171</v>
      </c>
    </row>
    <row r="32" spans="1:10" s="6" customFormat="1" x14ac:dyDescent="0.2">
      <c r="A32" s="8">
        <v>31</v>
      </c>
      <c r="B32" s="8" t="s">
        <v>174</v>
      </c>
      <c r="C32" s="8"/>
      <c r="D32" s="8" t="s">
        <v>163</v>
      </c>
      <c r="E32" s="2" t="s">
        <v>164</v>
      </c>
      <c r="F32" s="24">
        <v>300000000000</v>
      </c>
      <c r="G32" s="2" t="s">
        <v>165</v>
      </c>
      <c r="H32" s="2" t="s">
        <v>53</v>
      </c>
      <c r="I32" s="14" t="str">
        <f t="shared" ca="1" si="1"/>
        <v/>
      </c>
      <c r="J32" s="9" t="s">
        <v>170</v>
      </c>
    </row>
    <row r="33" spans="1:10" s="6" customFormat="1" x14ac:dyDescent="0.2">
      <c r="A33" s="8">
        <v>32</v>
      </c>
      <c r="B33" s="8" t="s">
        <v>174</v>
      </c>
      <c r="C33" s="8"/>
      <c r="D33" s="8" t="s">
        <v>168</v>
      </c>
      <c r="E33" s="2" t="s">
        <v>169</v>
      </c>
      <c r="F33" s="24">
        <v>6000000000</v>
      </c>
      <c r="G33" s="2" t="s">
        <v>165</v>
      </c>
      <c r="H33" s="2" t="s">
        <v>53</v>
      </c>
      <c r="I33" s="14" t="str">
        <f ca="1">_xlfn.IFNA(_xlfn.FORMULATEXT(F33),"")</f>
        <v/>
      </c>
      <c r="J33" s="9" t="s">
        <v>172</v>
      </c>
    </row>
    <row r="34" spans="1:10" s="6" customFormat="1" x14ac:dyDescent="0.2">
      <c r="A34" s="8">
        <v>33</v>
      </c>
      <c r="B34" s="8" t="s">
        <v>174</v>
      </c>
      <c r="C34" s="8"/>
      <c r="D34" s="8" t="s">
        <v>166</v>
      </c>
      <c r="E34" s="2" t="s">
        <v>167</v>
      </c>
      <c r="F34" s="3">
        <v>1</v>
      </c>
      <c r="G34" s="2" t="s">
        <v>3</v>
      </c>
      <c r="H34" s="2" t="s">
        <v>54</v>
      </c>
      <c r="I34" s="14" t="str">
        <f t="shared" ca="1" si="1"/>
        <v/>
      </c>
      <c r="J34" s="9" t="s">
        <v>177</v>
      </c>
    </row>
    <row r="35" spans="1:10" s="6" customFormat="1" x14ac:dyDescent="0.2">
      <c r="A35" s="8">
        <v>34</v>
      </c>
      <c r="B35" s="8" t="s">
        <v>174</v>
      </c>
      <c r="C35" s="8" t="s">
        <v>78</v>
      </c>
      <c r="D35" s="8" t="s">
        <v>114</v>
      </c>
      <c r="E35" s="2" t="s">
        <v>160</v>
      </c>
      <c r="F35" s="16">
        <f>Npercell*Rhoblood*Mfrac/6.02E+23*1000000000</f>
        <v>0.14950166112956811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174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7.4750830564784057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174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174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174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178</v>
      </c>
    </row>
    <row r="40" spans="1:10" s="6" customFormat="1" x14ac:dyDescent="0.2">
      <c r="A40" s="8">
        <v>39</v>
      </c>
      <c r="B40" s="8" t="s">
        <v>174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178</v>
      </c>
    </row>
    <row r="41" spans="1:10" s="6" customFormat="1" x14ac:dyDescent="0.2">
      <c r="A41" s="8">
        <v>40</v>
      </c>
      <c r="B41" s="8" t="s">
        <v>174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178</v>
      </c>
    </row>
    <row r="42" spans="1:10" s="6" customFormat="1" x14ac:dyDescent="0.2">
      <c r="A42" s="8">
        <v>41</v>
      </c>
      <c r="B42" s="8" t="s">
        <v>174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178</v>
      </c>
    </row>
    <row r="43" spans="1:10" s="6" customFormat="1" x14ac:dyDescent="0.2">
      <c r="A43" s="8">
        <v>42</v>
      </c>
      <c r="B43" s="8" t="s">
        <v>174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179</v>
      </c>
    </row>
    <row r="44" spans="1:10" s="6" customFormat="1" x14ac:dyDescent="0.2">
      <c r="A44" s="8">
        <v>43</v>
      </c>
      <c r="B44" s="8" t="s">
        <v>174</v>
      </c>
      <c r="C44" s="8" t="s">
        <v>81</v>
      </c>
      <c r="D44" s="8" t="s">
        <v>95</v>
      </c>
      <c r="E44" s="2" t="s">
        <v>97</v>
      </c>
      <c r="F44" s="13">
        <v>6</v>
      </c>
      <c r="G44" s="18" t="s">
        <v>4</v>
      </c>
      <c r="H44" s="18" t="s">
        <v>54</v>
      </c>
      <c r="I44" s="22" t="str">
        <f t="shared" ca="1" si="1"/>
        <v/>
      </c>
      <c r="J44" s="19"/>
    </row>
    <row r="45" spans="1:10" s="6" customFormat="1" x14ac:dyDescent="0.2">
      <c r="A45" s="8">
        <v>44</v>
      </c>
      <c r="B45" s="8" t="s">
        <v>174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174</v>
      </c>
      <c r="C46" s="8" t="s">
        <v>81</v>
      </c>
      <c r="D46" s="8" t="s">
        <v>80</v>
      </c>
      <c r="E46" s="2" t="s">
        <v>40</v>
      </c>
      <c r="F46" s="3">
        <f>kshedDM1</f>
        <v>6</v>
      </c>
      <c r="G46" s="2" t="s">
        <v>4</v>
      </c>
      <c r="H46" s="2" t="s">
        <v>52</v>
      </c>
      <c r="I46" s="14" t="str">
        <f t="shared" ca="1" si="1"/>
        <v>=kshedDM1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175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0.33333333333333331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175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175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175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175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175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175</v>
      </c>
      <c r="C59" s="8" t="s">
        <v>68</v>
      </c>
      <c r="D59" s="8" t="s">
        <v>141</v>
      </c>
      <c r="E59" s="2" t="s">
        <v>128</v>
      </c>
      <c r="F59" s="3">
        <f>k31D_thurber*VD3_/VD1_</f>
        <v>2.2478048780487807E-2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175</v>
      </c>
      <c r="C60" s="8" t="s">
        <v>68</v>
      </c>
      <c r="D60" s="8" t="s">
        <v>142</v>
      </c>
      <c r="E60" s="2" t="s">
        <v>129</v>
      </c>
      <c r="F60" s="3">
        <f>k12D*VD3_/VD2_</f>
        <v>4.5857689981858504E-3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175</v>
      </c>
      <c r="C61" s="8" t="s">
        <v>68</v>
      </c>
      <c r="D61" s="8" t="s">
        <v>88</v>
      </c>
      <c r="E61" s="2" t="s">
        <v>11</v>
      </c>
      <c r="F61" s="13">
        <f>k13d_prop</f>
        <v>4.5857689981858504E-3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175</v>
      </c>
      <c r="C62" s="8" t="s">
        <v>70</v>
      </c>
      <c r="D62" s="8" t="s">
        <v>88</v>
      </c>
      <c r="E62" s="2" t="s">
        <v>28</v>
      </c>
      <c r="F62" s="3">
        <f>2*k13D</f>
        <v>9.1715379963717009E-3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175</v>
      </c>
      <c r="C63" s="8" t="s">
        <v>71</v>
      </c>
      <c r="D63" s="8" t="s">
        <v>88</v>
      </c>
      <c r="E63" s="2" t="s">
        <v>30</v>
      </c>
      <c r="F63" s="3">
        <f>k13D</f>
        <v>4.5857689981858504E-3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175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194</v>
      </c>
    </row>
    <row r="65" spans="1:10" s="6" customFormat="1" x14ac:dyDescent="0.2">
      <c r="A65" s="8">
        <v>64</v>
      </c>
      <c r="B65" s="8" t="s">
        <v>175</v>
      </c>
      <c r="C65" s="8" t="s">
        <v>68</v>
      </c>
      <c r="D65" s="8" t="s">
        <v>144</v>
      </c>
      <c r="E65" s="2" t="s">
        <v>131</v>
      </c>
      <c r="F65" s="13">
        <f>VD1_/VD3_*k13d_prop*3</f>
        <v>0.45123966942148763</v>
      </c>
      <c r="G65" s="18" t="s">
        <v>4</v>
      </c>
      <c r="H65" s="18" t="s">
        <v>197</v>
      </c>
      <c r="I65" s="22" t="str">
        <f t="shared" ca="1" si="2"/>
        <v>=VD1_/VD3_*k13d_prop*3</v>
      </c>
      <c r="J65" s="19" t="s">
        <v>148</v>
      </c>
    </row>
    <row r="66" spans="1:10" s="6" customFormat="1" x14ac:dyDescent="0.2">
      <c r="A66" s="8">
        <v>65</v>
      </c>
      <c r="B66" s="8" t="s">
        <v>175</v>
      </c>
      <c r="C66" s="8" t="s">
        <v>68</v>
      </c>
      <c r="D66" s="8" t="s">
        <v>145</v>
      </c>
      <c r="E66" s="2" t="s">
        <v>12</v>
      </c>
      <c r="F66" s="13">
        <f>k31D_prop</f>
        <v>0.45123966942148763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175</v>
      </c>
      <c r="C67" s="8" t="s">
        <v>70</v>
      </c>
      <c r="D67" s="8" t="s">
        <v>145</v>
      </c>
      <c r="E67" s="2" t="s">
        <v>29</v>
      </c>
      <c r="F67" s="3">
        <f>2*k31D</f>
        <v>0.90247933884297526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175</v>
      </c>
      <c r="C68" s="8" t="s">
        <v>71</v>
      </c>
      <c r="D68" s="8" t="s">
        <v>145</v>
      </c>
      <c r="E68" s="2" t="s">
        <v>31</v>
      </c>
      <c r="F68" s="3">
        <f>k31D</f>
        <v>0.45123966942148763</v>
      </c>
      <c r="G68" s="2" t="s">
        <v>4</v>
      </c>
      <c r="H68" s="2" t="s">
        <v>52</v>
      </c>
      <c r="I68" s="12" t="str">
        <f t="shared" ca="1" si="2"/>
        <v>=k31D</v>
      </c>
      <c r="J68" s="9" t="s">
        <v>180</v>
      </c>
    </row>
    <row r="69" spans="1:10" s="11" customFormat="1" ht="32" x14ac:dyDescent="0.2">
      <c r="A69" s="8">
        <v>68</v>
      </c>
      <c r="B69" s="8" t="s">
        <v>175</v>
      </c>
      <c r="C69" s="8" t="s">
        <v>78</v>
      </c>
      <c r="D69" s="8" t="s">
        <v>88</v>
      </c>
      <c r="E69" s="2" t="s">
        <v>100</v>
      </c>
      <c r="F69" s="3">
        <f>0.002*24</f>
        <v>4.8000000000000001E-2</v>
      </c>
      <c r="G69" s="2" t="s">
        <v>4</v>
      </c>
      <c r="H69" s="2" t="s">
        <v>53</v>
      </c>
      <c r="I69" s="12" t="str">
        <f t="shared" ca="1" si="2"/>
        <v>=0.002*24</v>
      </c>
      <c r="J69" s="15" t="s">
        <v>198</v>
      </c>
    </row>
    <row r="70" spans="1:10" s="10" customFormat="1" x14ac:dyDescent="0.2">
      <c r="A70" s="8">
        <v>69</v>
      </c>
      <c r="B70" s="8" t="s">
        <v>175</v>
      </c>
      <c r="C70" s="8" t="s">
        <v>78</v>
      </c>
      <c r="D70" s="8" t="s">
        <v>89</v>
      </c>
      <c r="E70" s="2" t="s">
        <v>101</v>
      </c>
      <c r="F70" s="3">
        <f>0.23*24</f>
        <v>5.5200000000000005</v>
      </c>
      <c r="G70" s="2" t="s">
        <v>4</v>
      </c>
      <c r="H70" s="2" t="s">
        <v>53</v>
      </c>
      <c r="I70" s="12" t="str">
        <f t="shared" ca="1" si="2"/>
        <v>=0.23*24</v>
      </c>
      <c r="J70" s="12" t="s">
        <v>199</v>
      </c>
    </row>
    <row r="71" spans="1:10" s="6" customFormat="1" x14ac:dyDescent="0.2">
      <c r="A71" s="8">
        <v>70</v>
      </c>
      <c r="B71" s="8" t="s">
        <v>175</v>
      </c>
      <c r="C71" s="8" t="s">
        <v>81</v>
      </c>
      <c r="D71" s="8" t="s">
        <v>88</v>
      </c>
      <c r="E71" s="2" t="s">
        <v>102</v>
      </c>
      <c r="F71" s="3">
        <f>k13M</f>
        <v>4.8000000000000001E-2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175</v>
      </c>
      <c r="C72" s="8" t="s">
        <v>81</v>
      </c>
      <c r="D72" s="8" t="s">
        <v>89</v>
      </c>
      <c r="E72" s="2" t="s">
        <v>103</v>
      </c>
      <c r="F72" s="3">
        <f>k31M</f>
        <v>5.5200000000000005</v>
      </c>
      <c r="G72" s="2" t="s">
        <v>4</v>
      </c>
      <c r="H72" s="2" t="s">
        <v>52</v>
      </c>
      <c r="I72" s="12" t="str">
        <f t="shared" ca="1" si="2"/>
        <v>=k31M</v>
      </c>
      <c r="J72" s="12" t="s">
        <v>181</v>
      </c>
    </row>
    <row r="73" spans="1:10" s="6" customFormat="1" x14ac:dyDescent="0.2">
      <c r="A73" s="8">
        <v>72</v>
      </c>
      <c r="B73" s="8" t="s">
        <v>182</v>
      </c>
      <c r="C73" s="8" t="s">
        <v>68</v>
      </c>
      <c r="D73" s="8" t="s">
        <v>182</v>
      </c>
      <c r="E73" s="2" t="s">
        <v>182</v>
      </c>
      <c r="F73" s="3">
        <f>1200*6.67</f>
        <v>8004</v>
      </c>
      <c r="G73" s="2" t="s">
        <v>183</v>
      </c>
      <c r="H73" s="2" t="s">
        <v>53</v>
      </c>
      <c r="I73" s="12" t="str">
        <f t="shared" ca="1" si="2"/>
        <v>=1200*6.67</v>
      </c>
      <c r="J73" s="9" t="s">
        <v>184</v>
      </c>
    </row>
    <row r="74" spans="1:10" s="6" customFormat="1" x14ac:dyDescent="0.2">
      <c r="A74" s="8">
        <v>73</v>
      </c>
      <c r="B74" s="8" t="s">
        <v>182</v>
      </c>
      <c r="C74" s="8" t="s">
        <v>68</v>
      </c>
      <c r="D74" s="8" t="s">
        <v>187</v>
      </c>
      <c r="E74" s="2" t="s">
        <v>186</v>
      </c>
      <c r="F74" s="3">
        <v>21</v>
      </c>
      <c r="G74" s="2" t="s">
        <v>188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190</v>
      </c>
      <c r="E75" s="2" t="s">
        <v>185</v>
      </c>
      <c r="F75" s="3">
        <f>Dose/(CL*Tau)</f>
        <v>1905.7142857142856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174</v>
      </c>
      <c r="C76" s="8" t="s">
        <v>81</v>
      </c>
      <c r="D76" s="8" t="s">
        <v>192</v>
      </c>
      <c r="E76" s="2" t="s">
        <v>193</v>
      </c>
      <c r="F76" s="3">
        <f>kshedDM3+keDM3</f>
        <v>6</v>
      </c>
      <c r="G76" s="2" t="s">
        <v>4</v>
      </c>
      <c r="H76" s="2" t="s">
        <v>52</v>
      </c>
      <c r="I76" s="12" t="str">
        <f t="shared" ca="1" si="2"/>
        <v>=kshedDM3+keDM3</v>
      </c>
      <c r="J76" s="10"/>
    </row>
    <row r="77" spans="1:10" s="6" customFormat="1" x14ac:dyDescent="0.2">
      <c r="A77" s="8">
        <v>76</v>
      </c>
      <c r="B77" s="8" t="s">
        <v>175</v>
      </c>
      <c r="C77" s="8" t="s">
        <v>81</v>
      </c>
      <c r="D77" s="8" t="s">
        <v>191</v>
      </c>
      <c r="E77" s="2" t="s">
        <v>189</v>
      </c>
      <c r="F77" s="16">
        <f>keDMtot*M30_/(k31D_thurber*Cavg)</f>
        <v>3.1921039843450377E-2</v>
      </c>
      <c r="G77" s="17" t="s">
        <v>3</v>
      </c>
      <c r="H77" s="17" t="s">
        <v>195</v>
      </c>
      <c r="I77" s="21" t="str">
        <f t="shared" ca="1" si="2"/>
        <v>=keDMtot*M30_/(k31D_thurber*Cavg)</v>
      </c>
      <c r="J77" s="9" t="s">
        <v>196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40" priority="39" operator="containsText" text="derived">
      <formula>NOT(ISERROR(SEARCH("derived",F293)))</formula>
    </cfRule>
  </conditionalFormatting>
  <conditionalFormatting sqref="J8">
    <cfRule type="expression" dxfId="39" priority="37">
      <formula>$H2="fit"</formula>
    </cfRule>
  </conditionalFormatting>
  <conditionalFormatting sqref="H55:I58 K55:K58 D58 C55:C58 J25:J28 K24:K28 K31:K34 I24:J24 G35:G36 H24:I38 B53:K53 B47:H52 I37:I66 A1:K3 C37:G38 C24:G30 B24:B46 C54:K54 A80:K1048576 B71:H72 B54:B68 B4:K23 A79:H79 J29:K30 C39:H46 J35:K52 C35:E36 C59:K68 A4:A77 I71:K79 K69:K70 B69:C70">
    <cfRule type="containsText" dxfId="38" priority="36" operator="containsText" text="calc">
      <formula>NOT(ISERROR(SEARCH("calc",A1)))</formula>
    </cfRule>
  </conditionalFormatting>
  <conditionalFormatting sqref="H80:I1048576 H79 H1:I68 I71:I79 H71:H72">
    <cfRule type="containsText" dxfId="37" priority="34" operator="containsText" text="literature">
      <formula>NOT(ISERROR(SEARCH("literature",H1)))</formula>
    </cfRule>
    <cfRule type="containsText" dxfId="36" priority="35" operator="containsText" text="guess">
      <formula>NOT(ISERROR(SEARCH("guess",H1)))</formula>
    </cfRule>
  </conditionalFormatting>
  <conditionalFormatting sqref="H1:I38 I37:I52 H80:I1048576 H79 H39:H52 H53:I68 I71:I79 H71:H72">
    <cfRule type="containsText" dxfId="35" priority="29" operator="containsText" text="not used">
      <formula>NOT(ISERROR(SEARCH("not used",H1)))</formula>
    </cfRule>
    <cfRule type="containsText" dxfId="34" priority="30" operator="containsText" text="literature">
      <formula>NOT(ISERROR(SEARCH("literature",H1)))</formula>
    </cfRule>
    <cfRule type="containsText" dxfId="33" priority="31" operator="containsText" text="guess">
      <formula>NOT(ISERROR(SEARCH("guess",H1)))</formula>
    </cfRule>
    <cfRule type="containsText" dxfId="32" priority="32" operator="containsText" text="calc">
      <formula>NOT(ISERROR(SEARCH("calc",H1)))</formula>
    </cfRule>
    <cfRule type="containsText" dxfId="31" priority="33" operator="containsText" text="check">
      <formula>NOT(ISERROR(SEARCH("check",H1)))</formula>
    </cfRule>
  </conditionalFormatting>
  <conditionalFormatting sqref="H79:H1048576 H1:H68 H71:H72">
    <cfRule type="containsText" dxfId="30" priority="28" operator="containsText" text="internal data">
      <formula>NOT(ISERROR(SEARCH("internal data",H1)))</formula>
    </cfRule>
  </conditionalFormatting>
  <conditionalFormatting sqref="H73:H77">
    <cfRule type="containsText" dxfId="29" priority="18" operator="containsText" text="calc">
      <formula>NOT(ISERROR(SEARCH("calc",H73)))</formula>
    </cfRule>
  </conditionalFormatting>
  <conditionalFormatting sqref="H73:H77">
    <cfRule type="containsText" dxfId="28" priority="16" operator="containsText" text="literature">
      <formula>NOT(ISERROR(SEARCH("literature",H73)))</formula>
    </cfRule>
    <cfRule type="containsText" dxfId="27" priority="17" operator="containsText" text="guess">
      <formula>NOT(ISERROR(SEARCH("guess",H73)))</formula>
    </cfRule>
  </conditionalFormatting>
  <conditionalFormatting sqref="H73:H77">
    <cfRule type="containsText" dxfId="26" priority="11" operator="containsText" text="not used">
      <formula>NOT(ISERROR(SEARCH("not used",H73)))</formula>
    </cfRule>
    <cfRule type="containsText" dxfId="25" priority="12" operator="containsText" text="literature">
      <formula>NOT(ISERROR(SEARCH("literature",H73)))</formula>
    </cfRule>
    <cfRule type="containsText" dxfId="24" priority="13" operator="containsText" text="guess">
      <formula>NOT(ISERROR(SEARCH("guess",H73)))</formula>
    </cfRule>
    <cfRule type="containsText" dxfId="23" priority="14" operator="containsText" text="calc">
      <formula>NOT(ISERROR(SEARCH("calc",H73)))</formula>
    </cfRule>
    <cfRule type="containsText" dxfId="22" priority="15" operator="containsText" text="check">
      <formula>NOT(ISERROR(SEARCH("check",H73)))</formula>
    </cfRule>
  </conditionalFormatting>
  <conditionalFormatting sqref="H73:H77">
    <cfRule type="containsText" dxfId="21" priority="10" operator="containsText" text="internal data">
      <formula>NOT(ISERROR(SEARCH("internal data",H73)))</formula>
    </cfRule>
  </conditionalFormatting>
  <conditionalFormatting sqref="D69:J70">
    <cfRule type="containsText" dxfId="8" priority="9" operator="containsText" text="calc">
      <formula>NOT(ISERROR(SEARCH("calc",D69)))</formula>
    </cfRule>
  </conditionalFormatting>
  <conditionalFormatting sqref="H69:I70">
    <cfRule type="containsText" dxfId="7" priority="7" operator="containsText" text="literature">
      <formula>NOT(ISERROR(SEARCH("literature",H69)))</formula>
    </cfRule>
    <cfRule type="containsText" dxfId="6" priority="8" operator="containsText" text="guess">
      <formula>NOT(ISERROR(SEARCH("guess",H69)))</formula>
    </cfRule>
  </conditionalFormatting>
  <conditionalFormatting sqref="H69:I70">
    <cfRule type="containsText" dxfId="5" priority="2" operator="containsText" text="not used">
      <formula>NOT(ISERROR(SEARCH("not used",H69)))</formula>
    </cfRule>
    <cfRule type="containsText" dxfId="4" priority="3" operator="containsText" text="literature">
      <formula>NOT(ISERROR(SEARCH("literature",H69)))</formula>
    </cfRule>
    <cfRule type="containsText" dxfId="3" priority="4" operator="containsText" text="guess">
      <formula>NOT(ISERROR(SEARCH("guess",H69)))</formula>
    </cfRule>
    <cfRule type="containsText" dxfId="2" priority="5" operator="containsText" text="calc">
      <formula>NOT(ISERROR(SEARCH("calc",H69)))</formula>
    </cfRule>
    <cfRule type="containsText" dxfId="1" priority="6" operator="containsText" text="check">
      <formula>NOT(ISERROR(SEARCH("check",H69)))</formula>
    </cfRule>
  </conditionalFormatting>
  <conditionalFormatting sqref="H69:H70">
    <cfRule type="containsText" dxfId="0" priority="1" operator="containsText" text="internal data">
      <formula>NOT(ISERROR(SEARCH("internal data",H69)))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Sheet1</vt:lpstr>
      <vt:lpstr>ABCdrug</vt:lpstr>
      <vt:lpstr>ABCsol</vt:lpstr>
      <vt:lpstr>Cavg</vt:lpstr>
      <vt:lpstr>CL</vt:lpstr>
      <vt:lpstr>Dose</vt:lpstr>
      <vt:lpstr>eps</vt:lpstr>
      <vt:lpstr>k12D</vt:lpstr>
      <vt:lpstr>k13D</vt:lpstr>
      <vt:lpstr>k13d_prop</vt:lpstr>
      <vt:lpstr>k13d_thurber</vt:lpstr>
      <vt:lpstr>k13DS</vt:lpstr>
      <vt:lpstr>k13M</vt:lpstr>
      <vt:lpstr>k13S</vt:lpstr>
      <vt:lpstr>k21D</vt:lpstr>
      <vt:lpstr>k31D</vt:lpstr>
      <vt:lpstr>k31D_prop</vt:lpstr>
      <vt:lpstr>k31D_thurber</vt:lpstr>
      <vt:lpstr>k31M</vt:lpstr>
      <vt:lpstr>Kd</vt:lpstr>
      <vt:lpstr>keD</vt:lpstr>
      <vt:lpstr>keD3_</vt:lpstr>
      <vt:lpstr>keDM3</vt:lpstr>
      <vt:lpstr>keDMtot</vt:lpstr>
      <vt:lpstr>keDS1</vt:lpstr>
      <vt:lpstr>keM</vt:lpstr>
      <vt:lpstr>keM3_</vt:lpstr>
      <vt:lpstr>koff</vt:lpstr>
      <vt:lpstr>kon</vt:lpstr>
      <vt:lpstr>kshed</vt:lpstr>
      <vt:lpstr>kshedDM1</vt:lpstr>
      <vt:lpstr>kshedDM3</vt:lpstr>
      <vt:lpstr>kshedM1</vt:lpstr>
      <vt:lpstr>kshedM3</vt:lpstr>
      <vt:lpstr>M10_</vt:lpstr>
      <vt:lpstr>M30_</vt:lpstr>
      <vt:lpstr>Mfrac</vt:lpstr>
      <vt:lpstr>MWS</vt:lpstr>
      <vt:lpstr>Npercell</vt:lpstr>
      <vt:lpstr>P</vt:lpstr>
      <vt:lpstr>Q</vt:lpstr>
      <vt:lpstr>Rcap</vt:lpstr>
      <vt:lpstr>Rho</vt:lpstr>
      <vt:lpstr>Rhoblood</vt:lpstr>
      <vt:lpstr>Rkrogh</vt:lpstr>
      <vt:lpstr>S10_</vt:lpstr>
      <vt:lpstr>S1acc</vt:lpstr>
      <vt:lpstr>Tau</vt:lpstr>
      <vt:lpstr>Tfrac</vt:lpstr>
      <vt:lpstr>Vc</vt:lpstr>
      <vt:lpstr>VcDS</vt:lpstr>
      <vt:lpstr>VcS</vt:lpstr>
      <vt:lpstr>VD1_</vt:lpstr>
      <vt:lpstr>VD2_</vt:lpstr>
      <vt:lpstr>VD3_</vt:lpstr>
      <vt:lpstr>VDS1_</vt:lpstr>
      <vt:lpstr>Vp</vt:lpstr>
      <vt:lpstr>VS1_</vt:lpstr>
      <vt:lpstr>Vtum</vt:lpstr>
      <vt:lpstr>VtumDS</vt:lpstr>
      <vt:lpstr>VtumS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2018-07-18T14:44:01Z</dcterms:modified>
</cp:coreProperties>
</file>