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1180" yWindow="460" windowWidth="26960" windowHeight="162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L">Sheet1!$F$4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d">Sheet1!$F$18</definedName>
    <definedName name="keD">Sheet1!$F$5</definedName>
    <definedName name="keD3_">Sheet1!$F$52</definedName>
    <definedName name="keDS1">Sheet1!$F$26</definedName>
    <definedName name="keM3_">Sheet1!$F$40</definedName>
    <definedName name="koff">Sheet1!$F$18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p">Sheet1!$F$8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F37" i="1"/>
  <c r="F46" i="1"/>
  <c r="F45" i="1"/>
  <c r="F4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F35" i="1"/>
  <c r="I33" i="1"/>
  <c r="F36" i="1"/>
  <c r="I26" i="1"/>
  <c r="I27" i="1"/>
  <c r="I28" i="1"/>
  <c r="I29" i="1"/>
  <c r="I30" i="1"/>
  <c r="I31" i="1"/>
  <c r="I32" i="1"/>
  <c r="I34" i="1"/>
  <c r="I35" i="1"/>
  <c r="I36" i="1"/>
  <c r="F25" i="1"/>
  <c r="I24" i="1"/>
  <c r="F23" i="1"/>
  <c r="I23" i="1"/>
  <c r="F21" i="1"/>
  <c r="F22" i="1"/>
  <c r="F20" i="1"/>
  <c r="F13" i="1"/>
  <c r="F60" i="1"/>
  <c r="F65" i="1"/>
  <c r="F66" i="1"/>
  <c r="F61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<sst xmlns="http://schemas.openxmlformats.org/spreadsheetml/2006/main" count="472" uniqueCount="182">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</sst>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58"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57" dataDxfId="56">
  <autoFilter ref="A1:J79"/>
  <tableColumns count="10">
    <tableColumn id="1" name="Order" dataDxfId="55"/>
    <tableColumn id="2" name="ParamType" dataDxfId="54"/>
    <tableColumn id="3" name="Molecule" dataDxfId="53"/>
    <tableColumn id="4" name="Description" dataDxfId="52"/>
    <tableColumn id="5" name="Parameter" dataDxfId="4"/>
    <tableColumn id="6" name="Value" dataDxfId="2"/>
    <tableColumn id="7" name="Units" dataDxfId="3"/>
    <tableColumn id="8" name="Source" dataDxfId="51"/>
    <tableColumn id="10" name="Formula" dataDxfId="50">
      <calculatedColumnFormula>_xlfn.IFNA(_xlfn.FORMULATEXT(F2),"")</calculatedColumnFormula>
    </tableColumn>
    <tableColumn id="9" name="Comment or Reference" dataDxfId="4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zoomScale="99" workbookViewId="0">
      <selection activeCell="F72" sqref="F72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134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120</v>
      </c>
      <c r="I2" s="15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120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5" t="str">
        <f t="shared" ca="1" si="0"/>
        <v/>
      </c>
      <c r="J4" s="9" t="s">
        <v>151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5" t="str">
        <f t="shared" ca="1" si="0"/>
        <v/>
      </c>
      <c r="J6" s="9" t="s">
        <v>151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5" t="str">
        <f t="shared" ca="1" si="0"/>
        <v/>
      </c>
      <c r="J7" s="9" t="s">
        <v>151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5" t="str">
        <f t="shared" ca="1" si="0"/>
        <v/>
      </c>
      <c r="J8" s="9" t="s">
        <v>151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5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5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5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5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5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175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5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175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5" t="str">
        <f t="shared" ca="1" si="0"/>
        <v/>
      </c>
      <c r="J16" s="9" t="s">
        <v>155</v>
      </c>
    </row>
    <row r="17" spans="1:10" s="10" customFormat="1" x14ac:dyDescent="0.2">
      <c r="A17" s="8">
        <v>16</v>
      </c>
      <c r="B17" s="8" t="s">
        <v>175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5" t="str">
        <f t="shared" ca="1" si="0"/>
        <v>=MWS</v>
      </c>
      <c r="J17" s="9" t="s">
        <v>156</v>
      </c>
    </row>
    <row r="18" spans="1:10" s="10" customFormat="1" x14ac:dyDescent="0.2">
      <c r="A18" s="8">
        <v>17</v>
      </c>
      <c r="B18" s="8" t="s">
        <v>175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5" t="str">
        <f t="shared" ca="1" si="0"/>
        <v/>
      </c>
      <c r="J18" s="9" t="s">
        <v>152</v>
      </c>
    </row>
    <row r="19" spans="1:10" s="10" customFormat="1" x14ac:dyDescent="0.2">
      <c r="A19" s="8">
        <v>18</v>
      </c>
      <c r="B19" s="8" t="s">
        <v>175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5" t="str">
        <f t="shared" ca="1" si="0"/>
        <v/>
      </c>
      <c r="J19" s="9" t="s">
        <v>153</v>
      </c>
    </row>
    <row r="20" spans="1:10" s="6" customFormat="1" x14ac:dyDescent="0.2">
      <c r="A20" s="8">
        <v>19</v>
      </c>
      <c r="B20" s="8" t="s">
        <v>175</v>
      </c>
      <c r="C20" s="8" t="s">
        <v>73</v>
      </c>
      <c r="D20" s="8" t="s">
        <v>75</v>
      </c>
      <c r="E20" s="2" t="s">
        <v>18</v>
      </c>
      <c r="F20" s="12">
        <f>koff</f>
        <v>0.4</v>
      </c>
      <c r="G20" s="2" t="s">
        <v>4</v>
      </c>
      <c r="H20" s="2" t="s">
        <v>52</v>
      </c>
      <c r="I20" s="15" t="str">
        <f t="shared" ca="1" si="0"/>
        <v>=koff</v>
      </c>
      <c r="J20" s="9"/>
    </row>
    <row r="21" spans="1:10" s="6" customFormat="1" x14ac:dyDescent="0.2">
      <c r="A21" s="8">
        <v>20</v>
      </c>
      <c r="B21" s="8" t="s">
        <v>175</v>
      </c>
      <c r="C21" s="8" t="s">
        <v>73</v>
      </c>
      <c r="D21" s="8" t="s">
        <v>76</v>
      </c>
      <c r="E21" s="2" t="s">
        <v>15</v>
      </c>
      <c r="F21" s="12">
        <f>Kd*koff</f>
        <v>0.16000000000000003</v>
      </c>
      <c r="G21" s="2" t="s">
        <v>20</v>
      </c>
      <c r="H21" s="2" t="s">
        <v>53</v>
      </c>
      <c r="I21" s="15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175</v>
      </c>
      <c r="C22" s="8" t="s">
        <v>73</v>
      </c>
      <c r="D22" s="8" t="s">
        <v>76</v>
      </c>
      <c r="E22" s="2" t="s">
        <v>17</v>
      </c>
      <c r="F22" s="12">
        <f>kon</f>
        <v>0.16000000000000003</v>
      </c>
      <c r="G22" s="2" t="s">
        <v>20</v>
      </c>
      <c r="H22" s="2" t="s">
        <v>53</v>
      </c>
      <c r="I22" s="15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176</v>
      </c>
      <c r="C23" s="8"/>
      <c r="D23" s="8" t="s">
        <v>160</v>
      </c>
      <c r="E23" s="2" t="s">
        <v>154</v>
      </c>
      <c r="F23" s="22">
        <f>3/MWS</f>
        <v>7.4999999999999997E-2</v>
      </c>
      <c r="G23" s="18" t="s">
        <v>51</v>
      </c>
      <c r="H23" s="2" t="s">
        <v>53</v>
      </c>
      <c r="I23" s="21" t="str">
        <f ca="1">_xlfn.IFNA(_xlfn.FORMULATEXT(F23),"")</f>
        <v>=3/MWS</v>
      </c>
      <c r="J23" s="22" t="s">
        <v>157</v>
      </c>
    </row>
    <row r="24" spans="1:10" s="24" customFormat="1" x14ac:dyDescent="0.2">
      <c r="A24" s="8">
        <v>23</v>
      </c>
      <c r="B24" s="8" t="s">
        <v>176</v>
      </c>
      <c r="C24" s="8"/>
      <c r="D24" s="8"/>
      <c r="E24" s="2" t="s">
        <v>161</v>
      </c>
      <c r="F24" s="12">
        <v>60</v>
      </c>
      <c r="G24" s="2" t="s">
        <v>3</v>
      </c>
      <c r="H24" s="2" t="s">
        <v>158</v>
      </c>
      <c r="I24" s="15" t="str">
        <f ca="1">_xlfn.IFNA(_xlfn.FORMULATEXT(F24),"")</f>
        <v/>
      </c>
      <c r="J24" s="9" t="s">
        <v>159</v>
      </c>
    </row>
    <row r="25" spans="1:10" s="24" customFormat="1" x14ac:dyDescent="0.2">
      <c r="A25" s="8">
        <v>24</v>
      </c>
      <c r="B25" s="8" t="s">
        <v>176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158</v>
      </c>
      <c r="I25" s="15" t="str">
        <f ca="1">_xlfn.IFNA(_xlfn.FORMULATEXT(F25),"")</f>
        <v>=S1acc*keDS1</v>
      </c>
      <c r="J25" s="9" t="s">
        <v>159</v>
      </c>
    </row>
    <row r="26" spans="1:10" s="24" customFormat="1" x14ac:dyDescent="0.2">
      <c r="A26" s="8">
        <v>25</v>
      </c>
      <c r="B26" s="8" t="s">
        <v>176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158</v>
      </c>
      <c r="I26" s="15" t="str">
        <f t="shared" ref="I26:I52" ca="1" si="1">_xlfn.IFNA(_xlfn.FORMULATEXT(F26),"")</f>
        <v/>
      </c>
      <c r="J26" s="9" t="s">
        <v>159</v>
      </c>
    </row>
    <row r="27" spans="1:10" s="24" customFormat="1" x14ac:dyDescent="0.2">
      <c r="A27" s="8">
        <v>26</v>
      </c>
      <c r="B27" s="8" t="s">
        <v>176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120</v>
      </c>
      <c r="I27" s="15" t="str">
        <f t="shared" ca="1" si="1"/>
        <v/>
      </c>
      <c r="J27" s="9" t="s">
        <v>93</v>
      </c>
    </row>
    <row r="28" spans="1:10" s="24" customFormat="1" x14ac:dyDescent="0.2">
      <c r="A28" s="8">
        <v>27</v>
      </c>
      <c r="B28" s="8" t="s">
        <v>176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120</v>
      </c>
      <c r="I28" s="15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176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120</v>
      </c>
      <c r="I29" s="15" t="str">
        <f t="shared" ca="1" si="1"/>
        <v/>
      </c>
      <c r="J29" s="9" t="s">
        <v>178</v>
      </c>
    </row>
    <row r="30" spans="1:10" s="6" customFormat="1" x14ac:dyDescent="0.2">
      <c r="A30" s="8">
        <v>29</v>
      </c>
      <c r="B30" s="8" t="s">
        <v>176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120</v>
      </c>
      <c r="I30" s="15" t="str">
        <f t="shared" ca="1" si="1"/>
        <v/>
      </c>
      <c r="J30" s="9" t="s">
        <v>178</v>
      </c>
    </row>
    <row r="31" spans="1:10" s="6" customFormat="1" x14ac:dyDescent="0.2">
      <c r="A31" s="8">
        <v>30</v>
      </c>
      <c r="B31" s="8" t="s">
        <v>176</v>
      </c>
      <c r="C31" s="8" t="s">
        <v>78</v>
      </c>
      <c r="D31" s="8" t="s">
        <v>163</v>
      </c>
      <c r="E31" s="2" t="s">
        <v>164</v>
      </c>
      <c r="F31" s="3">
        <v>15000</v>
      </c>
      <c r="G31" s="2" t="s">
        <v>3</v>
      </c>
      <c r="H31" s="2" t="s">
        <v>53</v>
      </c>
      <c r="I31" s="15" t="str">
        <f t="shared" ca="1" si="1"/>
        <v/>
      </c>
      <c r="J31" s="9" t="s">
        <v>173</v>
      </c>
    </row>
    <row r="32" spans="1:10" s="6" customFormat="1" x14ac:dyDescent="0.2">
      <c r="A32" s="8">
        <v>31</v>
      </c>
      <c r="B32" s="8" t="s">
        <v>176</v>
      </c>
      <c r="C32" s="8"/>
      <c r="D32" s="8" t="s">
        <v>165</v>
      </c>
      <c r="E32" s="2" t="s">
        <v>166</v>
      </c>
      <c r="F32" s="25">
        <v>300000000000</v>
      </c>
      <c r="G32" s="2" t="s">
        <v>167</v>
      </c>
      <c r="H32" s="2" t="s">
        <v>53</v>
      </c>
      <c r="I32" s="15" t="str">
        <f t="shared" ca="1" si="1"/>
        <v/>
      </c>
      <c r="J32" s="9" t="s">
        <v>172</v>
      </c>
    </row>
    <row r="33" spans="1:10" s="6" customFormat="1" x14ac:dyDescent="0.2">
      <c r="A33" s="8">
        <v>32</v>
      </c>
      <c r="B33" s="8" t="s">
        <v>176</v>
      </c>
      <c r="C33" s="8"/>
      <c r="D33" s="8" t="s">
        <v>170</v>
      </c>
      <c r="E33" s="2" t="s">
        <v>171</v>
      </c>
      <c r="F33" s="25">
        <v>6000000000</v>
      </c>
      <c r="G33" s="2" t="s">
        <v>167</v>
      </c>
      <c r="H33" s="2" t="s">
        <v>53</v>
      </c>
      <c r="I33" s="15" t="str">
        <f ca="1">_xlfn.IFNA(_xlfn.FORMULATEXT(F33),"")</f>
        <v/>
      </c>
      <c r="J33" s="9" t="s">
        <v>174</v>
      </c>
    </row>
    <row r="34" spans="1:10" s="6" customFormat="1" x14ac:dyDescent="0.2">
      <c r="A34" s="8">
        <v>33</v>
      </c>
      <c r="B34" s="8" t="s">
        <v>176</v>
      </c>
      <c r="C34" s="8"/>
      <c r="D34" s="8" t="s">
        <v>168</v>
      </c>
      <c r="E34" s="2" t="s">
        <v>169</v>
      </c>
      <c r="F34" s="3">
        <v>1</v>
      </c>
      <c r="G34" s="2" t="s">
        <v>3</v>
      </c>
      <c r="H34" s="2" t="s">
        <v>54</v>
      </c>
      <c r="I34" s="15" t="str">
        <f t="shared" ca="1" si="1"/>
        <v/>
      </c>
      <c r="J34" s="9" t="s">
        <v>179</v>
      </c>
    </row>
    <row r="35" spans="1:10" s="6" customFormat="1" x14ac:dyDescent="0.2">
      <c r="A35" s="8">
        <v>34</v>
      </c>
      <c r="B35" s="8" t="s">
        <v>176</v>
      </c>
      <c r="C35" s="8" t="s">
        <v>78</v>
      </c>
      <c r="D35" s="8" t="s">
        <v>114</v>
      </c>
      <c r="E35" s="2" t="s">
        <v>162</v>
      </c>
      <c r="F35" s="17">
        <f>Npercell*Rhoblood*Mfrac/6.02E+23*1000000000</f>
        <v>0.14950166112956811</v>
      </c>
      <c r="G35" s="18" t="s">
        <v>51</v>
      </c>
      <c r="H35" s="18" t="s">
        <v>52</v>
      </c>
      <c r="I35" s="21" t="str">
        <f t="shared" ca="1" si="1"/>
        <v>=Npercell*Rhoblood*Mfrac/6.02E+23*1000000000</v>
      </c>
      <c r="J35" s="22"/>
    </row>
    <row r="36" spans="1:10" s="6" customFormat="1" x14ac:dyDescent="0.2">
      <c r="A36" s="8">
        <v>35</v>
      </c>
      <c r="B36" s="8" t="s">
        <v>176</v>
      </c>
      <c r="C36" s="8" t="s">
        <v>78</v>
      </c>
      <c r="D36" s="8" t="s">
        <v>114</v>
      </c>
      <c r="E36" s="2" t="s">
        <v>115</v>
      </c>
      <c r="F36" s="17">
        <f>Npercell*Rho*Mfrac/6.02E+23*1000000000</f>
        <v>7.4750830564784057</v>
      </c>
      <c r="G36" s="18" t="s">
        <v>51</v>
      </c>
      <c r="H36" s="18" t="s">
        <v>52</v>
      </c>
      <c r="I36" s="21" t="str">
        <f t="shared" ca="1" si="1"/>
        <v>=Npercell*Rho*Mfrac/6.02E+23*1000000000</v>
      </c>
      <c r="J36" s="22"/>
    </row>
    <row r="37" spans="1:10" s="6" customFormat="1" x14ac:dyDescent="0.2">
      <c r="A37" s="8">
        <v>36</v>
      </c>
      <c r="B37" s="8" t="s">
        <v>176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5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176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5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176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120</v>
      </c>
      <c r="I39" s="15" t="str">
        <f t="shared" ca="1" si="1"/>
        <v/>
      </c>
      <c r="J39" s="9" t="s">
        <v>180</v>
      </c>
    </row>
    <row r="40" spans="1:10" s="6" customFormat="1" x14ac:dyDescent="0.2">
      <c r="A40" s="8">
        <v>39</v>
      </c>
      <c r="B40" s="8" t="s">
        <v>176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120</v>
      </c>
      <c r="I40" s="15" t="str">
        <f t="shared" ca="1" si="1"/>
        <v/>
      </c>
      <c r="J40" s="9" t="s">
        <v>180</v>
      </c>
    </row>
    <row r="41" spans="1:10" s="6" customFormat="1" x14ac:dyDescent="0.2">
      <c r="A41" s="8">
        <v>40</v>
      </c>
      <c r="B41" s="8" t="s">
        <v>176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120</v>
      </c>
      <c r="I41" s="15" t="str">
        <f t="shared" ca="1" si="1"/>
        <v/>
      </c>
      <c r="J41" s="9" t="s">
        <v>180</v>
      </c>
    </row>
    <row r="42" spans="1:10" s="6" customFormat="1" x14ac:dyDescent="0.2">
      <c r="A42" s="8">
        <v>41</v>
      </c>
      <c r="B42" s="8" t="s">
        <v>176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120</v>
      </c>
      <c r="I42" s="15" t="str">
        <f t="shared" ca="1" si="1"/>
        <v/>
      </c>
      <c r="J42" s="9" t="s">
        <v>180</v>
      </c>
    </row>
    <row r="43" spans="1:10" s="6" customFormat="1" x14ac:dyDescent="0.2">
      <c r="A43" s="8">
        <v>42</v>
      </c>
      <c r="B43" s="8" t="s">
        <v>176</v>
      </c>
      <c r="C43" s="8" t="s">
        <v>78</v>
      </c>
      <c r="D43" s="8" t="s">
        <v>95</v>
      </c>
      <c r="E43" s="2" t="s">
        <v>96</v>
      </c>
      <c r="F43" s="3">
        <v>3</v>
      </c>
      <c r="G43" s="2" t="s">
        <v>4</v>
      </c>
      <c r="H43" s="2" t="s">
        <v>54</v>
      </c>
      <c r="I43" s="15" t="str">
        <f t="shared" ca="1" si="1"/>
        <v/>
      </c>
      <c r="J43" s="9" t="s">
        <v>181</v>
      </c>
    </row>
    <row r="44" spans="1:10" s="6" customFormat="1" x14ac:dyDescent="0.2">
      <c r="A44" s="8">
        <v>43</v>
      </c>
      <c r="B44" s="8" t="s">
        <v>176</v>
      </c>
      <c r="C44" s="8" t="s">
        <v>81</v>
      </c>
      <c r="D44" s="8" t="s">
        <v>95</v>
      </c>
      <c r="E44" s="2" t="s">
        <v>97</v>
      </c>
      <c r="F44" s="3">
        <f>kshedM1</f>
        <v>3</v>
      </c>
      <c r="G44" s="2" t="s">
        <v>4</v>
      </c>
      <c r="H44" s="2" t="s">
        <v>52</v>
      </c>
      <c r="I44" s="15" t="str">
        <f t="shared" ca="1" si="1"/>
        <v>=kshedM1</v>
      </c>
      <c r="J44" s="9"/>
    </row>
    <row r="45" spans="1:10" s="6" customFormat="1" x14ac:dyDescent="0.2">
      <c r="A45" s="8">
        <v>44</v>
      </c>
      <c r="B45" s="8" t="s">
        <v>176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5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176</v>
      </c>
      <c r="C46" s="8" t="s">
        <v>81</v>
      </c>
      <c r="D46" s="8" t="s">
        <v>80</v>
      </c>
      <c r="E46" s="2" t="s">
        <v>40</v>
      </c>
      <c r="F46" s="3">
        <f>kshedM1</f>
        <v>3</v>
      </c>
      <c r="G46" s="2" t="s">
        <v>4</v>
      </c>
      <c r="H46" s="2" t="s">
        <v>52</v>
      </c>
      <c r="I46" s="15" t="str">
        <f t="shared" ca="1" si="1"/>
        <v>=kshedM1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4">
        <v>0.1</v>
      </c>
      <c r="G47" s="19" t="s">
        <v>2</v>
      </c>
      <c r="H47" s="2" t="s">
        <v>54</v>
      </c>
      <c r="I47" s="23" t="str">
        <f t="shared" ca="1" si="1"/>
        <v/>
      </c>
      <c r="J47" s="20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5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5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5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5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120</v>
      </c>
      <c r="I52" s="15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177</v>
      </c>
      <c r="C53" s="8" t="s">
        <v>68</v>
      </c>
      <c r="D53" s="8" t="s">
        <v>117</v>
      </c>
      <c r="E53" s="2" t="s">
        <v>117</v>
      </c>
      <c r="F53" s="17">
        <f>k13D*(Vc/Vtum)/(keD3_+k31D)</f>
        <v>0.33333333333333331</v>
      </c>
      <c r="G53" s="18" t="s">
        <v>3</v>
      </c>
      <c r="H53" s="2" t="s">
        <v>136</v>
      </c>
      <c r="I53" s="21" t="str">
        <f t="shared" ref="I53:I79" ca="1" si="2">_xlfn.IFNA(_xlfn.FORMULATEXT(F53),"")</f>
        <v>=k13D*(Vc/Vtum)/(keD3_+k31D)</v>
      </c>
      <c r="J53" s="22" t="s">
        <v>138</v>
      </c>
    </row>
    <row r="54" spans="1:10" x14ac:dyDescent="0.2">
      <c r="A54" s="8">
        <v>53</v>
      </c>
      <c r="B54" s="8" t="s">
        <v>177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5" t="str">
        <f t="shared" ca="1" si="2"/>
        <v/>
      </c>
      <c r="J54" s="9"/>
    </row>
    <row r="55" spans="1:10" x14ac:dyDescent="0.2">
      <c r="A55" s="8">
        <v>54</v>
      </c>
      <c r="B55" s="8" t="s">
        <v>177</v>
      </c>
      <c r="C55" s="8" t="s">
        <v>148</v>
      </c>
      <c r="D55" s="8" t="s">
        <v>139</v>
      </c>
      <c r="E55" s="2" t="s">
        <v>123</v>
      </c>
      <c r="F55" s="3">
        <f>0.000000003*1000000*60*60*24</f>
        <v>259.2</v>
      </c>
      <c r="G55" s="1" t="s">
        <v>124</v>
      </c>
      <c r="H55" s="2" t="s">
        <v>53</v>
      </c>
      <c r="I55" s="15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177</v>
      </c>
      <c r="C56" s="8" t="s">
        <v>148</v>
      </c>
      <c r="D56" s="8" t="s">
        <v>140</v>
      </c>
      <c r="E56" s="2" t="s">
        <v>125</v>
      </c>
      <c r="F56" s="3">
        <v>8</v>
      </c>
      <c r="G56" s="1" t="s">
        <v>126</v>
      </c>
      <c r="H56" s="2" t="s">
        <v>53</v>
      </c>
      <c r="I56" s="15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177</v>
      </c>
      <c r="C57" s="8" t="s">
        <v>148</v>
      </c>
      <c r="D57" s="8" t="s">
        <v>141</v>
      </c>
      <c r="E57" s="2" t="s">
        <v>127</v>
      </c>
      <c r="F57" s="3">
        <v>75</v>
      </c>
      <c r="G57" s="1" t="s">
        <v>126</v>
      </c>
      <c r="H57" s="2" t="s">
        <v>53</v>
      </c>
      <c r="I57" s="15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177</v>
      </c>
      <c r="C58" s="8" t="s">
        <v>148</v>
      </c>
      <c r="D58" s="8" t="s">
        <v>142</v>
      </c>
      <c r="E58" s="1" t="s">
        <v>128</v>
      </c>
      <c r="F58" s="3">
        <v>1</v>
      </c>
      <c r="G58" s="1" t="s">
        <v>3</v>
      </c>
      <c r="H58" s="2" t="s">
        <v>121</v>
      </c>
      <c r="I58" s="15" t="str">
        <f t="shared" ca="1" si="2"/>
        <v/>
      </c>
      <c r="J58" s="9" t="s">
        <v>133</v>
      </c>
    </row>
    <row r="59" spans="1:10" x14ac:dyDescent="0.2">
      <c r="A59" s="8">
        <v>58</v>
      </c>
      <c r="B59" s="8" t="s">
        <v>177</v>
      </c>
      <c r="C59" s="8" t="s">
        <v>68</v>
      </c>
      <c r="D59" s="8" t="s">
        <v>143</v>
      </c>
      <c r="E59" s="2" t="s">
        <v>129</v>
      </c>
      <c r="F59" s="3">
        <f>k31D_thurber*VD3_/VD1_</f>
        <v>2.2478048780487807E-2</v>
      </c>
      <c r="G59" s="2" t="s">
        <v>4</v>
      </c>
      <c r="H59" s="2" t="s">
        <v>52</v>
      </c>
      <c r="I59" s="15" t="str">
        <f t="shared" ca="1" si="2"/>
        <v>=k31D_thurber*VD3_/VD1_</v>
      </c>
      <c r="J59" s="9" t="s">
        <v>149</v>
      </c>
    </row>
    <row r="60" spans="1:10" x14ac:dyDescent="0.2">
      <c r="A60" s="8">
        <v>59</v>
      </c>
      <c r="B60" s="8" t="s">
        <v>177</v>
      </c>
      <c r="C60" s="8" t="s">
        <v>68</v>
      </c>
      <c r="D60" s="8" t="s">
        <v>144</v>
      </c>
      <c r="E60" s="2" t="s">
        <v>130</v>
      </c>
      <c r="F60" s="3">
        <f>k12D*VD3_/VD2_</f>
        <v>4.5857689981858504E-3</v>
      </c>
      <c r="G60" s="2" t="s">
        <v>4</v>
      </c>
      <c r="H60" s="2" t="s">
        <v>52</v>
      </c>
      <c r="I60" s="15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177</v>
      </c>
      <c r="C61" s="8" t="s">
        <v>68</v>
      </c>
      <c r="D61" s="8" t="s">
        <v>88</v>
      </c>
      <c r="E61" s="2" t="s">
        <v>11</v>
      </c>
      <c r="F61" s="14">
        <f>k13d_prop</f>
        <v>4.5857689981858504E-3</v>
      </c>
      <c r="G61" s="19" t="s">
        <v>4</v>
      </c>
      <c r="H61" s="2" t="s">
        <v>54</v>
      </c>
      <c r="I61" s="14" t="str">
        <f t="shared" ca="1" si="2"/>
        <v>=k13d_prop</v>
      </c>
      <c r="J61" s="14" t="s">
        <v>137</v>
      </c>
    </row>
    <row r="62" spans="1:10" s="6" customFormat="1" x14ac:dyDescent="0.2">
      <c r="A62" s="8">
        <v>61</v>
      </c>
      <c r="B62" s="8" t="s">
        <v>177</v>
      </c>
      <c r="C62" s="8" t="s">
        <v>70</v>
      </c>
      <c r="D62" s="8" t="s">
        <v>88</v>
      </c>
      <c r="E62" s="2" t="s">
        <v>28</v>
      </c>
      <c r="F62" s="3">
        <v>0</v>
      </c>
      <c r="G62" s="2" t="s">
        <v>4</v>
      </c>
      <c r="H62" s="2" t="s">
        <v>120</v>
      </c>
      <c r="I62" s="15" t="str">
        <f t="shared" ca="1" si="2"/>
        <v/>
      </c>
      <c r="J62" s="9" t="s">
        <v>122</v>
      </c>
    </row>
    <row r="63" spans="1:10" s="6" customFormat="1" x14ac:dyDescent="0.2">
      <c r="A63" s="8">
        <v>62</v>
      </c>
      <c r="B63" s="8" t="s">
        <v>177</v>
      </c>
      <c r="C63" s="8" t="s">
        <v>71</v>
      </c>
      <c r="D63" s="8" t="s">
        <v>88</v>
      </c>
      <c r="E63" s="2" t="s">
        <v>30</v>
      </c>
      <c r="F63" s="3">
        <v>0</v>
      </c>
      <c r="G63" s="2" t="s">
        <v>4</v>
      </c>
      <c r="H63" s="2" t="s">
        <v>120</v>
      </c>
      <c r="I63" s="15" t="str">
        <f t="shared" ca="1" si="2"/>
        <v/>
      </c>
      <c r="J63" s="9" t="s">
        <v>55</v>
      </c>
    </row>
    <row r="64" spans="1:10" s="6" customFormat="1" x14ac:dyDescent="0.2">
      <c r="A64" s="8">
        <v>63</v>
      </c>
      <c r="B64" s="8" t="s">
        <v>177</v>
      </c>
      <c r="C64" s="8" t="s">
        <v>68</v>
      </c>
      <c r="D64" s="8" t="s">
        <v>145</v>
      </c>
      <c r="E64" s="2" t="s">
        <v>131</v>
      </c>
      <c r="F64" s="3">
        <f>2*P*Rcap/Rkrogh^2</f>
        <v>0.73727999999999994</v>
      </c>
      <c r="G64" s="2" t="s">
        <v>4</v>
      </c>
      <c r="H64" s="2" t="s">
        <v>52</v>
      </c>
      <c r="I64" s="15" t="str">
        <f t="shared" ca="1" si="2"/>
        <v>=2*P*Rcap/Rkrogh^2</v>
      </c>
      <c r="J64" s="16" t="s">
        <v>135</v>
      </c>
    </row>
    <row r="65" spans="1:10" s="6" customFormat="1" x14ac:dyDescent="0.2">
      <c r="A65" s="8">
        <v>64</v>
      </c>
      <c r="B65" s="8" t="s">
        <v>177</v>
      </c>
      <c r="C65" s="8" t="s">
        <v>68</v>
      </c>
      <c r="D65" s="8" t="s">
        <v>146</v>
      </c>
      <c r="E65" s="2" t="s">
        <v>132</v>
      </c>
      <c r="F65" s="3">
        <f>VD1_/VD3_*k13d_prop*3</f>
        <v>0.45123966942148763</v>
      </c>
      <c r="G65" s="2" t="s">
        <v>4</v>
      </c>
      <c r="H65" s="2" t="s">
        <v>52</v>
      </c>
      <c r="I65" s="15" t="str">
        <f t="shared" ca="1" si="2"/>
        <v>=VD1_/VD3_*k13d_prop*3</v>
      </c>
      <c r="J65" s="9" t="s">
        <v>150</v>
      </c>
    </row>
    <row r="66" spans="1:10" s="6" customFormat="1" x14ac:dyDescent="0.2">
      <c r="A66" s="8">
        <v>65</v>
      </c>
      <c r="B66" s="8" t="s">
        <v>177</v>
      </c>
      <c r="C66" s="8" t="s">
        <v>68</v>
      </c>
      <c r="D66" s="8" t="s">
        <v>147</v>
      </c>
      <c r="E66" s="2" t="s">
        <v>12</v>
      </c>
      <c r="F66" s="14">
        <f>k31D_prop</f>
        <v>0.45123966942148763</v>
      </c>
      <c r="G66" s="19" t="s">
        <v>4</v>
      </c>
      <c r="H66" s="2" t="s">
        <v>54</v>
      </c>
      <c r="I66" s="20" t="str">
        <f t="shared" ca="1" si="2"/>
        <v>=k31D_prop</v>
      </c>
      <c r="J66" s="20" t="s">
        <v>137</v>
      </c>
    </row>
    <row r="67" spans="1:10" s="6" customFormat="1" x14ac:dyDescent="0.2">
      <c r="A67" s="8">
        <v>66</v>
      </c>
      <c r="B67" s="8" t="s">
        <v>177</v>
      </c>
      <c r="C67" s="8" t="s">
        <v>70</v>
      </c>
      <c r="D67" s="8" t="s">
        <v>147</v>
      </c>
      <c r="E67" s="2" t="s">
        <v>29</v>
      </c>
      <c r="F67" s="3">
        <v>1</v>
      </c>
      <c r="G67" s="2" t="s">
        <v>4</v>
      </c>
      <c r="H67" s="2" t="s">
        <v>121</v>
      </c>
      <c r="I67" s="12" t="str">
        <f t="shared" ca="1" si="2"/>
        <v/>
      </c>
      <c r="J67" s="9" t="s">
        <v>119</v>
      </c>
    </row>
    <row r="68" spans="1:10" s="6" customFormat="1" x14ac:dyDescent="0.2">
      <c r="A68" s="8">
        <v>67</v>
      </c>
      <c r="B68" s="8" t="s">
        <v>177</v>
      </c>
      <c r="C68" s="8" t="s">
        <v>71</v>
      </c>
      <c r="D68" s="8" t="s">
        <v>147</v>
      </c>
      <c r="E68" s="2" t="s">
        <v>31</v>
      </c>
      <c r="F68" s="3">
        <v>1</v>
      </c>
      <c r="G68" s="2" t="s">
        <v>4</v>
      </c>
      <c r="H68" s="2" t="s">
        <v>121</v>
      </c>
      <c r="I68" s="12" t="str">
        <f t="shared" ca="1" si="2"/>
        <v/>
      </c>
      <c r="J68" s="9" t="s">
        <v>119</v>
      </c>
    </row>
    <row r="69" spans="1:10" s="11" customFormat="1" x14ac:dyDescent="0.2">
      <c r="A69" s="8">
        <v>68</v>
      </c>
      <c r="B69" s="8" t="s">
        <v>177</v>
      </c>
      <c r="C69" s="8" t="s">
        <v>78</v>
      </c>
      <c r="D69" s="8" t="s">
        <v>88</v>
      </c>
      <c r="E69" s="2" t="s">
        <v>100</v>
      </c>
      <c r="F69" s="3">
        <v>0</v>
      </c>
      <c r="G69" s="2" t="s">
        <v>4</v>
      </c>
      <c r="H69" s="2" t="s">
        <v>120</v>
      </c>
      <c r="I69" s="12" t="str">
        <f t="shared" ca="1" si="2"/>
        <v/>
      </c>
      <c r="J69" s="13"/>
    </row>
    <row r="70" spans="1:10" s="10" customFormat="1" x14ac:dyDescent="0.2">
      <c r="A70" s="8">
        <v>69</v>
      </c>
      <c r="B70" s="8" t="s">
        <v>177</v>
      </c>
      <c r="C70" s="8" t="s">
        <v>78</v>
      </c>
      <c r="D70" s="8" t="s">
        <v>89</v>
      </c>
      <c r="E70" s="2" t="s">
        <v>101</v>
      </c>
      <c r="F70" s="3">
        <v>0</v>
      </c>
      <c r="G70" s="2" t="s">
        <v>4</v>
      </c>
      <c r="H70" s="2" t="s">
        <v>120</v>
      </c>
      <c r="I70" s="12" t="str">
        <f t="shared" ca="1" si="2"/>
        <v/>
      </c>
      <c r="J70" s="9"/>
    </row>
    <row r="71" spans="1:10" s="6" customFormat="1" x14ac:dyDescent="0.2">
      <c r="A71" s="8">
        <v>70</v>
      </c>
      <c r="B71" s="8" t="s">
        <v>177</v>
      </c>
      <c r="C71" s="8" t="s">
        <v>81</v>
      </c>
      <c r="D71" s="8" t="s">
        <v>88</v>
      </c>
      <c r="E71" s="2" t="s">
        <v>102</v>
      </c>
      <c r="F71" s="3">
        <v>0</v>
      </c>
      <c r="G71" s="2" t="s">
        <v>4</v>
      </c>
      <c r="H71" s="2" t="s">
        <v>120</v>
      </c>
      <c r="I71" s="12" t="str">
        <f t="shared" ca="1" si="2"/>
        <v/>
      </c>
      <c r="J71" s="9"/>
    </row>
    <row r="72" spans="1:10" s="6" customFormat="1" x14ac:dyDescent="0.2">
      <c r="A72" s="8">
        <v>71</v>
      </c>
      <c r="B72" s="8" t="s">
        <v>177</v>
      </c>
      <c r="C72" s="8" t="s">
        <v>81</v>
      </c>
      <c r="D72" s="8" t="s">
        <v>89</v>
      </c>
      <c r="E72" s="2" t="s">
        <v>103</v>
      </c>
      <c r="F72" s="3">
        <v>0</v>
      </c>
      <c r="G72" s="2" t="s">
        <v>4</v>
      </c>
      <c r="H72" s="2" t="s">
        <v>120</v>
      </c>
      <c r="I72" s="12" t="str">
        <f t="shared" ca="1" si="2"/>
        <v/>
      </c>
      <c r="J72" s="9"/>
    </row>
    <row r="73" spans="1:10" s="6" customFormat="1" x14ac:dyDescent="0.2">
      <c r="A73" s="8"/>
      <c r="B73" s="8"/>
      <c r="C73" s="8"/>
      <c r="D73" s="8"/>
      <c r="E73" s="2"/>
      <c r="F73" s="3"/>
      <c r="G73" s="2"/>
      <c r="H73" s="2"/>
      <c r="I73" s="12" t="str">
        <f t="shared" ca="1" si="2"/>
        <v/>
      </c>
      <c r="J73" s="9"/>
    </row>
    <row r="74" spans="1:10" s="6" customFormat="1" x14ac:dyDescent="0.2">
      <c r="A74" s="8"/>
      <c r="B74" s="8"/>
      <c r="C74" s="8"/>
      <c r="D74" s="8"/>
      <c r="E74" s="2"/>
      <c r="F74" s="3"/>
      <c r="G74" s="2"/>
      <c r="H74" s="2"/>
      <c r="I74" s="12" t="str">
        <f t="shared" ca="1" si="2"/>
        <v/>
      </c>
      <c r="J74" s="9"/>
    </row>
    <row r="75" spans="1:10" s="6" customFormat="1" x14ac:dyDescent="0.2">
      <c r="A75" s="8"/>
      <c r="B75" s="8"/>
      <c r="C75" s="8"/>
      <c r="D75" s="8"/>
      <c r="E75" s="2"/>
      <c r="F75" s="3"/>
      <c r="G75" s="2"/>
      <c r="H75" s="2"/>
      <c r="I75" s="12" t="str">
        <f t="shared" ca="1" si="2"/>
        <v/>
      </c>
      <c r="J75" s="9"/>
    </row>
    <row r="76" spans="1:10" s="6" customFormat="1" x14ac:dyDescent="0.2">
      <c r="A76" s="8"/>
      <c r="B76" s="8"/>
      <c r="C76" s="8"/>
      <c r="D76" s="8"/>
      <c r="E76" s="2"/>
      <c r="F76" s="3"/>
      <c r="G76" s="2"/>
      <c r="H76" s="2"/>
      <c r="I76" s="12" t="str">
        <f t="shared" ca="1" si="2"/>
        <v/>
      </c>
      <c r="J76" s="10"/>
    </row>
    <row r="77" spans="1:10" s="6" customFormat="1" x14ac:dyDescent="0.2">
      <c r="A77" s="8"/>
      <c r="B77" s="8"/>
      <c r="C77" s="8"/>
      <c r="D77" s="8"/>
      <c r="E77" s="2"/>
      <c r="F77" s="3"/>
      <c r="G77" s="2"/>
      <c r="H77" s="2"/>
      <c r="I77" s="12" t="str">
        <f t="shared" ca="1" si="2"/>
        <v/>
      </c>
      <c r="J77" s="9"/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7" priority="21" operator="containsText" text="derived">
      <formula>NOT(ISERROR(SEARCH("derived",F293)))</formula>
    </cfRule>
  </conditionalFormatting>
  <conditionalFormatting sqref="J8">
    <cfRule type="expression" dxfId="36" priority="19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4:K23 A4:A72 A79:H79 C67:H68 I67:K79 J29:K30 C39:H46 J35:K52 C35:E36">
    <cfRule type="containsText" dxfId="1" priority="18" operator="containsText" text="calc">
      <formula>NOT(ISERROR(SEARCH("calc",A1)))</formula>
    </cfRule>
  </conditionalFormatting>
  <conditionalFormatting sqref="H80:I1048576 H79 H67:H72 I67:I79 H1:I66">
    <cfRule type="containsText" dxfId="35" priority="16" operator="containsText" text="literature">
      <formula>NOT(ISERROR(SEARCH("literature",H1)))</formula>
    </cfRule>
    <cfRule type="containsText" dxfId="34" priority="17" operator="containsText" text="guess">
      <formula>NOT(ISERROR(SEARCH("guess",H1)))</formula>
    </cfRule>
  </conditionalFormatting>
  <conditionalFormatting sqref="H53:I66 H1:I38 I37:I52 H80:I1048576 H79 H67:H72 I67:I79 H39:H52">
    <cfRule type="containsText" dxfId="33" priority="11" operator="containsText" text="not used">
      <formula>NOT(ISERROR(SEARCH("not used",H1)))</formula>
    </cfRule>
    <cfRule type="containsText" dxfId="32" priority="12" operator="containsText" text="literature">
      <formula>NOT(ISERROR(SEARCH("literature",H1)))</formula>
    </cfRule>
    <cfRule type="containsText" dxfId="31" priority="13" operator="containsText" text="guess">
      <formula>NOT(ISERROR(SEARCH("guess",H1)))</formula>
    </cfRule>
    <cfRule type="containsText" dxfId="30" priority="14" operator="containsText" text="calc">
      <formula>NOT(ISERROR(SEARCH("calc",H1)))</formula>
    </cfRule>
    <cfRule type="containsText" dxfId="29" priority="15" operator="containsText" text="check">
      <formula>NOT(ISERROR(SEARCH("check",H1)))</formula>
    </cfRule>
  </conditionalFormatting>
  <conditionalFormatting sqref="H79:H1048576 H1:H72">
    <cfRule type="containsText" dxfId="28" priority="10" operator="containsText" text="internal data">
      <formula>NOT(ISERROR(SEARCH("internal data",H1)))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2017-08-24T12:57:08Z</dcterms:modified>
</cp:coreProperties>
</file>