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520" yWindow="460" windowWidth="22400" windowHeight="162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9" i="1"/>
  <c r="F20" i="1"/>
  <c r="F21" i="1"/>
  <c r="F75" i="1"/>
  <c r="F36" i="1"/>
  <c r="F76" i="1"/>
  <c r="F77" i="1"/>
  <c r="I77" i="1"/>
  <c r="I75" i="1"/>
  <c r="F72" i="1"/>
  <c r="F71" i="1"/>
  <c r="F13" i="1"/>
  <c r="F60" i="1"/>
  <c r="F65" i="1"/>
  <c r="F66" i="1"/>
  <c r="F68" i="1"/>
  <c r="F67" i="1"/>
  <c r="F61" i="1"/>
  <c r="F63" i="1"/>
  <c r="F62" i="1"/>
  <c r="F38" i="1"/>
  <c r="F35" i="1"/>
  <c r="F37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I24" i="1"/>
  <c r="I23" i="1"/>
  <c r="F22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<sst xmlns="http://schemas.openxmlformats.org/spreadsheetml/2006/main" count="503" uniqueCount="195">
  <si>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</si>
  <si>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</si>
  <si>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</si>
  <si>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</si>
  <si>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</si>
  <si>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</si>
  <si>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</si>
  <si>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</si>
  <si>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</si>
  <si>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</si>
  <si>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</si>
  <si>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</si>
  <si>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</si>
  <si>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</si>
  <si>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</si>
  <si>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</si>
  <si>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</si>
  <si>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</si>
  <si>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</si>
  <si>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</si>
  <si>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</si>
  <si>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</si>
  <si>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</si>
  <si>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</si>
  <si>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</si>
  <si>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</si>
  <si>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</si>
  <si>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</si>
  <si>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</si>
  <si>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</si>
  <si>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</si>
  <si>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</si>
  <si>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</si>
  <si>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</si>
  <si>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</si>
  <si>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</si>
  <si>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</si>
  <si>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</si>
  <si>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</si>
  <si>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</si>
  <si>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</si>
  <si>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</si>
  <si>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</si>
  <si>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</si>
  <si>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</si>
  <si>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</si>
  <si>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</si>
  <si>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</si>
  <si>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</si>
  <si>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</si>
  <si>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</si>
  <si>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</si>
  <si>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</si>
  <si>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</si>
  <si>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</si>
  <si>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</si>
  <si>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</si>
  <si>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</si>
  <si>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</si>
  <si>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</si>
  <si>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</si>
  <si>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</si>
  <si>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</si>
  <si>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</si>
  <si>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</si>
  <si>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</si>
  <si>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</si>
  <si>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</si>
  <si>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</si>
  <si>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</si>
  <si>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</si>
  <si>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</si>
  <si>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</si>
  <si>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</si>
  <si>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</si>
  <si>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</si>
  <si>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</si>
  <si>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</si>
  <si>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</si>
  <si>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</si>
  <si>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</si>
  <si>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</si>
  <si>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</si>
  <si>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</si>
  <si>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</si>
  <si>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</si>
  <si>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</si>
  <si>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</si>
  <si>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</si>
  <si>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</si>
  <si>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</si>
  <si>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</si>
  <si>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</si>
  <si>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</si>
  <si>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</si>
  <si>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</si>
  <si>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</si>
  <si>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</si>
  <si>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</si>
  <si>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</si>
  <si>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</si>
  <si>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</si>
  <si>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</si>
  <si>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</si>
  <si>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</si>
  <si>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</si>
  <si>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</si>
  <si>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</si>
  <si>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</si>
  <si>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</si>
  <si>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</si>
  <si>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</si>
  <si>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</si>
  <si>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</si>
  <si>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</si>
  <si>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</si>
  <si>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</si>
  <si>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</si>
  <si>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</si>
  <si>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</si>
  <si>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</si>
  <si>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</si>
  <si>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</si>
  <si>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</si>
  <si>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</si>
  <si>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</si>
  <si>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</si>
  <si>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</si>
  <si>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</si>
  <si>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</si>
  <si>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</si>
  <si>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</si>
  <si>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</si>
  <si>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</si>
  <si>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</si>
  <si>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</si>
  <si>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</si>
  <si>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</si>
  <si>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</si>
  <si>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</si>
  <si>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</si>
  <si>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</si>
  <si>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</si>
  <si>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</si>
  <si>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</si>
  <si>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</si>
  <si>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</si>
  <si>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typical value (1-100)</t>
  </si>
  <si>
    <t>S10</t>
  </si>
  <si>
    <t>same as soluble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</si>
  <si>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</si>
  <si>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</si>
  <si>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</si>
  <si>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</si>
  <si>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</si>
  <si>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</si>
  <si>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</si>
  <si>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</si>
  <si>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</si>
  <si>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</si>
  <si>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</si>
  <si>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</si>
  <si>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</si>
  <si>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Normal white blood cell count - google</t>
  </si>
  <si>
    <t>Binding</t>
  </si>
  <si>
    <t>Target Turnover</t>
  </si>
  <si>
    <t>Tumor Distrib</t>
  </si>
  <si>
    <t>Assumption - all cells expressing PDL1 - could be lower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</si>
  <si>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</si>
  <si>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</si>
  <si>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</si>
  <si>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</si>
  <si>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</si>
  <si>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</si>
  <si>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</si>
  <si>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</si>
  <si>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</si>
  <si>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</si>
  <si>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</si>
  <si>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</si>
  <si>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</si>
  <si>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</si>
  <si>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</si>
  <si>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</si>
  <si>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</si>
  <si>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</si>
  <si>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Panoilia15 - 10.1007/s00280-015-2701-3 - TMDD model</t>
  </si>
  <si>
    <t>NA</t>
  </si>
  <si>
    <t>Stein17 - 10.1002/psp4.12169</t>
  </si>
  <si>
    <t xml:space="preserve">Panoilia15 - 10.1007/s00280-015-2701-3 </t>
  </si>
  <si>
    <t>Panoilia15 - 10.1007/s00280-015-2701-3 - from figure 2b</t>
  </si>
  <si>
    <t>soluble traget</t>
  </si>
  <si>
    <t>Assume some synthesis in tumor</t>
  </si>
  <si>
    <t>Does it accumulate in tumor - explore sensitivity</t>
  </si>
  <si>
    <t>5 mg/kg dose (1200 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</si>
</sst>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69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48" dataDxfId="47">
  <autoFilter ref="A1:J79"/>
  <tableColumns count="10">
    <tableColumn id="1" name="Order" dataDxfId="46"/>
    <tableColumn id="2" name="ParamType" dataDxfId="45"/>
    <tableColumn id="3" name="Molecule" dataDxfId="44"/>
    <tableColumn id="4" name="Description" dataDxfId="43"/>
    <tableColumn id="5" name="Parameter" dataDxfId="42"/>
    <tableColumn id="6" name="Value" dataDxfId="41"/>
    <tableColumn id="7" name="Units" dataDxfId="40"/>
    <tableColumn id="8" name="Source" dataDxfId="39"/>
    <tableColumn id="10" name="Formula" dataDxfId="38">
      <calculatedColumnFormula>_xlfn.IFNA(_xlfn.FORMULATEXT(F2),"")</calculatedColumnFormula>
    </tableColumn>
    <tableColumn id="9" name="Comment or Reference" dataDxfId="3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B1" zoomScale="99" workbookViewId="0">
      <selection activeCell="F4" sqref="F4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103</v>
      </c>
      <c r="I1" s="2" t="s">
        <v>131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117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117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0.18</v>
      </c>
      <c r="G4" s="2" t="s">
        <v>45</v>
      </c>
      <c r="H4" s="2" t="s">
        <v>53</v>
      </c>
      <c r="I4" s="14" t="str">
        <f t="shared" ca="1" si="0"/>
        <v/>
      </c>
      <c r="J4" s="9" t="s">
        <v>186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5.5727554179566562E-2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1.38</v>
      </c>
      <c r="G6" s="2" t="s">
        <v>45</v>
      </c>
      <c r="H6" s="2" t="s">
        <v>53</v>
      </c>
      <c r="I6" s="14" t="str">
        <f t="shared" ca="1" si="0"/>
        <v/>
      </c>
      <c r="J6" s="9" t="s">
        <v>186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3.23</v>
      </c>
      <c r="G7" s="2" t="s">
        <v>2</v>
      </c>
      <c r="H7" s="2" t="s">
        <v>53</v>
      </c>
      <c r="I7" s="14" t="str">
        <f t="shared" ca="1" si="0"/>
        <v/>
      </c>
      <c r="J7" s="9" t="s">
        <v>186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3.1</v>
      </c>
      <c r="G8" s="2" t="s">
        <v>2</v>
      </c>
      <c r="H8" s="2" t="s">
        <v>53</v>
      </c>
      <c r="I8" s="14" t="str">
        <f t="shared" ca="1" si="0"/>
        <v/>
      </c>
      <c r="J8" s="9" t="s">
        <v>186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3.23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3.23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104</v>
      </c>
      <c r="F11" s="3">
        <f>VD1_</f>
        <v>3.23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105</v>
      </c>
      <c r="F12" s="3">
        <f>VD1_</f>
        <v>3.23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0.42724458204334365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0.44516129032258062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164</v>
      </c>
      <c r="C15" s="8" t="s">
        <v>68</v>
      </c>
      <c r="D15" s="8" t="s">
        <v>90</v>
      </c>
      <c r="E15" s="2" t="s">
        <v>106</v>
      </c>
      <c r="F15" s="3">
        <v>150</v>
      </c>
      <c r="G15" s="2" t="s">
        <v>92</v>
      </c>
      <c r="H15" s="2" t="s">
        <v>53</v>
      </c>
      <c r="I15" s="14" t="str">
        <f t="shared" ca="1" si="0"/>
        <v/>
      </c>
      <c r="J15" s="9" t="s">
        <v>189</v>
      </c>
    </row>
    <row r="16" spans="1:10" s="6" customFormat="1" x14ac:dyDescent="0.2">
      <c r="A16" s="8">
        <v>15</v>
      </c>
      <c r="B16" s="8" t="s">
        <v>164</v>
      </c>
      <c r="C16" s="8" t="s">
        <v>78</v>
      </c>
      <c r="D16" s="8" t="s">
        <v>90</v>
      </c>
      <c r="E16" s="2" t="s">
        <v>91</v>
      </c>
      <c r="F16" s="3">
        <v>38</v>
      </c>
      <c r="G16" s="2" t="s">
        <v>92</v>
      </c>
      <c r="H16" s="2" t="s">
        <v>53</v>
      </c>
      <c r="I16" s="14" t="str">
        <f t="shared" ca="1" si="0"/>
        <v/>
      </c>
      <c r="J16" s="9" t="s">
        <v>189</v>
      </c>
    </row>
    <row r="17" spans="1:10" s="10" customFormat="1" x14ac:dyDescent="0.2">
      <c r="A17" s="8">
        <v>16</v>
      </c>
      <c r="B17" s="8" t="s">
        <v>164</v>
      </c>
      <c r="C17" s="8" t="s">
        <v>70</v>
      </c>
      <c r="D17" s="8" t="s">
        <v>90</v>
      </c>
      <c r="E17" s="2" t="s">
        <v>107</v>
      </c>
      <c r="F17" s="3" t="s">
        <v>187</v>
      </c>
      <c r="G17" s="2" t="s">
        <v>92</v>
      </c>
      <c r="H17" s="2" t="s">
        <v>53</v>
      </c>
      <c r="I17" s="14" t="str">
        <f t="shared" ca="1" si="0"/>
        <v/>
      </c>
      <c r="J17" s="9" t="s">
        <v>149</v>
      </c>
    </row>
    <row r="18" spans="1:10" s="10" customFormat="1" x14ac:dyDescent="0.2">
      <c r="A18" s="8">
        <v>17</v>
      </c>
      <c r="B18" s="8" t="s">
        <v>164</v>
      </c>
      <c r="C18" s="8" t="s">
        <v>73</v>
      </c>
      <c r="D18" s="8" t="s">
        <v>74</v>
      </c>
      <c r="E18" s="2" t="s">
        <v>50</v>
      </c>
      <c r="F18" s="12">
        <v>18</v>
      </c>
      <c r="G18" s="2" t="s">
        <v>51</v>
      </c>
      <c r="H18" s="2" t="s">
        <v>53</v>
      </c>
      <c r="I18" s="14" t="str">
        <f t="shared" ca="1" si="0"/>
        <v/>
      </c>
      <c r="J18" s="9" t="s">
        <v>188</v>
      </c>
    </row>
    <row r="19" spans="1:10" s="10" customFormat="1" x14ac:dyDescent="0.2">
      <c r="A19" s="8">
        <v>18</v>
      </c>
      <c r="B19" s="8" t="s">
        <v>164</v>
      </c>
      <c r="C19" s="8" t="s">
        <v>73</v>
      </c>
      <c r="D19" s="8" t="s">
        <v>75</v>
      </c>
      <c r="E19" s="2" t="s">
        <v>16</v>
      </c>
      <c r="F19" s="19">
        <v>2</v>
      </c>
      <c r="G19" s="18" t="s">
        <v>4</v>
      </c>
      <c r="H19" s="18" t="s">
        <v>54</v>
      </c>
      <c r="I19" s="22" t="str">
        <f t="shared" ca="1" si="0"/>
        <v/>
      </c>
      <c r="J19" s="19" t="s">
        <v>147</v>
      </c>
    </row>
    <row r="20" spans="1:10" s="6" customFormat="1" x14ac:dyDescent="0.2">
      <c r="A20" s="8">
        <v>19</v>
      </c>
      <c r="B20" s="8" t="s">
        <v>164</v>
      </c>
      <c r="C20" s="8" t="s">
        <v>73</v>
      </c>
      <c r="D20" s="8" t="s">
        <v>75</v>
      </c>
      <c r="E20" s="2" t="s">
        <v>18</v>
      </c>
      <c r="F20" s="12">
        <f>F19</f>
        <v>2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164</v>
      </c>
      <c r="C21" s="8" t="s">
        <v>73</v>
      </c>
      <c r="D21" s="8" t="s">
        <v>76</v>
      </c>
      <c r="E21" s="2" t="s">
        <v>15</v>
      </c>
      <c r="F21" s="12">
        <f>Kd*koff</f>
        <v>36</v>
      </c>
      <c r="G21" s="2" t="s">
        <v>20</v>
      </c>
      <c r="H21" s="2" t="s">
        <v>52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164</v>
      </c>
      <c r="C22" s="8" t="s">
        <v>73</v>
      </c>
      <c r="D22" s="8" t="s">
        <v>76</v>
      </c>
      <c r="E22" s="2" t="s">
        <v>17</v>
      </c>
      <c r="F22" s="12">
        <f>kon</f>
        <v>36</v>
      </c>
      <c r="G22" s="2" t="s">
        <v>20</v>
      </c>
      <c r="H22" s="2" t="s">
        <v>52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165</v>
      </c>
      <c r="C23" s="8"/>
      <c r="D23" s="8" t="s">
        <v>150</v>
      </c>
      <c r="E23" s="2" t="s">
        <v>148</v>
      </c>
      <c r="F23" s="12">
        <v>5.0000000000000001E-3</v>
      </c>
      <c r="G23" s="2" t="s">
        <v>51</v>
      </c>
      <c r="H23" s="2" t="s">
        <v>53</v>
      </c>
      <c r="I23" s="14" t="str">
        <f ca="1">_xlfn.IFNA(_xlfn.FORMULATEXT(F23),"")</f>
        <v/>
      </c>
      <c r="J23" s="12" t="s">
        <v>190</v>
      </c>
    </row>
    <row r="24" spans="1:10" s="23" customFormat="1" x14ac:dyDescent="0.2">
      <c r="A24" s="8">
        <v>23</v>
      </c>
      <c r="B24" s="8" t="s">
        <v>165</v>
      </c>
      <c r="C24" s="8"/>
      <c r="D24" s="8"/>
      <c r="E24" s="2" t="s">
        <v>151</v>
      </c>
      <c r="F24" s="12">
        <v>100</v>
      </c>
      <c r="G24" s="2" t="s">
        <v>3</v>
      </c>
      <c r="H24" s="2" t="s">
        <v>53</v>
      </c>
      <c r="I24" s="14" t="str">
        <f ca="1">_xlfn.IFNA(_xlfn.FORMULATEXT(F24),"")</f>
        <v/>
      </c>
      <c r="J24" s="9" t="s">
        <v>188</v>
      </c>
    </row>
    <row r="25" spans="1:10" s="23" customFormat="1" x14ac:dyDescent="0.2">
      <c r="A25" s="8">
        <v>24</v>
      </c>
      <c r="B25" s="8" t="s">
        <v>165</v>
      </c>
      <c r="C25" s="8" t="s">
        <v>70</v>
      </c>
      <c r="D25" s="8" t="s">
        <v>69</v>
      </c>
      <c r="E25" s="2" t="s">
        <v>32</v>
      </c>
      <c r="F25" s="3">
        <v>7</v>
      </c>
      <c r="G25" s="2" t="s">
        <v>4</v>
      </c>
      <c r="H25" s="2" t="s">
        <v>53</v>
      </c>
      <c r="I25" s="14" t="str">
        <f ca="1">_xlfn.IFNA(_xlfn.FORMULATEXT(F25),"")</f>
        <v/>
      </c>
      <c r="J25" s="9" t="s">
        <v>188</v>
      </c>
    </row>
    <row r="26" spans="1:10" s="23" customFormat="1" x14ac:dyDescent="0.2">
      <c r="A26" s="8">
        <v>25</v>
      </c>
      <c r="B26" s="8" t="s">
        <v>165</v>
      </c>
      <c r="C26" s="8" t="s">
        <v>71</v>
      </c>
      <c r="D26" s="8" t="s">
        <v>69</v>
      </c>
      <c r="E26" s="2" t="s">
        <v>34</v>
      </c>
      <c r="F26" s="3">
        <v>7.0000000000000007E-2</v>
      </c>
      <c r="G26" s="2" t="s">
        <v>4</v>
      </c>
      <c r="H26" s="2" t="s">
        <v>53</v>
      </c>
      <c r="I26" s="14" t="str">
        <f t="shared" ref="I26:I52" ca="1" si="1">_xlfn.IFNA(_xlfn.FORMULATEXT(F26),"")</f>
        <v/>
      </c>
      <c r="J26" s="9" t="s">
        <v>188</v>
      </c>
    </row>
    <row r="27" spans="1:10" s="23" customFormat="1" x14ac:dyDescent="0.2">
      <c r="A27" s="8">
        <v>26</v>
      </c>
      <c r="B27" s="8" t="s">
        <v>165</v>
      </c>
      <c r="C27" s="8" t="s">
        <v>70</v>
      </c>
      <c r="D27" s="8" t="s">
        <v>77</v>
      </c>
      <c r="E27" s="2" t="s">
        <v>36</v>
      </c>
      <c r="F27" s="3">
        <v>1.4E-2</v>
      </c>
      <c r="G27" s="2" t="s">
        <v>19</v>
      </c>
      <c r="H27" s="2" t="s">
        <v>53</v>
      </c>
      <c r="I27" s="14" t="str">
        <f t="shared" ca="1" si="1"/>
        <v/>
      </c>
      <c r="J27" s="9" t="s">
        <v>188</v>
      </c>
    </row>
    <row r="28" spans="1:10" s="23" customFormat="1" x14ac:dyDescent="0.2">
      <c r="A28" s="8">
        <v>27</v>
      </c>
      <c r="B28" s="8" t="s">
        <v>165</v>
      </c>
      <c r="C28" s="8" t="s">
        <v>70</v>
      </c>
      <c r="D28" s="8" t="s">
        <v>77</v>
      </c>
      <c r="E28" s="2" t="s">
        <v>37</v>
      </c>
      <c r="F28" s="13">
        <v>0.1</v>
      </c>
      <c r="G28" s="18" t="s">
        <v>19</v>
      </c>
      <c r="H28" s="18" t="s">
        <v>54</v>
      </c>
      <c r="I28" s="22" t="str">
        <f t="shared" ca="1" si="1"/>
        <v/>
      </c>
      <c r="J28" s="19" t="s">
        <v>192</v>
      </c>
    </row>
    <row r="29" spans="1:10" s="6" customFormat="1" x14ac:dyDescent="0.2">
      <c r="A29" s="8">
        <v>28</v>
      </c>
      <c r="B29" s="8" t="s">
        <v>165</v>
      </c>
      <c r="C29" s="8" t="s">
        <v>69</v>
      </c>
      <c r="D29" s="8" t="s">
        <v>84</v>
      </c>
      <c r="E29" s="2" t="s">
        <v>33</v>
      </c>
      <c r="F29" s="13">
        <f>F25</f>
        <v>7</v>
      </c>
      <c r="G29" s="18" t="s">
        <v>4</v>
      </c>
      <c r="H29" s="18" t="s">
        <v>54</v>
      </c>
      <c r="I29" s="22" t="str">
        <f t="shared" ca="1" si="1"/>
        <v>=F25</v>
      </c>
      <c r="J29" s="19" t="s">
        <v>193</v>
      </c>
    </row>
    <row r="30" spans="1:10" s="6" customFormat="1" x14ac:dyDescent="0.2">
      <c r="A30" s="8">
        <v>29</v>
      </c>
      <c r="B30" s="8" t="s">
        <v>165</v>
      </c>
      <c r="C30" s="8" t="s">
        <v>69</v>
      </c>
      <c r="D30" s="8" t="s">
        <v>85</v>
      </c>
      <c r="E30" s="2" t="s">
        <v>35</v>
      </c>
      <c r="F30" s="13">
        <f>keDS1</f>
        <v>7.0000000000000007E-2</v>
      </c>
      <c r="G30" s="18" t="s">
        <v>4</v>
      </c>
      <c r="H30" s="18" t="s">
        <v>54</v>
      </c>
      <c r="I30" s="22" t="str">
        <f t="shared" ca="1" si="1"/>
        <v>=keDS1</v>
      </c>
      <c r="J30" s="19" t="s">
        <v>193</v>
      </c>
    </row>
    <row r="31" spans="1:10" s="6" customFormat="1" x14ac:dyDescent="0.2">
      <c r="A31" s="8">
        <v>30</v>
      </c>
      <c r="B31" s="8" t="s">
        <v>165</v>
      </c>
      <c r="C31" s="8" t="s">
        <v>78</v>
      </c>
      <c r="D31" s="8" t="s">
        <v>153</v>
      </c>
      <c r="E31" s="2" t="s">
        <v>154</v>
      </c>
      <c r="F31" s="3">
        <v>0</v>
      </c>
      <c r="G31" s="2" t="s">
        <v>3</v>
      </c>
      <c r="H31" s="2" t="s">
        <v>117</v>
      </c>
      <c r="I31" s="14" t="str">
        <f t="shared" ca="1" si="1"/>
        <v/>
      </c>
      <c r="J31" s="9" t="s">
        <v>191</v>
      </c>
    </row>
    <row r="32" spans="1:10" s="6" customFormat="1" x14ac:dyDescent="0.2">
      <c r="A32" s="8">
        <v>31</v>
      </c>
      <c r="B32" s="8" t="s">
        <v>165</v>
      </c>
      <c r="C32" s="8"/>
      <c r="D32" s="8" t="s">
        <v>155</v>
      </c>
      <c r="E32" s="2" t="s">
        <v>156</v>
      </c>
      <c r="F32" s="24">
        <v>300000000000</v>
      </c>
      <c r="G32" s="2" t="s">
        <v>157</v>
      </c>
      <c r="H32" s="2" t="s">
        <v>53</v>
      </c>
      <c r="I32" s="14" t="str">
        <f t="shared" ca="1" si="1"/>
        <v/>
      </c>
      <c r="J32" s="9" t="s">
        <v>162</v>
      </c>
    </row>
    <row r="33" spans="1:10" s="6" customFormat="1" x14ac:dyDescent="0.2">
      <c r="A33" s="8">
        <v>32</v>
      </c>
      <c r="B33" s="8" t="s">
        <v>165</v>
      </c>
      <c r="C33" s="8"/>
      <c r="D33" s="8" t="s">
        <v>160</v>
      </c>
      <c r="E33" s="2" t="s">
        <v>161</v>
      </c>
      <c r="F33" s="24">
        <v>6000000000</v>
      </c>
      <c r="G33" s="2" t="s">
        <v>157</v>
      </c>
      <c r="H33" s="2" t="s">
        <v>53</v>
      </c>
      <c r="I33" s="14" t="str">
        <f ca="1">_xlfn.IFNA(_xlfn.FORMULATEXT(F33),"")</f>
        <v/>
      </c>
      <c r="J33" s="9" t="s">
        <v>163</v>
      </c>
    </row>
    <row r="34" spans="1:10" s="6" customFormat="1" x14ac:dyDescent="0.2">
      <c r="A34" s="8">
        <v>33</v>
      </c>
      <c r="B34" s="8" t="s">
        <v>165</v>
      </c>
      <c r="C34" s="8"/>
      <c r="D34" s="8" t="s">
        <v>158</v>
      </c>
      <c r="E34" s="2" t="s">
        <v>159</v>
      </c>
      <c r="F34" s="3">
        <v>0</v>
      </c>
      <c r="G34" s="2" t="s">
        <v>3</v>
      </c>
      <c r="H34" s="2" t="s">
        <v>117</v>
      </c>
      <c r="I34" s="14" t="str">
        <f t="shared" ca="1" si="1"/>
        <v/>
      </c>
      <c r="J34" s="9" t="s">
        <v>167</v>
      </c>
    </row>
    <row r="35" spans="1:10" s="6" customFormat="1" x14ac:dyDescent="0.2">
      <c r="A35" s="8">
        <v>34</v>
      </c>
      <c r="B35" s="8" t="s">
        <v>165</v>
      </c>
      <c r="C35" s="8" t="s">
        <v>78</v>
      </c>
      <c r="D35" s="8" t="s">
        <v>112</v>
      </c>
      <c r="E35" s="2" t="s">
        <v>152</v>
      </c>
      <c r="F35" s="3">
        <f>Npercell*Rhoblood*Mfrac/6.02E+23*1000000000</f>
        <v>0</v>
      </c>
      <c r="G35" s="2" t="s">
        <v>51</v>
      </c>
      <c r="H35" s="2" t="s">
        <v>52</v>
      </c>
      <c r="I35" s="14" t="str">
        <f t="shared" ca="1" si="1"/>
        <v>=Npercell*Rhoblood*Mfrac/6.02E+23*1000000000</v>
      </c>
      <c r="J35" s="12"/>
    </row>
    <row r="36" spans="1:10" s="6" customFormat="1" x14ac:dyDescent="0.2">
      <c r="A36" s="8">
        <v>35</v>
      </c>
      <c r="B36" s="8" t="s">
        <v>165</v>
      </c>
      <c r="C36" s="8" t="s">
        <v>78</v>
      </c>
      <c r="D36" s="8" t="s">
        <v>112</v>
      </c>
      <c r="E36" s="2" t="s">
        <v>113</v>
      </c>
      <c r="F36" s="3">
        <f>Npercell*Rho*Mfrac/6.02E+23*1000000000</f>
        <v>0</v>
      </c>
      <c r="G36" s="2" t="s">
        <v>51</v>
      </c>
      <c r="H36" s="2" t="s">
        <v>52</v>
      </c>
      <c r="I36" s="14" t="str">
        <f t="shared" ca="1" si="1"/>
        <v>=Npercell*Rho*Mfrac/6.02E+23*1000000000</v>
      </c>
      <c r="J36" s="12"/>
    </row>
    <row r="37" spans="1:10" s="6" customFormat="1" x14ac:dyDescent="0.2">
      <c r="A37" s="8">
        <v>36</v>
      </c>
      <c r="B37" s="8" t="s">
        <v>165</v>
      </c>
      <c r="C37" s="8" t="s">
        <v>78</v>
      </c>
      <c r="D37" s="8" t="s">
        <v>77</v>
      </c>
      <c r="E37" s="2" t="s">
        <v>93</v>
      </c>
      <c r="F37" s="3">
        <f>M10_*kshedM1</f>
        <v>0</v>
      </c>
      <c r="G37" s="2" t="s">
        <v>19</v>
      </c>
      <c r="H37" s="2" t="s">
        <v>52</v>
      </c>
      <c r="I37" s="14" t="str">
        <f t="shared" ca="1" si="1"/>
        <v>=M10_*kshedM1</v>
      </c>
      <c r="J37" s="12"/>
    </row>
    <row r="38" spans="1:10" s="6" customFormat="1" x14ac:dyDescent="0.2">
      <c r="A38" s="8">
        <v>37</v>
      </c>
      <c r="B38" s="8" t="s">
        <v>165</v>
      </c>
      <c r="C38" s="8" t="s">
        <v>78</v>
      </c>
      <c r="D38" s="8" t="s">
        <v>79</v>
      </c>
      <c r="E38" s="2" t="s">
        <v>38</v>
      </c>
      <c r="F38" s="3">
        <f>M30_*kshed</f>
        <v>0</v>
      </c>
      <c r="G38" s="2" t="s">
        <v>19</v>
      </c>
      <c r="H38" s="2" t="s">
        <v>52</v>
      </c>
      <c r="I38" s="14" t="str">
        <f t="shared" ca="1" si="1"/>
        <v>=M30_*kshed</v>
      </c>
      <c r="J38" s="12"/>
    </row>
    <row r="39" spans="1:10" s="6" customFormat="1" x14ac:dyDescent="0.2">
      <c r="A39" s="8">
        <v>38</v>
      </c>
      <c r="B39" s="8" t="s">
        <v>165</v>
      </c>
      <c r="C39" s="8" t="s">
        <v>78</v>
      </c>
      <c r="D39" s="8" t="s">
        <v>86</v>
      </c>
      <c r="E39" s="2" t="s">
        <v>97</v>
      </c>
      <c r="F39" s="3">
        <v>1</v>
      </c>
      <c r="G39" s="2" t="s">
        <v>4</v>
      </c>
      <c r="H39" s="2" t="s">
        <v>118</v>
      </c>
      <c r="I39" s="14" t="str">
        <f t="shared" ca="1" si="1"/>
        <v/>
      </c>
      <c r="J39" s="12"/>
    </row>
    <row r="40" spans="1:10" s="6" customFormat="1" x14ac:dyDescent="0.2">
      <c r="A40" s="8">
        <v>39</v>
      </c>
      <c r="B40" s="8" t="s">
        <v>165</v>
      </c>
      <c r="C40" s="8" t="s">
        <v>69</v>
      </c>
      <c r="D40" s="8" t="s">
        <v>86</v>
      </c>
      <c r="E40" s="2" t="s">
        <v>41</v>
      </c>
      <c r="F40" s="3">
        <v>1</v>
      </c>
      <c r="G40" s="2" t="s">
        <v>4</v>
      </c>
      <c r="H40" s="2" t="s">
        <v>118</v>
      </c>
      <c r="I40" s="14" t="str">
        <f t="shared" ca="1" si="1"/>
        <v/>
      </c>
      <c r="J40" s="12"/>
    </row>
    <row r="41" spans="1:10" s="6" customFormat="1" x14ac:dyDescent="0.2">
      <c r="A41" s="8">
        <v>40</v>
      </c>
      <c r="B41" s="8" t="s">
        <v>165</v>
      </c>
      <c r="C41" s="8" t="s">
        <v>81</v>
      </c>
      <c r="D41" s="8" t="s">
        <v>87</v>
      </c>
      <c r="E41" s="2" t="s">
        <v>98</v>
      </c>
      <c r="F41" s="3">
        <v>1</v>
      </c>
      <c r="G41" s="2" t="s">
        <v>4</v>
      </c>
      <c r="H41" s="2" t="s">
        <v>118</v>
      </c>
      <c r="I41" s="14" t="str">
        <f t="shared" ca="1" si="1"/>
        <v/>
      </c>
      <c r="J41" s="12"/>
    </row>
    <row r="42" spans="1:10" s="6" customFormat="1" x14ac:dyDescent="0.2">
      <c r="A42" s="8">
        <v>41</v>
      </c>
      <c r="B42" s="8" t="s">
        <v>165</v>
      </c>
      <c r="C42" s="8" t="s">
        <v>69</v>
      </c>
      <c r="D42" s="8" t="s">
        <v>87</v>
      </c>
      <c r="E42" s="2" t="s">
        <v>42</v>
      </c>
      <c r="F42" s="3">
        <v>1</v>
      </c>
      <c r="G42" s="2" t="s">
        <v>4</v>
      </c>
      <c r="H42" s="2" t="s">
        <v>118</v>
      </c>
      <c r="I42" s="14" t="str">
        <f t="shared" ca="1" si="1"/>
        <v/>
      </c>
      <c r="J42" s="12"/>
    </row>
    <row r="43" spans="1:10" s="6" customFormat="1" x14ac:dyDescent="0.2">
      <c r="A43" s="8">
        <v>42</v>
      </c>
      <c r="B43" s="8" t="s">
        <v>165</v>
      </c>
      <c r="C43" s="8" t="s">
        <v>78</v>
      </c>
      <c r="D43" s="8" t="s">
        <v>94</v>
      </c>
      <c r="E43" s="2" t="s">
        <v>95</v>
      </c>
      <c r="F43" s="3">
        <v>1</v>
      </c>
      <c r="G43" s="2" t="s">
        <v>4</v>
      </c>
      <c r="H43" s="2" t="s">
        <v>118</v>
      </c>
      <c r="I43" s="14" t="str">
        <f t="shared" ca="1" si="1"/>
        <v/>
      </c>
      <c r="J43" s="12"/>
    </row>
    <row r="44" spans="1:10" s="6" customFormat="1" x14ac:dyDescent="0.2">
      <c r="A44" s="8">
        <v>43</v>
      </c>
      <c r="B44" s="8" t="s">
        <v>165</v>
      </c>
      <c r="C44" s="8" t="s">
        <v>81</v>
      </c>
      <c r="D44" s="8" t="s">
        <v>94</v>
      </c>
      <c r="E44" s="2" t="s">
        <v>96</v>
      </c>
      <c r="F44" s="3">
        <v>1</v>
      </c>
      <c r="G44" s="2" t="s">
        <v>4</v>
      </c>
      <c r="H44" s="2" t="s">
        <v>118</v>
      </c>
      <c r="I44" s="14" t="str">
        <f t="shared" ca="1" si="1"/>
        <v/>
      </c>
      <c r="J44" s="9"/>
    </row>
    <row r="45" spans="1:10" s="6" customFormat="1" x14ac:dyDescent="0.2">
      <c r="A45" s="8">
        <v>44</v>
      </c>
      <c r="B45" s="8" t="s">
        <v>165</v>
      </c>
      <c r="C45" s="8" t="s">
        <v>78</v>
      </c>
      <c r="D45" s="8" t="s">
        <v>80</v>
      </c>
      <c r="E45" s="2" t="s">
        <v>39</v>
      </c>
      <c r="F45" s="3">
        <v>1</v>
      </c>
      <c r="G45" s="2" t="s">
        <v>4</v>
      </c>
      <c r="H45" s="2" t="s">
        <v>118</v>
      </c>
      <c r="I45" s="14" t="str">
        <f t="shared" ca="1" si="1"/>
        <v/>
      </c>
      <c r="J45" s="9"/>
    </row>
    <row r="46" spans="1:10" s="6" customFormat="1" x14ac:dyDescent="0.2">
      <c r="A46" s="8">
        <v>45</v>
      </c>
      <c r="B46" s="8" t="s">
        <v>165</v>
      </c>
      <c r="C46" s="8" t="s">
        <v>81</v>
      </c>
      <c r="D46" s="8" t="s">
        <v>80</v>
      </c>
      <c r="E46" s="2" t="s">
        <v>40</v>
      </c>
      <c r="F46" s="3">
        <v>1</v>
      </c>
      <c r="G46" s="2" t="s">
        <v>4</v>
      </c>
      <c r="H46" s="2" t="s">
        <v>118</v>
      </c>
      <c r="I46" s="14" t="str">
        <f t="shared" ca="1" si="1"/>
        <v/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110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111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117</v>
      </c>
      <c r="I52" s="14" t="str">
        <f t="shared" ca="1" si="1"/>
        <v/>
      </c>
      <c r="J52" s="9" t="s">
        <v>114</v>
      </c>
    </row>
    <row r="53" spans="1:10" x14ac:dyDescent="0.2">
      <c r="A53" s="8">
        <v>52</v>
      </c>
      <c r="B53" s="8" t="s">
        <v>166</v>
      </c>
      <c r="C53" s="8" t="s">
        <v>68</v>
      </c>
      <c r="D53" s="8" t="s">
        <v>115</v>
      </c>
      <c r="E53" s="2" t="s">
        <v>115</v>
      </c>
      <c r="F53" s="16">
        <f>k13D*(Vc/Vtum)/(keD3_+k31D)</f>
        <v>0.33333333333333337</v>
      </c>
      <c r="G53" s="17" t="s">
        <v>3</v>
      </c>
      <c r="H53" s="2" t="s">
        <v>132</v>
      </c>
      <c r="I53" s="20" t="str">
        <f t="shared" ref="I53:I79" ca="1" si="2">_xlfn.IFNA(_xlfn.FORMULATEXT(F53),"")</f>
        <v>=k13D*(Vc/Vtum)/(keD3_+k31D)</v>
      </c>
      <c r="J53" s="21" t="s">
        <v>134</v>
      </c>
    </row>
    <row r="54" spans="1:10" x14ac:dyDescent="0.2">
      <c r="A54" s="8">
        <v>53</v>
      </c>
      <c r="B54" s="8" t="s">
        <v>166</v>
      </c>
      <c r="C54" s="8" t="s">
        <v>70</v>
      </c>
      <c r="D54" s="8" t="s">
        <v>116</v>
      </c>
      <c r="E54" s="2" t="s">
        <v>116</v>
      </c>
      <c r="F54" s="3">
        <v>0</v>
      </c>
      <c r="G54" s="2" t="s">
        <v>3</v>
      </c>
      <c r="H54" s="2" t="s">
        <v>109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166</v>
      </c>
      <c r="C55" s="8" t="s">
        <v>144</v>
      </c>
      <c r="D55" s="8" t="s">
        <v>135</v>
      </c>
      <c r="E55" s="2" t="s">
        <v>120</v>
      </c>
      <c r="F55" s="3">
        <f>0.000000003*1000000*60*60*24</f>
        <v>259.2</v>
      </c>
      <c r="G55" s="1" t="s">
        <v>121</v>
      </c>
      <c r="H55" s="2" t="s">
        <v>53</v>
      </c>
      <c r="I55" s="14" t="str">
        <f t="shared" ca="1" si="2"/>
        <v>=0.000000003*1000000*60*60*24</v>
      </c>
      <c r="J55" s="9" t="s">
        <v>108</v>
      </c>
    </row>
    <row r="56" spans="1:10" x14ac:dyDescent="0.2">
      <c r="A56" s="8">
        <v>55</v>
      </c>
      <c r="B56" s="8" t="s">
        <v>166</v>
      </c>
      <c r="C56" s="8" t="s">
        <v>144</v>
      </c>
      <c r="D56" s="8" t="s">
        <v>136</v>
      </c>
      <c r="E56" s="2" t="s">
        <v>122</v>
      </c>
      <c r="F56" s="3">
        <v>8</v>
      </c>
      <c r="G56" s="1" t="s">
        <v>123</v>
      </c>
      <c r="H56" s="2" t="s">
        <v>53</v>
      </c>
      <c r="I56" s="14" t="str">
        <f t="shared" ca="1" si="2"/>
        <v/>
      </c>
      <c r="J56" s="9" t="s">
        <v>108</v>
      </c>
    </row>
    <row r="57" spans="1:10" x14ac:dyDescent="0.2">
      <c r="A57" s="8">
        <v>56</v>
      </c>
      <c r="B57" s="8" t="s">
        <v>166</v>
      </c>
      <c r="C57" s="8" t="s">
        <v>144</v>
      </c>
      <c r="D57" s="8" t="s">
        <v>137</v>
      </c>
      <c r="E57" s="2" t="s">
        <v>124</v>
      </c>
      <c r="F57" s="3">
        <v>75</v>
      </c>
      <c r="G57" s="1" t="s">
        <v>123</v>
      </c>
      <c r="H57" s="2" t="s">
        <v>53</v>
      </c>
      <c r="I57" s="14" t="str">
        <f t="shared" ca="1" si="2"/>
        <v/>
      </c>
      <c r="J57" s="9" t="s">
        <v>108</v>
      </c>
    </row>
    <row r="58" spans="1:10" x14ac:dyDescent="0.2">
      <c r="A58" s="8">
        <v>57</v>
      </c>
      <c r="B58" s="8" t="s">
        <v>166</v>
      </c>
      <c r="C58" s="8" t="s">
        <v>144</v>
      </c>
      <c r="D58" s="8" t="s">
        <v>138</v>
      </c>
      <c r="E58" s="1" t="s">
        <v>125</v>
      </c>
      <c r="F58" s="3">
        <v>1</v>
      </c>
      <c r="G58" s="1" t="s">
        <v>3</v>
      </c>
      <c r="H58" s="2" t="s">
        <v>118</v>
      </c>
      <c r="I58" s="14" t="str">
        <f t="shared" ca="1" si="2"/>
        <v/>
      </c>
      <c r="J58" s="9" t="s">
        <v>130</v>
      </c>
    </row>
    <row r="59" spans="1:10" x14ac:dyDescent="0.2">
      <c r="A59" s="8">
        <v>58</v>
      </c>
      <c r="B59" s="8" t="s">
        <v>166</v>
      </c>
      <c r="C59" s="8" t="s">
        <v>68</v>
      </c>
      <c r="D59" s="8" t="s">
        <v>139</v>
      </c>
      <c r="E59" s="2" t="s">
        <v>126</v>
      </c>
      <c r="F59" s="3">
        <f>k31D_thurber*VD3_/VD1_</f>
        <v>2.2826006191950465E-2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145</v>
      </c>
    </row>
    <row r="60" spans="1:10" x14ac:dyDescent="0.2">
      <c r="A60" s="8">
        <v>59</v>
      </c>
      <c r="B60" s="8" t="s">
        <v>166</v>
      </c>
      <c r="C60" s="8" t="s">
        <v>68</v>
      </c>
      <c r="D60" s="8" t="s">
        <v>140</v>
      </c>
      <c r="E60" s="2" t="s">
        <v>127</v>
      </c>
      <c r="F60" s="3">
        <f>k12D*VD3_/VD2_</f>
        <v>1.3782083291720764E-2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166</v>
      </c>
      <c r="C61" s="8" t="s">
        <v>68</v>
      </c>
      <c r="D61" s="8" t="s">
        <v>88</v>
      </c>
      <c r="E61" s="2" t="s">
        <v>11</v>
      </c>
      <c r="F61" s="13">
        <f>k13d_prop</f>
        <v>1.3782083291720764E-2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133</v>
      </c>
    </row>
    <row r="62" spans="1:10" s="6" customFormat="1" x14ac:dyDescent="0.2">
      <c r="A62" s="8">
        <v>61</v>
      </c>
      <c r="B62" s="8" t="s">
        <v>166</v>
      </c>
      <c r="C62" s="8" t="s">
        <v>70</v>
      </c>
      <c r="D62" s="8" t="s">
        <v>88</v>
      </c>
      <c r="E62" s="2" t="s">
        <v>28</v>
      </c>
      <c r="F62" s="3">
        <f>2*k13D</f>
        <v>2.7564166583441529E-2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119</v>
      </c>
    </row>
    <row r="63" spans="1:10" s="6" customFormat="1" x14ac:dyDescent="0.2">
      <c r="A63" s="8">
        <v>62</v>
      </c>
      <c r="B63" s="8" t="s">
        <v>166</v>
      </c>
      <c r="C63" s="8" t="s">
        <v>71</v>
      </c>
      <c r="D63" s="8" t="s">
        <v>88</v>
      </c>
      <c r="E63" s="2" t="s">
        <v>30</v>
      </c>
      <c r="F63" s="3">
        <f>k13D</f>
        <v>1.3782083291720764E-2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166</v>
      </c>
      <c r="C64" s="8" t="s">
        <v>68</v>
      </c>
      <c r="D64" s="8" t="s">
        <v>141</v>
      </c>
      <c r="E64" s="2" t="s">
        <v>128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183</v>
      </c>
    </row>
    <row r="65" spans="1:10" s="6" customFormat="1" x14ac:dyDescent="0.2">
      <c r="A65" s="8">
        <v>64</v>
      </c>
      <c r="B65" s="8" t="s">
        <v>166</v>
      </c>
      <c r="C65" s="8" t="s">
        <v>68</v>
      </c>
      <c r="D65" s="8" t="s">
        <v>142</v>
      </c>
      <c r="E65" s="2" t="s">
        <v>129</v>
      </c>
      <c r="F65" s="3">
        <f>VD1_/VD3_*k13d_prop*3</f>
        <v>1.3354838709677419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146</v>
      </c>
    </row>
    <row r="66" spans="1:10" s="6" customFormat="1" x14ac:dyDescent="0.2">
      <c r="A66" s="8">
        <v>65</v>
      </c>
      <c r="B66" s="8" t="s">
        <v>166</v>
      </c>
      <c r="C66" s="8" t="s">
        <v>68</v>
      </c>
      <c r="D66" s="8" t="s">
        <v>143</v>
      </c>
      <c r="E66" s="2" t="s">
        <v>12</v>
      </c>
      <c r="F66" s="13">
        <f>k31D_prop</f>
        <v>1.3354838709677419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133</v>
      </c>
    </row>
    <row r="67" spans="1:10" s="6" customFormat="1" x14ac:dyDescent="0.2">
      <c r="A67" s="8">
        <v>66</v>
      </c>
      <c r="B67" s="8" t="s">
        <v>166</v>
      </c>
      <c r="C67" s="8" t="s">
        <v>70</v>
      </c>
      <c r="D67" s="8" t="s">
        <v>143</v>
      </c>
      <c r="E67" s="2" t="s">
        <v>29</v>
      </c>
      <c r="F67" s="3">
        <f>2*k31D</f>
        <v>2.6709677419354838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119</v>
      </c>
    </row>
    <row r="68" spans="1:10" s="6" customFormat="1" x14ac:dyDescent="0.2">
      <c r="A68" s="8">
        <v>67</v>
      </c>
      <c r="B68" s="8" t="s">
        <v>166</v>
      </c>
      <c r="C68" s="8" t="s">
        <v>71</v>
      </c>
      <c r="D68" s="8" t="s">
        <v>143</v>
      </c>
      <c r="E68" s="2" t="s">
        <v>31</v>
      </c>
      <c r="F68" s="3">
        <f>k31D</f>
        <v>1.3354838709677419</v>
      </c>
      <c r="G68" s="2" t="s">
        <v>4</v>
      </c>
      <c r="H68" s="2" t="s">
        <v>52</v>
      </c>
      <c r="I68" s="12" t="str">
        <f t="shared" ca="1" si="2"/>
        <v>=k31D</v>
      </c>
      <c r="J68" s="9" t="s">
        <v>168</v>
      </c>
    </row>
    <row r="69" spans="1:10" s="11" customFormat="1" ht="32" x14ac:dyDescent="0.2">
      <c r="A69" s="8">
        <v>68</v>
      </c>
      <c r="B69" s="8" t="s">
        <v>166</v>
      </c>
      <c r="C69" s="8" t="s">
        <v>78</v>
      </c>
      <c r="D69" s="8" t="s">
        <v>88</v>
      </c>
      <c r="E69" s="2" t="s">
        <v>99</v>
      </c>
      <c r="F69" s="3">
        <v>0</v>
      </c>
      <c r="G69" s="2" t="s">
        <v>4</v>
      </c>
      <c r="H69" s="2" t="s">
        <v>117</v>
      </c>
      <c r="I69" s="12" t="str">
        <f t="shared" ca="1" si="2"/>
        <v/>
      </c>
      <c r="J69" s="15" t="s">
        <v>170</v>
      </c>
    </row>
    <row r="70" spans="1:10" s="10" customFormat="1" x14ac:dyDescent="0.2">
      <c r="A70" s="8">
        <v>69</v>
      </c>
      <c r="B70" s="8" t="s">
        <v>166</v>
      </c>
      <c r="C70" s="8" t="s">
        <v>78</v>
      </c>
      <c r="D70" s="8" t="s">
        <v>89</v>
      </c>
      <c r="E70" s="2" t="s">
        <v>100</v>
      </c>
      <c r="F70" s="3">
        <v>0</v>
      </c>
      <c r="G70" s="2" t="s">
        <v>4</v>
      </c>
      <c r="H70" s="18" t="s">
        <v>117</v>
      </c>
      <c r="I70" s="12" t="str">
        <f t="shared" ca="1" si="2"/>
        <v/>
      </c>
      <c r="J70" s="12" t="s">
        <v>171</v>
      </c>
    </row>
    <row r="71" spans="1:10" s="6" customFormat="1" x14ac:dyDescent="0.2">
      <c r="A71" s="8">
        <v>70</v>
      </c>
      <c r="B71" s="8" t="s">
        <v>166</v>
      </c>
      <c r="C71" s="8" t="s">
        <v>81</v>
      </c>
      <c r="D71" s="8" t="s">
        <v>88</v>
      </c>
      <c r="E71" s="2" t="s">
        <v>101</v>
      </c>
      <c r="F71" s="3">
        <f>k13M</f>
        <v>0</v>
      </c>
      <c r="G71" s="2" t="s">
        <v>4</v>
      </c>
      <c r="H71" s="18" t="s">
        <v>117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166</v>
      </c>
      <c r="C72" s="8" t="s">
        <v>81</v>
      </c>
      <c r="D72" s="8" t="s">
        <v>89</v>
      </c>
      <c r="E72" s="2" t="s">
        <v>102</v>
      </c>
      <c r="F72" s="3">
        <f>k31M</f>
        <v>0</v>
      </c>
      <c r="G72" s="2" t="s">
        <v>4</v>
      </c>
      <c r="H72" s="18" t="s">
        <v>117</v>
      </c>
      <c r="I72" s="12" t="str">
        <f t="shared" ca="1" si="2"/>
        <v>=k31M</v>
      </c>
      <c r="J72" s="12" t="s">
        <v>169</v>
      </c>
    </row>
    <row r="73" spans="1:10" s="6" customFormat="1" x14ac:dyDescent="0.2">
      <c r="A73" s="8">
        <v>72</v>
      </c>
      <c r="B73" s="8" t="s">
        <v>172</v>
      </c>
      <c r="C73" s="8" t="s">
        <v>68</v>
      </c>
      <c r="D73" s="8" t="s">
        <v>172</v>
      </c>
      <c r="E73" s="2" t="s">
        <v>172</v>
      </c>
      <c r="F73" s="3">
        <v>2700</v>
      </c>
      <c r="G73" s="2" t="s">
        <v>173</v>
      </c>
      <c r="H73" s="2" t="s">
        <v>53</v>
      </c>
      <c r="I73" s="12" t="str">
        <f t="shared" ca="1" si="2"/>
        <v/>
      </c>
      <c r="J73" s="9" t="s">
        <v>194</v>
      </c>
    </row>
    <row r="74" spans="1:10" s="6" customFormat="1" x14ac:dyDescent="0.2">
      <c r="A74" s="8">
        <v>73</v>
      </c>
      <c r="B74" s="8" t="s">
        <v>172</v>
      </c>
      <c r="C74" s="8" t="s">
        <v>68</v>
      </c>
      <c r="D74" s="8" t="s">
        <v>176</v>
      </c>
      <c r="E74" s="2" t="s">
        <v>175</v>
      </c>
      <c r="F74" s="3">
        <v>21</v>
      </c>
      <c r="G74" s="2" t="s">
        <v>177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179</v>
      </c>
      <c r="E75" s="2" t="s">
        <v>174</v>
      </c>
      <c r="F75" s="3">
        <f>Dose/(CL*Tau)</f>
        <v>714.28571428571433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165</v>
      </c>
      <c r="C76" s="8" t="s">
        <v>81</v>
      </c>
      <c r="D76" s="8" t="s">
        <v>181</v>
      </c>
      <c r="E76" s="2" t="s">
        <v>182</v>
      </c>
      <c r="F76" s="3">
        <f>F46+F42</f>
        <v>2</v>
      </c>
      <c r="G76" s="2" t="s">
        <v>4</v>
      </c>
      <c r="H76" s="2" t="s">
        <v>52</v>
      </c>
      <c r="I76" s="12" t="str">
        <f t="shared" ca="1" si="2"/>
        <v>=F46+F42</v>
      </c>
      <c r="J76" s="10"/>
    </row>
    <row r="77" spans="1:10" s="6" customFormat="1" x14ac:dyDescent="0.2">
      <c r="A77" s="8">
        <v>76</v>
      </c>
      <c r="B77" s="8" t="s">
        <v>166</v>
      </c>
      <c r="C77" s="8" t="s">
        <v>81</v>
      </c>
      <c r="D77" s="8" t="s">
        <v>180</v>
      </c>
      <c r="E77" s="2" t="s">
        <v>178</v>
      </c>
      <c r="F77" s="3">
        <f>keDMtot*M30_/(k31D_thurber*Cavg)</f>
        <v>0</v>
      </c>
      <c r="G77" s="2" t="s">
        <v>3</v>
      </c>
      <c r="H77" s="2" t="s">
        <v>184</v>
      </c>
      <c r="I77" s="12" t="str">
        <f t="shared" ca="1" si="2"/>
        <v>=keDMtot*M30_/(k31D_thurber*Cavg)</v>
      </c>
      <c r="J77" s="9" t="s">
        <v>185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68" priority="32" operator="containsText" text="derived">
      <formula>NOT(ISERROR(SEARCH("derived",F293)))</formula>
    </cfRule>
  </conditionalFormatting>
  <conditionalFormatting sqref="J8">
    <cfRule type="expression" dxfId="67" priority="30">
      <formula>$H2="fit"</formula>
    </cfRule>
  </conditionalFormatting>
  <conditionalFormatting sqref="H55:I58 K55:K58 D58 C55:C58 J25:J28 K24:K28 K31:K34 I24:J24 G35:G36 H24:I38 B53:K53 B47:H52 I37:I66 A1:K3 C37:G38 C24:G30 B24:B46 C59:K66 C54:K54 A80:K1048576 B54:B68 A79:H79 C67:H68 J35:K52 C35:E36 I67:K79 A4:A77 B4:K23 J29:K30 C39:H46 B69:H72">
    <cfRule type="containsText" dxfId="66" priority="29" operator="containsText" text="calc">
      <formula>NOT(ISERROR(SEARCH("calc",A1)))</formula>
    </cfRule>
  </conditionalFormatting>
  <conditionalFormatting sqref="H80:I1048576 H79 I67:I79 H1:I66 H67:H72">
    <cfRule type="containsText" dxfId="65" priority="27" operator="containsText" text="literature">
      <formula>NOT(ISERROR(SEARCH("literature",H1)))</formula>
    </cfRule>
    <cfRule type="containsText" dxfId="64" priority="28" operator="containsText" text="guess">
      <formula>NOT(ISERROR(SEARCH("guess",H1)))</formula>
    </cfRule>
  </conditionalFormatting>
  <conditionalFormatting sqref="H53:I66 H1:I38 I37:I52 H80:I1048576 H79 I67:I79 H39:H52 H67:H72">
    <cfRule type="containsText" dxfId="63" priority="22" operator="containsText" text="not used">
      <formula>NOT(ISERROR(SEARCH("not used",H1)))</formula>
    </cfRule>
    <cfRule type="containsText" dxfId="62" priority="23" operator="containsText" text="literature">
      <formula>NOT(ISERROR(SEARCH("literature",H1)))</formula>
    </cfRule>
    <cfRule type="containsText" dxfId="61" priority="24" operator="containsText" text="guess">
      <formula>NOT(ISERROR(SEARCH("guess",H1)))</formula>
    </cfRule>
    <cfRule type="containsText" dxfId="60" priority="25" operator="containsText" text="calc">
      <formula>NOT(ISERROR(SEARCH("calc",H1)))</formula>
    </cfRule>
    <cfRule type="containsText" dxfId="59" priority="26" operator="containsText" text="check">
      <formula>NOT(ISERROR(SEARCH("check",H1)))</formula>
    </cfRule>
  </conditionalFormatting>
  <conditionalFormatting sqref="H79:H1048576 H1:H72">
    <cfRule type="containsText" dxfId="58" priority="21" operator="containsText" text="internal data">
      <formula>NOT(ISERROR(SEARCH("internal data",H1)))</formula>
    </cfRule>
  </conditionalFormatting>
  <conditionalFormatting sqref="H73:H77">
    <cfRule type="containsText" dxfId="57" priority="11" operator="containsText" text="calc">
      <formula>NOT(ISERROR(SEARCH("calc",H73)))</formula>
    </cfRule>
  </conditionalFormatting>
  <conditionalFormatting sqref="H73:H77">
    <cfRule type="containsText" dxfId="56" priority="9" operator="containsText" text="literature">
      <formula>NOT(ISERROR(SEARCH("literature",H73)))</formula>
    </cfRule>
    <cfRule type="containsText" dxfId="55" priority="10" operator="containsText" text="guess">
      <formula>NOT(ISERROR(SEARCH("guess",H73)))</formula>
    </cfRule>
  </conditionalFormatting>
  <conditionalFormatting sqref="H73:H77">
    <cfRule type="containsText" dxfId="54" priority="4" operator="containsText" text="not used">
      <formula>NOT(ISERROR(SEARCH("not used",H73)))</formula>
    </cfRule>
    <cfRule type="containsText" dxfId="53" priority="5" operator="containsText" text="literature">
      <formula>NOT(ISERROR(SEARCH("literature",H73)))</formula>
    </cfRule>
    <cfRule type="containsText" dxfId="52" priority="6" operator="containsText" text="guess">
      <formula>NOT(ISERROR(SEARCH("guess",H73)))</formula>
    </cfRule>
    <cfRule type="containsText" dxfId="51" priority="7" operator="containsText" text="calc">
      <formula>NOT(ISERROR(SEARCH("calc",H73)))</formula>
    </cfRule>
    <cfRule type="containsText" dxfId="50" priority="8" operator="containsText" text="check">
      <formula>NOT(ISERROR(SEARCH("check",H73)))</formula>
    </cfRule>
  </conditionalFormatting>
  <conditionalFormatting sqref="H73:H77">
    <cfRule type="containsText" dxfId="49" priority="3" operator="containsText" text="internal data">
      <formula>NOT(ISERROR(SEARCH("internal data",H73)))</formula>
    </cfRule>
  </conditionalFormatting>
  <conditionalFormatting sqref="J15">
    <cfRule type="expression" dxfId="33" priority="2">
      <formula>$H9="fit"</formula>
    </cfRule>
  </conditionalFormatting>
  <conditionalFormatting sqref="J16">
    <cfRule type="expression" dxfId="30" priority="1">
      <formula>$H10="fit"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2017-10-27T21:25:02Z</dcterms:modified>
</cp:coreProperties>
</file>