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in/Github/TumorModelingCode/data/"/>
    </mc:Choice>
  </mc:AlternateContent>
  <bookViews>
    <workbookView xWindow="1620" yWindow="460" windowWidth="20120" windowHeight="1496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F26" i="1"/>
  <c r="F25" i="1"/>
  <c r="F20" i="1"/>
  <c r="F18" i="1"/>
  <c r="F21" i="1"/>
  <c r="F19" i="1"/>
  <c r="F22" i="1"/>
  <c r="F75" i="1"/>
  <c r="F36" i="1"/>
  <c r="F77" i="1"/>
  <c r="I77" i="1"/>
  <c r="F46" i="1"/>
  <c r="F76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45" i="1"/>
  <c r="F38" i="1"/>
  <c r="F35" i="1"/>
  <c r="F37" i="1"/>
  <c r="F44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F23" i="1"/>
  <c r="I23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<sst xmlns="http://schemas.openxmlformats.org/spreadsheetml/2006/main" count="507" uniqueCount="200">
  <si>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</si>
  <si>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</si>
  <si>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</si>
  <si>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</si>
  <si>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</si>
  <si>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</si>
  <si>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</si>
  <si>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</si>
  <si>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</si>
  <si>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</si>
  <si>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</si>
  <si>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</si>
  <si>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</si>
  <si>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</si>
  <si>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</si>
  <si>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</si>
  <si>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</si>
  <si>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</si>
  <si>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</si>
  <si>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</si>
  <si>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</si>
  <si>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</si>
  <si>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</si>
  <si>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</si>
  <si>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</si>
  <si>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</si>
  <si>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</si>
  <si>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</si>
  <si>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</si>
  <si>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</si>
  <si>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</si>
  <si>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</si>
  <si>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</si>
  <si>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</si>
  <si>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</si>
  <si>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</si>
  <si>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</si>
  <si>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</si>
  <si>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</si>
  <si>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</si>
  <si>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</si>
  <si>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</si>
  <si>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</si>
  <si>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</si>
  <si>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</si>
  <si>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</si>
  <si>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</si>
  <si>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</si>
  <si>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</si>
  <si>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</si>
  <si>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</si>
  <si>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</si>
  <si>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</si>
  <si>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</si>
  <si>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</si>
  <si>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</si>
  <si>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</si>
  <si>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</si>
  <si>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</si>
  <si>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</si>
  <si>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</si>
  <si>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</si>
  <si>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</si>
  <si>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</si>
  <si>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</si>
  <si>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</si>
  <si>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</si>
  <si>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</si>
  <si>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</si>
  <si>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</si>
  <si>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</si>
  <si>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</si>
  <si>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</si>
  <si>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</si>
  <si>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</si>
  <si>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</si>
  <si>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</si>
  <si>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</si>
  <si>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</si>
  <si>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</si>
  <si>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</si>
  <si>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</si>
  <si>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</si>
  <si>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</si>
  <si>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</si>
  <si>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</si>
  <si>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</si>
  <si>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</si>
  <si>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</si>
  <si>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</si>
  <si>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</si>
  <si>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</si>
  <si>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</si>
  <si>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</si>
  <si>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</si>
  <si>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</si>
  <si>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</si>
  <si>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</si>
  <si>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</si>
  <si>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</si>
  <si>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</si>
  <si>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</si>
  <si>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</si>
  <si>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</si>
  <si>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</si>
  <si>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</si>
  <si>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</si>
  <si>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</si>
  <si>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</si>
  <si>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</si>
  <si>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</si>
  <si>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</si>
  <si>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</si>
  <si>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</si>
  <si>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</si>
  <si>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</si>
  <si>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</si>
  <si>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</si>
  <si>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</si>
  <si>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</si>
  <si>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</si>
  <si>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</si>
  <si>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</si>
  <si>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</si>
  <si>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</si>
  <si>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</si>
  <si>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</si>
  <si>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</si>
  <si>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</si>
  <si>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</si>
  <si>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</si>
  <si>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</si>
  <si>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</si>
  <si>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</si>
  <si>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</si>
  <si>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</si>
  <si>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</si>
  <si>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</si>
  <si>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</si>
  <si>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</si>
  <si>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</si>
  <si>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</si>
  <si>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</si>
  <si>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</si>
  <si>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</si>
  <si>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</si>
  <si>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</si>
  <si>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</si>
  <si>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</si>
  <si>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S10</t>
  </si>
  <si>
    <t>Wang15 - 10.18632/oncotarget.5682 - 3 ng/ml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</si>
  <si>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</si>
  <si>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</si>
  <si>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</si>
  <si>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</si>
  <si>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</si>
  <si>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</si>
  <si>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</si>
  <si>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</si>
  <si>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</si>
  <si>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</si>
  <si>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</si>
  <si>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</si>
  <si>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</si>
  <si>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</si>
  <si>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</si>
  <si>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</si>
  <si>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</si>
  <si>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</si>
  <si>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</si>
  <si>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Assume elimination is from shedding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</si>
  <si>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</si>
  <si>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</si>
  <si>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</si>
  <si>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</si>
  <si>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</si>
  <si>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</si>
  <si>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</si>
  <si>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</si>
  <si>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</si>
  <si>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</si>
  <si>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</si>
  <si>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</si>
  <si>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</si>
  <si>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</si>
  <si>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</si>
  <si>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</si>
  <si>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</si>
  <si>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</si>
  <si>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Ahamadi17 - 10.1002/psp4.12139</t>
  </si>
  <si>
    <t>NA</t>
  </si>
  <si>
    <t>Lindauer17 - 10.1002/psp4.12130</t>
  </si>
  <si>
    <t>Lindauer17 - 10.1002/psp4.12130 - .144/h * 24h/d</t>
  </si>
  <si>
    <t>Lindauer17 - 10.1002/psp4.12130 - 340e6/(M*h)</t>
  </si>
  <si>
    <t>Lindauer17 - 10.1002/psp4.12130 - .0194/h * 24h/d mice</t>
  </si>
  <si>
    <t>similar to keD1</t>
  </si>
  <si>
    <t>ignored</t>
  </si>
  <si>
    <t>Assumption - 10% cells in tumor expressing PD1</t>
  </si>
  <si>
    <t>Reasonable Value - Li04 - 10.4049/jimmunol.173.11.6806 = ln(2)/5 h * 24 h/d</t>
  </si>
  <si>
    <t>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</si>
</sst>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3"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2" dataDxfId="11">
  <autoFilter ref="A1:J79"/>
  <tableColumns count="10">
    <tableColumn id="1" name="Order" dataDxfId="10"/>
    <tableColumn id="2" name="ParamType" dataDxfId="9"/>
    <tableColumn id="3" name="Molecule" dataDxfId="8"/>
    <tableColumn id="4" name="Description" dataDxfId="7"/>
    <tableColumn id="5" name="Parameter" dataDxfId="6"/>
    <tableColumn id="6" name="Value" dataDxfId="5"/>
    <tableColumn id="7" name="Units" dataDxfId="4"/>
    <tableColumn id="8" name="Source" dataDxfId="3"/>
    <tableColumn id="10" name="Formula" dataDxfId="2">
      <calculatedColumnFormula>_xlfn.IFNA(_xlfn.FORMULATEXT(F2),"")</calculatedColumnFormula>
    </tableColumn>
    <tableColumn id="9" name="Comment or Referenc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="99" workbookViewId="0">
      <selection activeCell="E13" sqref="E13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3">
        <v>0.22</v>
      </c>
      <c r="G4" s="2" t="s">
        <v>45</v>
      </c>
      <c r="H4" s="2" t="s">
        <v>53</v>
      </c>
      <c r="I4" s="14" t="str">
        <f t="shared" ca="1" si="0"/>
        <v/>
      </c>
      <c r="J4" s="9" t="s">
        <v>189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6.3218390804597707E-2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3">
        <v>0.79500000000000004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189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7">
        <v>3.48</v>
      </c>
      <c r="G7" s="2" t="s">
        <v>2</v>
      </c>
      <c r="H7" s="2" t="s">
        <v>53</v>
      </c>
      <c r="I7" s="14" t="str">
        <f t="shared" ca="1" si="0"/>
        <v/>
      </c>
      <c r="J7" s="9" t="s">
        <v>189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3">
        <v>4.0599999999999996</v>
      </c>
      <c r="G8" s="2" t="s">
        <v>2</v>
      </c>
      <c r="H8" s="2" t="s">
        <v>53</v>
      </c>
      <c r="I8" s="14" t="str">
        <f t="shared" ca="1" si="0"/>
        <v/>
      </c>
      <c r="J8" s="9" t="s">
        <v>189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3.48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3.48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3.48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3.48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0.22844827586206898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0.19581280788177344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166</v>
      </c>
      <c r="C15" s="8" t="s">
        <v>68</v>
      </c>
      <c r="D15" s="8" t="s">
        <v>90</v>
      </c>
      <c r="E15" s="2" t="s">
        <v>107</v>
      </c>
      <c r="F15" s="3">
        <v>146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166</v>
      </c>
      <c r="C16" s="8" t="s">
        <v>78</v>
      </c>
      <c r="D16" s="8" t="s">
        <v>90</v>
      </c>
      <c r="E16" s="2" t="s">
        <v>91</v>
      </c>
      <c r="F16" s="3">
        <v>32</v>
      </c>
      <c r="G16" s="2" t="s">
        <v>92</v>
      </c>
      <c r="H16" s="2" t="s">
        <v>53</v>
      </c>
      <c r="I16" s="14" t="str">
        <f t="shared" ca="1" si="0"/>
        <v/>
      </c>
      <c r="J16" s="9" t="s">
        <v>108</v>
      </c>
    </row>
    <row r="17" spans="1:10" s="10" customFormat="1" x14ac:dyDescent="0.2">
      <c r="A17" s="8">
        <v>16</v>
      </c>
      <c r="B17" s="8" t="s">
        <v>166</v>
      </c>
      <c r="C17" s="8" t="s">
        <v>70</v>
      </c>
      <c r="D17" s="8" t="s">
        <v>90</v>
      </c>
      <c r="E17" s="2" t="s">
        <v>109</v>
      </c>
      <c r="F17" s="3">
        <v>32</v>
      </c>
      <c r="G17" s="2" t="s">
        <v>92</v>
      </c>
      <c r="H17" s="2" t="s">
        <v>53</v>
      </c>
      <c r="I17" s="14" t="str">
        <f t="shared" ca="1" si="0"/>
        <v/>
      </c>
      <c r="J17" s="9"/>
    </row>
    <row r="18" spans="1:10" s="10" customFormat="1" x14ac:dyDescent="0.2">
      <c r="A18" s="8">
        <v>17</v>
      </c>
      <c r="B18" s="8" t="s">
        <v>166</v>
      </c>
      <c r="C18" s="8" t="s">
        <v>73</v>
      </c>
      <c r="D18" s="8" t="s">
        <v>74</v>
      </c>
      <c r="E18" s="2" t="s">
        <v>50</v>
      </c>
      <c r="F18" s="12">
        <f>koff/kon</f>
        <v>0.42352941176470582</v>
      </c>
      <c r="G18" s="2" t="s">
        <v>51</v>
      </c>
      <c r="H18" s="2" t="s">
        <v>52</v>
      </c>
      <c r="I18" s="14" t="str">
        <f t="shared" ca="1" si="0"/>
        <v>=koff/kon</v>
      </c>
      <c r="J18" s="9"/>
    </row>
    <row r="19" spans="1:10" s="10" customFormat="1" x14ac:dyDescent="0.2">
      <c r="A19" s="8">
        <v>18</v>
      </c>
      <c r="B19" s="8" t="s">
        <v>166</v>
      </c>
      <c r="C19" s="8" t="s">
        <v>73</v>
      </c>
      <c r="D19" s="8" t="s">
        <v>75</v>
      </c>
      <c r="E19" s="2" t="s">
        <v>16</v>
      </c>
      <c r="F19" s="12">
        <f>0.144*24</f>
        <v>3.4559999999999995</v>
      </c>
      <c r="G19" s="2" t="s">
        <v>4</v>
      </c>
      <c r="H19" s="2" t="s">
        <v>53</v>
      </c>
      <c r="I19" s="14" t="str">
        <f t="shared" ca="1" si="0"/>
        <v>=0.144*24</v>
      </c>
      <c r="J19" s="9" t="s">
        <v>192</v>
      </c>
    </row>
    <row r="20" spans="1:10" s="6" customFormat="1" x14ac:dyDescent="0.2">
      <c r="A20" s="8">
        <v>19</v>
      </c>
      <c r="B20" s="8" t="s">
        <v>166</v>
      </c>
      <c r="C20" s="8" t="s">
        <v>73</v>
      </c>
      <c r="D20" s="8" t="s">
        <v>75</v>
      </c>
      <c r="E20" s="2" t="s">
        <v>18</v>
      </c>
      <c r="F20" s="12">
        <f>koff</f>
        <v>3.4559999999999995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166</v>
      </c>
      <c r="C21" s="8" t="s">
        <v>73</v>
      </c>
      <c r="D21" s="8" t="s">
        <v>76</v>
      </c>
      <c r="E21" s="2" t="s">
        <v>15</v>
      </c>
      <c r="F21" s="12">
        <f>340000000*24/1000000000</f>
        <v>8.16</v>
      </c>
      <c r="G21" s="2" t="s">
        <v>20</v>
      </c>
      <c r="H21" s="2" t="s">
        <v>53</v>
      </c>
      <c r="I21" s="14" t="str">
        <f t="shared" ca="1" si="0"/>
        <v>=340000000*24/1000000000</v>
      </c>
      <c r="J21" s="9" t="s">
        <v>193</v>
      </c>
    </row>
    <row r="22" spans="1:10" s="6" customFormat="1" x14ac:dyDescent="0.2">
      <c r="A22" s="8">
        <v>21</v>
      </c>
      <c r="B22" s="8" t="s">
        <v>166</v>
      </c>
      <c r="C22" s="8" t="s">
        <v>73</v>
      </c>
      <c r="D22" s="8" t="s">
        <v>76</v>
      </c>
      <c r="E22" s="2" t="s">
        <v>17</v>
      </c>
      <c r="F22" s="12">
        <f>kon</f>
        <v>8.16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167</v>
      </c>
      <c r="C23" s="8"/>
      <c r="D23" s="8" t="s">
        <v>152</v>
      </c>
      <c r="E23" s="2" t="s">
        <v>149</v>
      </c>
      <c r="F23" s="21">
        <f>3/MWS</f>
        <v>9.375E-2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150</v>
      </c>
    </row>
    <row r="24" spans="1:10" s="23" customFormat="1" x14ac:dyDescent="0.2">
      <c r="A24" s="8">
        <v>23</v>
      </c>
      <c r="B24" s="8" t="s">
        <v>167</v>
      </c>
      <c r="C24" s="8"/>
      <c r="D24" s="8"/>
      <c r="E24" s="2" t="s">
        <v>153</v>
      </c>
      <c r="F24" s="12" t="s">
        <v>190</v>
      </c>
      <c r="G24" s="2" t="s">
        <v>3</v>
      </c>
      <c r="H24" s="2" t="s">
        <v>196</v>
      </c>
      <c r="I24" s="14" t="str">
        <f ca="1">_xlfn.IFNA(_xlfn.FORMULATEXT(F24),"")</f>
        <v/>
      </c>
      <c r="J24" s="9" t="s">
        <v>151</v>
      </c>
    </row>
    <row r="25" spans="1:10" s="23" customFormat="1" x14ac:dyDescent="0.2">
      <c r="A25" s="8">
        <v>24</v>
      </c>
      <c r="B25" s="8" t="s">
        <v>167</v>
      </c>
      <c r="C25" s="8" t="s">
        <v>70</v>
      </c>
      <c r="D25" s="8" t="s">
        <v>69</v>
      </c>
      <c r="E25" s="2" t="s">
        <v>32</v>
      </c>
      <c r="F25" s="3">
        <f>0.0194*24</f>
        <v>0.46560000000000001</v>
      </c>
      <c r="G25" s="2" t="s">
        <v>4</v>
      </c>
      <c r="H25" s="2" t="s">
        <v>52</v>
      </c>
      <c r="I25" s="14" t="str">
        <f ca="1">_xlfn.IFNA(_xlfn.FORMULATEXT(F25),"")</f>
        <v>=0.0194*24</v>
      </c>
      <c r="J25" s="9" t="s">
        <v>194</v>
      </c>
    </row>
    <row r="26" spans="1:10" s="23" customFormat="1" x14ac:dyDescent="0.2">
      <c r="A26" s="8">
        <v>25</v>
      </c>
      <c r="B26" s="8" t="s">
        <v>167</v>
      </c>
      <c r="C26" s="8" t="s">
        <v>71</v>
      </c>
      <c r="D26" s="8" t="s">
        <v>69</v>
      </c>
      <c r="E26" s="2" t="s">
        <v>34</v>
      </c>
      <c r="F26" s="3">
        <f>keD</f>
        <v>6.3218390804597707E-2</v>
      </c>
      <c r="G26" s="2" t="s">
        <v>4</v>
      </c>
      <c r="H26" s="2" t="s">
        <v>52</v>
      </c>
      <c r="I26" s="14" t="str">
        <f t="shared" ref="I26:I52" ca="1" si="1">_xlfn.IFNA(_xlfn.FORMULATEXT(F26),"")</f>
        <v>=keD</v>
      </c>
      <c r="J26" s="9" t="s">
        <v>195</v>
      </c>
    </row>
    <row r="27" spans="1:10" s="23" customFormat="1" x14ac:dyDescent="0.2">
      <c r="A27" s="8">
        <v>26</v>
      </c>
      <c r="B27" s="8" t="s">
        <v>167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167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167</v>
      </c>
      <c r="C29" s="8" t="s">
        <v>69</v>
      </c>
      <c r="D29" s="8" t="s">
        <v>84</v>
      </c>
      <c r="E29" s="2" t="s">
        <v>33</v>
      </c>
      <c r="F29" s="3">
        <v>1</v>
      </c>
      <c r="G29" s="2" t="s">
        <v>4</v>
      </c>
      <c r="H29" s="2" t="s">
        <v>120</v>
      </c>
      <c r="I29" s="14" t="str">
        <f t="shared" ca="1" si="1"/>
        <v/>
      </c>
      <c r="J29" s="9" t="s">
        <v>169</v>
      </c>
    </row>
    <row r="30" spans="1:10" s="6" customFormat="1" x14ac:dyDescent="0.2">
      <c r="A30" s="8">
        <v>29</v>
      </c>
      <c r="B30" s="8" t="s">
        <v>167</v>
      </c>
      <c r="C30" s="8" t="s">
        <v>69</v>
      </c>
      <c r="D30" s="8" t="s">
        <v>85</v>
      </c>
      <c r="E30" s="2" t="s">
        <v>35</v>
      </c>
      <c r="F30" s="3">
        <v>1</v>
      </c>
      <c r="G30" s="2" t="s">
        <v>4</v>
      </c>
      <c r="H30" s="2" t="s">
        <v>120</v>
      </c>
      <c r="I30" s="14" t="str">
        <f t="shared" ca="1" si="1"/>
        <v/>
      </c>
      <c r="J30" s="9" t="s">
        <v>169</v>
      </c>
    </row>
    <row r="31" spans="1:10" s="6" customFormat="1" x14ac:dyDescent="0.2">
      <c r="A31" s="8">
        <v>30</v>
      </c>
      <c r="B31" s="8" t="s">
        <v>167</v>
      </c>
      <c r="C31" s="8" t="s">
        <v>78</v>
      </c>
      <c r="D31" s="8" t="s">
        <v>155</v>
      </c>
      <c r="E31" s="2" t="s">
        <v>156</v>
      </c>
      <c r="F31" s="3">
        <v>10000</v>
      </c>
      <c r="G31" s="2" t="s">
        <v>3</v>
      </c>
      <c r="H31" s="2" t="s">
        <v>53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167</v>
      </c>
      <c r="C32" s="8"/>
      <c r="D32" s="8" t="s">
        <v>157</v>
      </c>
      <c r="E32" s="2" t="s">
        <v>158</v>
      </c>
      <c r="F32" s="24">
        <v>300000000000</v>
      </c>
      <c r="G32" s="2" t="s">
        <v>159</v>
      </c>
      <c r="H32" s="2" t="s">
        <v>53</v>
      </c>
      <c r="I32" s="14" t="str">
        <f t="shared" ca="1" si="1"/>
        <v/>
      </c>
      <c r="J32" s="9" t="s">
        <v>164</v>
      </c>
    </row>
    <row r="33" spans="1:10" s="6" customFormat="1" x14ac:dyDescent="0.2">
      <c r="A33" s="8">
        <v>32</v>
      </c>
      <c r="B33" s="8" t="s">
        <v>167</v>
      </c>
      <c r="C33" s="8"/>
      <c r="D33" s="8" t="s">
        <v>162</v>
      </c>
      <c r="E33" s="2" t="s">
        <v>163</v>
      </c>
      <c r="F33" s="24">
        <v>6000000000</v>
      </c>
      <c r="G33" s="2" t="s">
        <v>159</v>
      </c>
      <c r="H33" s="2" t="s">
        <v>53</v>
      </c>
      <c r="I33" s="14" t="str">
        <f ca="1">_xlfn.IFNA(_xlfn.FORMULATEXT(F33),"")</f>
        <v/>
      </c>
      <c r="J33" s="9" t="s">
        <v>165</v>
      </c>
    </row>
    <row r="34" spans="1:10" s="6" customFormat="1" x14ac:dyDescent="0.2">
      <c r="A34" s="8">
        <v>33</v>
      </c>
      <c r="B34" s="8" t="s">
        <v>167</v>
      </c>
      <c r="C34" s="8"/>
      <c r="D34" s="8" t="s">
        <v>160</v>
      </c>
      <c r="E34" s="2" t="s">
        <v>161</v>
      </c>
      <c r="F34" s="3">
        <v>0.1</v>
      </c>
      <c r="G34" s="2" t="s">
        <v>3</v>
      </c>
      <c r="H34" s="2" t="s">
        <v>54</v>
      </c>
      <c r="I34" s="14" t="str">
        <f t="shared" ca="1" si="1"/>
        <v/>
      </c>
      <c r="J34" s="9" t="s">
        <v>197</v>
      </c>
    </row>
    <row r="35" spans="1:10" s="6" customFormat="1" x14ac:dyDescent="0.2">
      <c r="A35" s="8">
        <v>34</v>
      </c>
      <c r="B35" s="8" t="s">
        <v>167</v>
      </c>
      <c r="C35" s="8" t="s">
        <v>78</v>
      </c>
      <c r="D35" s="8" t="s">
        <v>114</v>
      </c>
      <c r="E35" s="2" t="s">
        <v>154</v>
      </c>
      <c r="F35" s="16">
        <f>Npercell*Rhoblood*Mfrac/6.02E+23*1000000000</f>
        <v>9.9667774086378731E-3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167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0.49833887043189373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167</v>
      </c>
      <c r="C37" s="8" t="s">
        <v>78</v>
      </c>
      <c r="D37" s="8" t="s">
        <v>77</v>
      </c>
      <c r="E37" s="2" t="s">
        <v>94</v>
      </c>
      <c r="F37" s="3">
        <f>M10_*kshedM1</f>
        <v>2.9900332225913619E-2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167</v>
      </c>
      <c r="C38" s="8" t="s">
        <v>78</v>
      </c>
      <c r="D38" s="8" t="s">
        <v>79</v>
      </c>
      <c r="E38" s="2" t="s">
        <v>38</v>
      </c>
      <c r="F38" s="3">
        <f>M30_*kshed</f>
        <v>1.4950166112956813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167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170</v>
      </c>
    </row>
    <row r="40" spans="1:10" s="6" customFormat="1" x14ac:dyDescent="0.2">
      <c r="A40" s="8">
        <v>39</v>
      </c>
      <c r="B40" s="8" t="s">
        <v>167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170</v>
      </c>
    </row>
    <row r="41" spans="1:10" s="6" customFormat="1" x14ac:dyDescent="0.2">
      <c r="A41" s="8">
        <v>40</v>
      </c>
      <c r="B41" s="8" t="s">
        <v>167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170</v>
      </c>
    </row>
    <row r="42" spans="1:10" s="6" customFormat="1" x14ac:dyDescent="0.2">
      <c r="A42" s="8">
        <v>41</v>
      </c>
      <c r="B42" s="8" t="s">
        <v>167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170</v>
      </c>
    </row>
    <row r="43" spans="1:10" s="6" customFormat="1" x14ac:dyDescent="0.2">
      <c r="A43" s="8">
        <v>42</v>
      </c>
      <c r="B43" s="8" t="s">
        <v>167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198</v>
      </c>
    </row>
    <row r="44" spans="1:10" s="6" customFormat="1" x14ac:dyDescent="0.2">
      <c r="A44" s="8">
        <v>43</v>
      </c>
      <c r="B44" s="8" t="s">
        <v>167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167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167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168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0.33333333333333337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168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168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168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168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168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168</v>
      </c>
      <c r="C59" s="8" t="s">
        <v>68</v>
      </c>
      <c r="D59" s="8" t="s">
        <v>141</v>
      </c>
      <c r="E59" s="2" t="s">
        <v>128</v>
      </c>
      <c r="F59" s="3">
        <f>k31D_thurber*VD3_/VD1_</f>
        <v>2.1186206896551724E-2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168</v>
      </c>
      <c r="C60" s="8" t="s">
        <v>68</v>
      </c>
      <c r="D60" s="8" t="s">
        <v>142</v>
      </c>
      <c r="E60" s="2" t="s">
        <v>129</v>
      </c>
      <c r="F60" s="3">
        <f>k12D*VD3_/VD2_</f>
        <v>5.6268048241888925E-3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168</v>
      </c>
      <c r="C61" s="8" t="s">
        <v>68</v>
      </c>
      <c r="D61" s="8" t="s">
        <v>88</v>
      </c>
      <c r="E61" s="2" t="s">
        <v>11</v>
      </c>
      <c r="F61" s="13">
        <f>k13d_prop</f>
        <v>5.6268048241888925E-3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168</v>
      </c>
      <c r="C62" s="8" t="s">
        <v>70</v>
      </c>
      <c r="D62" s="8" t="s">
        <v>88</v>
      </c>
      <c r="E62" s="2" t="s">
        <v>28</v>
      </c>
      <c r="F62" s="3">
        <f>2*k13D</f>
        <v>1.1253609648377785E-2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168</v>
      </c>
      <c r="C63" s="8" t="s">
        <v>71</v>
      </c>
      <c r="D63" s="8" t="s">
        <v>88</v>
      </c>
      <c r="E63" s="2" t="s">
        <v>30</v>
      </c>
      <c r="F63" s="3">
        <f>k13D</f>
        <v>5.6268048241888925E-3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168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186</v>
      </c>
    </row>
    <row r="65" spans="1:10" s="6" customFormat="1" x14ac:dyDescent="0.2">
      <c r="A65" s="8">
        <v>64</v>
      </c>
      <c r="B65" s="8" t="s">
        <v>168</v>
      </c>
      <c r="C65" s="8" t="s">
        <v>68</v>
      </c>
      <c r="D65" s="8" t="s">
        <v>144</v>
      </c>
      <c r="E65" s="2" t="s">
        <v>131</v>
      </c>
      <c r="F65" s="3">
        <f>VD1_/VD3_*k13d_prop*3</f>
        <v>0.58743842364532028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168</v>
      </c>
      <c r="C66" s="8" t="s">
        <v>68</v>
      </c>
      <c r="D66" s="8" t="s">
        <v>145</v>
      </c>
      <c r="E66" s="2" t="s">
        <v>12</v>
      </c>
      <c r="F66" s="13">
        <f>k31D_prop</f>
        <v>0.58743842364532028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168</v>
      </c>
      <c r="C67" s="8" t="s">
        <v>70</v>
      </c>
      <c r="D67" s="8" t="s">
        <v>145</v>
      </c>
      <c r="E67" s="2" t="s">
        <v>29</v>
      </c>
      <c r="F67" s="3">
        <f>2*k31D</f>
        <v>1.1748768472906406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168</v>
      </c>
      <c r="C68" s="8" t="s">
        <v>71</v>
      </c>
      <c r="D68" s="8" t="s">
        <v>145</v>
      </c>
      <c r="E68" s="2" t="s">
        <v>31</v>
      </c>
      <c r="F68" s="3">
        <f>k31D</f>
        <v>0.58743842364532028</v>
      </c>
      <c r="G68" s="2" t="s">
        <v>4</v>
      </c>
      <c r="H68" s="2" t="s">
        <v>52</v>
      </c>
      <c r="I68" s="12" t="str">
        <f t="shared" ca="1" si="2"/>
        <v>=k31D</v>
      </c>
      <c r="J68" s="9" t="s">
        <v>171</v>
      </c>
    </row>
    <row r="69" spans="1:10" s="11" customFormat="1" ht="32" x14ac:dyDescent="0.2">
      <c r="A69" s="8">
        <v>68</v>
      </c>
      <c r="B69" s="8" t="s">
        <v>168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173</v>
      </c>
    </row>
    <row r="70" spans="1:10" s="10" customFormat="1" x14ac:dyDescent="0.2">
      <c r="A70" s="8">
        <v>69</v>
      </c>
      <c r="B70" s="8" t="s">
        <v>168</v>
      </c>
      <c r="C70" s="8" t="s">
        <v>78</v>
      </c>
      <c r="D70" s="8" t="s">
        <v>89</v>
      </c>
      <c r="E70" s="2" t="s">
        <v>101</v>
      </c>
      <c r="F70" s="3">
        <f>k13M*VD1_/VD3_</f>
        <v>6.96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174</v>
      </c>
    </row>
    <row r="71" spans="1:10" s="6" customFormat="1" x14ac:dyDescent="0.2">
      <c r="A71" s="8">
        <v>70</v>
      </c>
      <c r="B71" s="8" t="s">
        <v>168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168</v>
      </c>
      <c r="C72" s="8" t="s">
        <v>81</v>
      </c>
      <c r="D72" s="8" t="s">
        <v>89</v>
      </c>
      <c r="E72" s="2" t="s">
        <v>103</v>
      </c>
      <c r="F72" s="3">
        <f>k31M</f>
        <v>6.96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172</v>
      </c>
    </row>
    <row r="73" spans="1:10" s="6" customFormat="1" x14ac:dyDescent="0.2">
      <c r="A73" s="8">
        <v>72</v>
      </c>
      <c r="B73" s="8" t="s">
        <v>175</v>
      </c>
      <c r="C73" s="8" t="s">
        <v>68</v>
      </c>
      <c r="D73" s="8" t="s">
        <v>175</v>
      </c>
      <c r="E73" s="2" t="s">
        <v>175</v>
      </c>
      <c r="F73" s="3">
        <f>200*6.67</f>
        <v>1334</v>
      </c>
      <c r="G73" s="2" t="s">
        <v>176</v>
      </c>
      <c r="H73" s="2" t="s">
        <v>53</v>
      </c>
      <c r="I73" s="12" t="str">
        <f t="shared" ca="1" si="2"/>
        <v>=200*6.67</v>
      </c>
      <c r="J73" s="9" t="s">
        <v>199</v>
      </c>
    </row>
    <row r="74" spans="1:10" s="6" customFormat="1" x14ac:dyDescent="0.2">
      <c r="A74" s="8">
        <v>73</v>
      </c>
      <c r="B74" s="8" t="s">
        <v>175</v>
      </c>
      <c r="C74" s="8" t="s">
        <v>68</v>
      </c>
      <c r="D74" s="8" t="s">
        <v>179</v>
      </c>
      <c r="E74" s="2" t="s">
        <v>178</v>
      </c>
      <c r="F74" s="3">
        <v>21</v>
      </c>
      <c r="G74" s="2" t="s">
        <v>180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182</v>
      </c>
      <c r="E75" s="2" t="s">
        <v>177</v>
      </c>
      <c r="F75" s="3">
        <f>Dose/(CL*Tau)</f>
        <v>288.74458874458873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167</v>
      </c>
      <c r="C76" s="8" t="s">
        <v>81</v>
      </c>
      <c r="D76" s="8" t="s">
        <v>184</v>
      </c>
      <c r="E76" s="2" t="s">
        <v>185</v>
      </c>
      <c r="F76" s="3">
        <f>F46+F42</f>
        <v>3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168</v>
      </c>
      <c r="C77" s="8" t="s">
        <v>81</v>
      </c>
      <c r="D77" s="8" t="s">
        <v>183</v>
      </c>
      <c r="E77" s="2" t="s">
        <v>181</v>
      </c>
      <c r="F77" s="16">
        <f>keDMtot*M30_/(k31D_thurber*Cavg)</f>
        <v>7.0226287655590835E-3</v>
      </c>
      <c r="G77" s="17" t="s">
        <v>3</v>
      </c>
      <c r="H77" s="17" t="s">
        <v>187</v>
      </c>
      <c r="I77" s="21" t="str">
        <f t="shared" ca="1" si="2"/>
        <v>=keDMtot*M30_/(k31D_thurber*Cavg)</v>
      </c>
      <c r="J77" s="9" t="s">
        <v>188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2" priority="31" operator="containsText" text="derived">
      <formula>NOT(ISERROR(SEARCH("derived",F293)))</formula>
    </cfRule>
  </conditionalFormatting>
  <conditionalFormatting sqref="J8">
    <cfRule type="expression" dxfId="31" priority="2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5:K5 A79:H79 C67:H68 J29:K30 C39:H46 J35:K52 C35:E36 I67:K79 A4:A77 B4:E4 G4:K4 B6:E8 G6:K8 B9:K20 B22:K23 B21:I21 K21">
    <cfRule type="containsText" dxfId="30" priority="28" operator="containsText" text="calc">
      <formula>NOT(ISERROR(SEARCH("calc",A1)))</formula>
    </cfRule>
  </conditionalFormatting>
  <conditionalFormatting sqref="H80:I1048576 H79 H67:H72 H1:I66 I67:I79">
    <cfRule type="containsText" dxfId="29" priority="26" operator="containsText" text="literature">
      <formula>NOT(ISERROR(SEARCH("literature",H1)))</formula>
    </cfRule>
    <cfRule type="containsText" dxfId="28" priority="27" operator="containsText" text="guess">
      <formula>NOT(ISERROR(SEARCH("guess",H1)))</formula>
    </cfRule>
  </conditionalFormatting>
  <conditionalFormatting sqref="H53:I66 H1:I38 I37:I52 H80:I1048576 H79 H67:H72 H39:H52 I67:I79">
    <cfRule type="containsText" dxfId="27" priority="21" operator="containsText" text="not used">
      <formula>NOT(ISERROR(SEARCH("not used",H1)))</formula>
    </cfRule>
    <cfRule type="containsText" dxfId="26" priority="22" operator="containsText" text="literature">
      <formula>NOT(ISERROR(SEARCH("literature",H1)))</formula>
    </cfRule>
    <cfRule type="containsText" dxfId="25" priority="23" operator="containsText" text="guess">
      <formula>NOT(ISERROR(SEARCH("guess",H1)))</formula>
    </cfRule>
    <cfRule type="containsText" dxfId="24" priority="24" operator="containsText" text="calc">
      <formula>NOT(ISERROR(SEARCH("calc",H1)))</formula>
    </cfRule>
    <cfRule type="containsText" dxfId="23" priority="25" operator="containsText" text="check">
      <formula>NOT(ISERROR(SEARCH("check",H1)))</formula>
    </cfRule>
  </conditionalFormatting>
  <conditionalFormatting sqref="H79:H1048576 H1:H72">
    <cfRule type="containsText" dxfId="22" priority="20" operator="containsText" text="internal data">
      <formula>NOT(ISERROR(SEARCH("internal data",H1)))</formula>
    </cfRule>
  </conditionalFormatting>
  <conditionalFormatting sqref="H73:H77">
    <cfRule type="containsText" dxfId="21" priority="10" operator="containsText" text="calc">
      <formula>NOT(ISERROR(SEARCH("calc",H73)))</formula>
    </cfRule>
  </conditionalFormatting>
  <conditionalFormatting sqref="H73:H77">
    <cfRule type="containsText" dxfId="20" priority="8" operator="containsText" text="literature">
      <formula>NOT(ISERROR(SEARCH("literature",H73)))</formula>
    </cfRule>
    <cfRule type="containsText" dxfId="19" priority="9" operator="containsText" text="guess">
      <formula>NOT(ISERROR(SEARCH("guess",H73)))</formula>
    </cfRule>
  </conditionalFormatting>
  <conditionalFormatting sqref="H73:H77">
    <cfRule type="containsText" dxfId="18" priority="3" operator="containsText" text="not used">
      <formula>NOT(ISERROR(SEARCH("not used",H73)))</formula>
    </cfRule>
    <cfRule type="containsText" dxfId="17" priority="4" operator="containsText" text="literature">
      <formula>NOT(ISERROR(SEARCH("literature",H73)))</formula>
    </cfRule>
    <cfRule type="containsText" dxfId="16" priority="5" operator="containsText" text="guess">
      <formula>NOT(ISERROR(SEARCH("guess",H73)))</formula>
    </cfRule>
    <cfRule type="containsText" dxfId="15" priority="6" operator="containsText" text="calc">
      <formula>NOT(ISERROR(SEARCH("calc",H73)))</formula>
    </cfRule>
    <cfRule type="containsText" dxfId="14" priority="7" operator="containsText" text="check">
      <formula>NOT(ISERROR(SEARCH("check",H73)))</formula>
    </cfRule>
  </conditionalFormatting>
  <conditionalFormatting sqref="H73:H77">
    <cfRule type="containsText" dxfId="13" priority="2" operator="containsText" text="internal data">
      <formula>NOT(ISERROR(SEARCH("internal data",H73)))</formula>
    </cfRule>
  </conditionalFormatting>
  <conditionalFormatting sqref="J21">
    <cfRule type="containsText" dxfId="0" priority="1" operator="containsText" text="calc">
      <formula>NOT(ISERROR(SEARCH("calc",J21)))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2017-10-28T22:03:46Z</dcterms:modified>
</cp:coreProperties>
</file>