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meriplex-my.sharepoint.com/personal/dcorning_meriplex_com/Documents/Sales Leadership Team/Commission Calculations/Jan/"/>
    </mc:Choice>
  </mc:AlternateContent>
  <xr:revisionPtr revIDLastSave="820" documentId="8_{6CD3B3EA-DC67-4EFA-B0C7-475B69F38378}" xr6:coauthVersionLast="47" xr6:coauthVersionMax="47" xr10:uidLastSave="{509AEDB2-448B-42AF-B10E-BB618CE57FCE}"/>
  <bookViews>
    <workbookView xWindow="180" yWindow="120" windowWidth="33435" windowHeight="15585" activeTab="3" xr2:uid="{459FE0BD-1C7F-4769-8AE9-A655EFE6F800}"/>
  </bookViews>
  <sheets>
    <sheet name="Email List" sheetId="10" r:id="rId1"/>
    <sheet name="Product Detail" sheetId="3" r:id="rId2"/>
    <sheet name="Multipliers" sheetId="5" r:id="rId3"/>
    <sheet name="Approved Opportunities" sheetId="2" r:id="rId4"/>
    <sheet name="Individual Contributors" sheetId="9" r:id="rId5"/>
    <sheet name="Sales VP" sheetId="6" r:id="rId6"/>
    <sheet name="ISE Commission" sheetId="4" r:id="rId7"/>
    <sheet name="NRR Commissions" sheetId="7" r:id="rId8"/>
    <sheet name="Final Commission Report" sheetId="8" r:id="rId9"/>
  </sheets>
  <definedNames>
    <definedName name="_xlnm._FilterDatabase" localSheetId="3" hidden="1">'Approved Opportunities'!$A$1:$Q$618</definedName>
    <definedName name="_xlnm._FilterDatabase" localSheetId="1" hidden="1">'Product Detail'!$A$1:$U$1243</definedName>
  </definedNames>
  <calcPr calcId="191029"/>
  <pivotCaches>
    <pivotCache cacheId="8" r:id="rId10"/>
    <pivotCache cacheId="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8" l="1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L588" i="2"/>
  <c r="F13" i="7"/>
  <c r="D13" i="7" s="1"/>
  <c r="E13" i="7" s="1"/>
  <c r="F12" i="7"/>
  <c r="D12" i="7" s="1"/>
  <c r="E12" i="7" s="1"/>
  <c r="F9" i="7"/>
  <c r="D9" i="7" s="1"/>
  <c r="E9" i="7" s="1"/>
  <c r="F8" i="7"/>
  <c r="D8" i="7" s="1"/>
  <c r="E8" i="7" s="1"/>
  <c r="F7" i="7"/>
  <c r="D7" i="7" s="1"/>
  <c r="E7" i="7" s="1"/>
  <c r="F4" i="7"/>
  <c r="D4" i="7" s="1"/>
  <c r="E4" i="7" s="1"/>
  <c r="F3" i="7"/>
  <c r="D3" i="7" s="1"/>
  <c r="E3" i="7" s="1"/>
  <c r="L15" i="6"/>
  <c r="L14" i="6"/>
  <c r="G15" i="6"/>
  <c r="G14" i="6"/>
  <c r="G5" i="6"/>
  <c r="G4" i="6"/>
  <c r="G9" i="6"/>
  <c r="G8" i="6"/>
  <c r="G7" i="6"/>
  <c r="G3" i="6"/>
  <c r="D24" i="8"/>
  <c r="D23" i="8"/>
  <c r="D22" i="8"/>
  <c r="D21" i="8"/>
  <c r="D20" i="8"/>
  <c r="D19" i="8"/>
  <c r="D18" i="8"/>
  <c r="D17" i="8"/>
  <c r="D16" i="8"/>
  <c r="D15" i="8"/>
  <c r="D14" i="8"/>
  <c r="D13" i="8"/>
  <c r="C24" i="8"/>
  <c r="C23" i="8"/>
  <c r="C22" i="8"/>
  <c r="C21" i="8"/>
  <c r="C20" i="8"/>
  <c r="C19" i="8"/>
  <c r="C18" i="8"/>
  <c r="C17" i="8"/>
  <c r="C16" i="8"/>
  <c r="C15" i="8"/>
  <c r="C14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C5" i="8"/>
  <c r="D5" i="8"/>
  <c r="C4" i="8"/>
  <c r="D4" i="8"/>
  <c r="C3" i="8"/>
  <c r="D3" i="8"/>
  <c r="D2" i="8"/>
  <c r="C2" i="8"/>
  <c r="C15" i="6"/>
  <c r="C14" i="6"/>
  <c r="B15" i="6"/>
  <c r="B14" i="6"/>
  <c r="M5" i="6"/>
  <c r="M4" i="6"/>
  <c r="F9" i="6"/>
  <c r="F8" i="6"/>
  <c r="F7" i="6"/>
  <c r="F5" i="6"/>
  <c r="F4" i="6"/>
  <c r="F3" i="6"/>
  <c r="I3" i="6" l="1"/>
  <c r="I4" i="6"/>
  <c r="I5" i="6"/>
  <c r="I7" i="6"/>
  <c r="C27" i="8" s="1"/>
  <c r="I8" i="6"/>
  <c r="C28" i="8" s="1"/>
  <c r="I9" i="6"/>
  <c r="C29" i="8" s="1"/>
  <c r="P4" i="6"/>
  <c r="P5" i="6"/>
  <c r="F14" i="6"/>
  <c r="I14" i="6" s="1"/>
  <c r="F15" i="6"/>
  <c r="I15" i="6" s="1"/>
  <c r="M14" i="6"/>
  <c r="P14" i="6" s="1"/>
  <c r="M15" i="6"/>
  <c r="P15" i="6" s="1"/>
  <c r="C27" i="2"/>
  <c r="C28" i="2"/>
  <c r="C30" i="2"/>
  <c r="C34" i="2"/>
  <c r="C36" i="2"/>
  <c r="C37" i="2"/>
  <c r="C38" i="2"/>
  <c r="C39" i="2"/>
  <c r="C40" i="2"/>
  <c r="C41" i="2"/>
  <c r="C42" i="2"/>
  <c r="C43" i="2"/>
  <c r="C44" i="2"/>
  <c r="C45" i="2"/>
  <c r="C48" i="2"/>
  <c r="C49" i="2"/>
  <c r="C50" i="2"/>
  <c r="C51" i="2"/>
  <c r="C52" i="2"/>
  <c r="C53" i="2"/>
  <c r="C66" i="2"/>
  <c r="C67" i="2"/>
  <c r="C68" i="2"/>
  <c r="C78" i="2"/>
  <c r="C79" i="2"/>
  <c r="C80" i="2"/>
  <c r="C85" i="2"/>
  <c r="C89" i="2"/>
  <c r="C92" i="2"/>
  <c r="C93" i="2"/>
  <c r="C94" i="2"/>
  <c r="C96" i="2"/>
  <c r="C98" i="2"/>
  <c r="C99" i="2"/>
  <c r="C103" i="2"/>
  <c r="C106" i="2"/>
  <c r="C107" i="2"/>
  <c r="C110" i="2"/>
  <c r="C114" i="2"/>
  <c r="C115" i="2"/>
  <c r="C532" i="2"/>
  <c r="C544" i="2"/>
  <c r="C560" i="2"/>
  <c r="C25" i="8" l="1"/>
  <c r="C26" i="8"/>
  <c r="C31" i="8"/>
  <c r="C30" i="8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12" i="2"/>
  <c r="C56" i="2"/>
  <c r="C556" i="2"/>
  <c r="C555" i="2"/>
  <c r="C554" i="2"/>
  <c r="C553" i="2"/>
  <c r="C552" i="2"/>
  <c r="C268" i="2"/>
  <c r="C293" i="2"/>
  <c r="C305" i="2"/>
  <c r="C548" i="2"/>
  <c r="C31" i="2"/>
  <c r="C546" i="2"/>
  <c r="C545" i="2"/>
  <c r="C543" i="2"/>
  <c r="C542" i="2"/>
  <c r="C347" i="2"/>
  <c r="C540" i="2"/>
  <c r="C539" i="2"/>
  <c r="C538" i="2"/>
  <c r="C481" i="2"/>
  <c r="C514" i="2"/>
  <c r="C535" i="2"/>
  <c r="C536" i="2"/>
  <c r="C541" i="2"/>
  <c r="C530" i="2"/>
  <c r="C529" i="2"/>
  <c r="C528" i="2"/>
  <c r="C527" i="2"/>
  <c r="C526" i="2"/>
  <c r="C525" i="2"/>
  <c r="C524" i="2"/>
  <c r="C523" i="2"/>
  <c r="C522" i="2"/>
  <c r="C521" i="2"/>
  <c r="C520" i="2"/>
  <c r="C512" i="2"/>
  <c r="C518" i="2"/>
  <c r="C517" i="2"/>
  <c r="C2" i="2"/>
  <c r="C515" i="2"/>
  <c r="C6" i="2"/>
  <c r="C8" i="2"/>
  <c r="C10" i="2"/>
  <c r="C20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6" i="2"/>
  <c r="C483" i="2"/>
  <c r="C482" i="2"/>
  <c r="C54" i="2"/>
  <c r="C480" i="2"/>
  <c r="C479" i="2"/>
  <c r="C58" i="2"/>
  <c r="C477" i="2"/>
  <c r="C476" i="2"/>
  <c r="C475" i="2"/>
  <c r="C474" i="2"/>
  <c r="C473" i="2"/>
  <c r="C472" i="2"/>
  <c r="C471" i="2"/>
  <c r="C470" i="2"/>
  <c r="C469" i="2"/>
  <c r="C468" i="2"/>
  <c r="C467" i="2"/>
  <c r="C59" i="2"/>
  <c r="C465" i="2"/>
  <c r="C464" i="2"/>
  <c r="C463" i="2"/>
  <c r="C462" i="2"/>
  <c r="C461" i="2"/>
  <c r="C460" i="2"/>
  <c r="C60" i="2"/>
  <c r="C458" i="2"/>
  <c r="C457" i="2"/>
  <c r="C456" i="2"/>
  <c r="C455" i="2"/>
  <c r="C62" i="2"/>
  <c r="C64" i="2"/>
  <c r="C71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83" i="2"/>
  <c r="C86" i="2"/>
  <c r="C435" i="2"/>
  <c r="C434" i="2"/>
  <c r="C87" i="2"/>
  <c r="C432" i="2"/>
  <c r="C431" i="2"/>
  <c r="C430" i="2"/>
  <c r="C429" i="2"/>
  <c r="C428" i="2"/>
  <c r="C427" i="2"/>
  <c r="C426" i="2"/>
  <c r="C425" i="2"/>
  <c r="C91" i="2"/>
  <c r="C423" i="2"/>
  <c r="C422" i="2"/>
  <c r="C421" i="2"/>
  <c r="C420" i="2"/>
  <c r="C419" i="2"/>
  <c r="C418" i="2"/>
  <c r="C417" i="2"/>
  <c r="C416" i="2"/>
  <c r="C415" i="2"/>
  <c r="C100" i="2"/>
  <c r="C413" i="2"/>
  <c r="C412" i="2"/>
  <c r="C411" i="2"/>
  <c r="C410" i="2"/>
  <c r="C409" i="2"/>
  <c r="C101" i="2"/>
  <c r="C407" i="2"/>
  <c r="C406" i="2"/>
  <c r="C113" i="2"/>
  <c r="C404" i="2"/>
  <c r="C116" i="2"/>
  <c r="C119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122" i="2"/>
  <c r="C381" i="2"/>
  <c r="C380" i="2"/>
  <c r="C379" i="2"/>
  <c r="C378" i="2"/>
  <c r="C377" i="2"/>
  <c r="C128" i="2"/>
  <c r="C131" i="2"/>
  <c r="C374" i="2"/>
  <c r="C373" i="2"/>
  <c r="C372" i="2"/>
  <c r="C371" i="2"/>
  <c r="C370" i="2"/>
  <c r="C134" i="2"/>
  <c r="C368" i="2"/>
  <c r="C367" i="2"/>
  <c r="C366" i="2"/>
  <c r="C365" i="2"/>
  <c r="C364" i="2"/>
  <c r="C363" i="2"/>
  <c r="C362" i="2"/>
  <c r="C361" i="2"/>
  <c r="C360" i="2"/>
  <c r="C359" i="2"/>
  <c r="C137" i="2"/>
  <c r="C357" i="2"/>
  <c r="C356" i="2"/>
  <c r="C355" i="2"/>
  <c r="C354" i="2"/>
  <c r="C353" i="2"/>
  <c r="C352" i="2"/>
  <c r="C351" i="2"/>
  <c r="C350" i="2"/>
  <c r="C349" i="2"/>
  <c r="C348" i="2"/>
  <c r="C151" i="2"/>
  <c r="C152" i="2"/>
  <c r="C153" i="2"/>
  <c r="C154" i="2"/>
  <c r="C343" i="2"/>
  <c r="C342" i="2"/>
  <c r="C341" i="2"/>
  <c r="C340" i="2"/>
  <c r="C339" i="2"/>
  <c r="C338" i="2"/>
  <c r="C337" i="2"/>
  <c r="C336" i="2"/>
  <c r="C156" i="2"/>
  <c r="C334" i="2"/>
  <c r="C333" i="2"/>
  <c r="C332" i="2"/>
  <c r="C331" i="2"/>
  <c r="C157" i="2"/>
  <c r="C161" i="2"/>
  <c r="C164" i="2"/>
  <c r="C327" i="2"/>
  <c r="C326" i="2"/>
  <c r="C325" i="2"/>
  <c r="C178" i="2"/>
  <c r="C180" i="2"/>
  <c r="C322" i="2"/>
  <c r="C321" i="2"/>
  <c r="C320" i="2"/>
  <c r="C319" i="2"/>
  <c r="C318" i="2"/>
  <c r="C192" i="2"/>
  <c r="C206" i="2"/>
  <c r="C209" i="2"/>
  <c r="C210" i="2"/>
  <c r="C216" i="2"/>
  <c r="C312" i="2"/>
  <c r="C218" i="2"/>
  <c r="C223" i="2"/>
  <c r="C309" i="2"/>
  <c r="C226" i="2"/>
  <c r="C227" i="2"/>
  <c r="C306" i="2"/>
  <c r="C229" i="2"/>
  <c r="C230" i="2"/>
  <c r="C303" i="2"/>
  <c r="C231" i="2"/>
  <c r="C232" i="2"/>
  <c r="C233" i="2"/>
  <c r="C299" i="2"/>
  <c r="C298" i="2"/>
  <c r="C297" i="2"/>
  <c r="C234" i="2"/>
  <c r="C295" i="2"/>
  <c r="C294" i="2"/>
  <c r="C235" i="2"/>
  <c r="C236" i="2"/>
  <c r="C291" i="2"/>
  <c r="C237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38" i="2"/>
  <c r="C274" i="2"/>
  <c r="C273" i="2"/>
  <c r="C241" i="2"/>
  <c r="C242" i="2"/>
  <c r="C270" i="2"/>
  <c r="C269" i="2"/>
  <c r="C243" i="2"/>
  <c r="C267" i="2"/>
  <c r="C266" i="2"/>
  <c r="C245" i="2"/>
  <c r="C264" i="2"/>
  <c r="C263" i="2"/>
  <c r="C262" i="2"/>
  <c r="C261" i="2"/>
  <c r="C260" i="2"/>
  <c r="C259" i="2"/>
  <c r="C258" i="2"/>
  <c r="C257" i="2"/>
  <c r="C248" i="2"/>
  <c r="C250" i="2"/>
  <c r="C254" i="2"/>
  <c r="C251" i="2"/>
  <c r="C252" i="2"/>
  <c r="C253" i="2"/>
  <c r="C255" i="2"/>
  <c r="C249" i="2"/>
  <c r="C256" i="2"/>
  <c r="C247" i="2"/>
  <c r="C246" i="2"/>
  <c r="C265" i="2"/>
  <c r="C244" i="2"/>
  <c r="C275" i="2"/>
  <c r="C290" i="2"/>
  <c r="C292" i="2"/>
  <c r="C240" i="2"/>
  <c r="C296" i="2"/>
  <c r="C300" i="2"/>
  <c r="C301" i="2"/>
  <c r="C302" i="2"/>
  <c r="C304" i="2"/>
  <c r="C307" i="2"/>
  <c r="C308" i="2"/>
  <c r="C310" i="2"/>
  <c r="C311" i="2"/>
  <c r="C313" i="2"/>
  <c r="C314" i="2"/>
  <c r="C228" i="2"/>
  <c r="C315" i="2"/>
  <c r="C316" i="2"/>
  <c r="C225" i="2"/>
  <c r="C224" i="2"/>
  <c r="C323" i="2"/>
  <c r="C222" i="2"/>
  <c r="C221" i="2"/>
  <c r="C220" i="2"/>
  <c r="C219" i="2"/>
  <c r="C324" i="2"/>
  <c r="C217" i="2"/>
  <c r="C328" i="2"/>
  <c r="C215" i="2"/>
  <c r="C214" i="2"/>
  <c r="C213" i="2"/>
  <c r="C212" i="2"/>
  <c r="C211" i="2"/>
  <c r="C330" i="2"/>
  <c r="C335" i="2"/>
  <c r="C208" i="2"/>
  <c r="C207" i="2"/>
  <c r="C345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346" i="2"/>
  <c r="C191" i="2"/>
  <c r="C190" i="2"/>
  <c r="C369" i="2"/>
  <c r="C188" i="2"/>
  <c r="C187" i="2"/>
  <c r="C186" i="2"/>
  <c r="C185" i="2"/>
  <c r="C184" i="2"/>
  <c r="C183" i="2"/>
  <c r="C182" i="2"/>
  <c r="C181" i="2"/>
  <c r="C375" i="2"/>
  <c r="C179" i="2"/>
  <c r="C376" i="2"/>
  <c r="C177" i="2"/>
  <c r="C176" i="2"/>
  <c r="C175" i="2"/>
  <c r="C174" i="2"/>
  <c r="C173" i="2"/>
  <c r="C172" i="2"/>
  <c r="C171" i="2"/>
  <c r="C170" i="2"/>
  <c r="C169" i="2"/>
  <c r="C382" i="2"/>
  <c r="C167" i="2"/>
  <c r="C166" i="2"/>
  <c r="C402" i="2"/>
  <c r="C403" i="2"/>
  <c r="C163" i="2"/>
  <c r="C162" i="2"/>
  <c r="C405" i="2"/>
  <c r="C160" i="2"/>
  <c r="C408" i="2"/>
  <c r="C414" i="2"/>
  <c r="C424" i="2"/>
  <c r="C436" i="2"/>
  <c r="C437" i="2"/>
  <c r="C452" i="2"/>
  <c r="C453" i="2"/>
  <c r="C454" i="2"/>
  <c r="C459" i="2"/>
  <c r="C466" i="2"/>
  <c r="C149" i="2"/>
  <c r="C148" i="2"/>
  <c r="C147" i="2"/>
  <c r="C478" i="2"/>
  <c r="C145" i="2"/>
  <c r="C144" i="2"/>
  <c r="C513" i="2"/>
  <c r="C142" i="2"/>
  <c r="C141" i="2"/>
  <c r="C140" i="2"/>
  <c r="C139" i="2"/>
  <c r="C138" i="2"/>
  <c r="C516" i="2"/>
  <c r="C136" i="2"/>
  <c r="C135" i="2"/>
  <c r="C519" i="2"/>
  <c r="C531" i="2"/>
  <c r="C132" i="2"/>
  <c r="C534" i="2"/>
  <c r="C130" i="2"/>
  <c r="C129" i="2"/>
  <c r="C547" i="2"/>
  <c r="C127" i="2"/>
  <c r="C126" i="2"/>
  <c r="C125" i="2"/>
  <c r="C124" i="2"/>
  <c r="C550" i="2"/>
  <c r="C551" i="2"/>
  <c r="C557" i="2"/>
  <c r="C558" i="2"/>
  <c r="C559" i="2"/>
  <c r="C118" i="2"/>
  <c r="C117" i="2"/>
  <c r="C537" i="2"/>
  <c r="C112" i="2"/>
  <c r="C109" i="2"/>
  <c r="C108" i="2"/>
  <c r="C104" i="2"/>
  <c r="C102" i="2"/>
  <c r="C97" i="2"/>
  <c r="C95" i="2"/>
  <c r="C90" i="2"/>
  <c r="C84" i="2"/>
  <c r="C81" i="2"/>
  <c r="C77" i="2"/>
  <c r="C75" i="2"/>
  <c r="C72" i="2"/>
  <c r="C70" i="2"/>
  <c r="C69" i="2"/>
  <c r="C63" i="2"/>
  <c r="C150" i="2"/>
  <c r="C61" i="2"/>
  <c r="C55" i="2"/>
  <c r="C47" i="2"/>
  <c r="C35" i="2"/>
  <c r="C25" i="2"/>
  <c r="C24" i="2"/>
  <c r="C23" i="2"/>
  <c r="C22" i="2"/>
  <c r="C21" i="2"/>
  <c r="C19" i="2"/>
  <c r="C18" i="2"/>
  <c r="C17" i="2"/>
  <c r="C16" i="2"/>
  <c r="C15" i="2"/>
  <c r="C14" i="2"/>
  <c r="C13" i="2"/>
  <c r="C11" i="2"/>
  <c r="C9" i="2"/>
  <c r="C7" i="2"/>
  <c r="C5" i="2"/>
  <c r="C4" i="2"/>
  <c r="C3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49" i="2"/>
  <c r="S1224" i="3"/>
  <c r="S1214" i="3"/>
  <c r="U1196" i="3"/>
  <c r="U1195" i="3"/>
  <c r="U1194" i="3"/>
  <c r="U1193" i="3"/>
  <c r="U1192" i="3"/>
  <c r="U1186" i="3"/>
  <c r="N549" i="2"/>
  <c r="U1241" i="3" l="1"/>
  <c r="U1188" i="3"/>
  <c r="U1189" i="3"/>
  <c r="U1190" i="3"/>
  <c r="U1191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3" i="3"/>
  <c r="U1242" i="3"/>
  <c r="U1187" i="3"/>
  <c r="M618" i="2" l="1"/>
  <c r="Q618" i="2"/>
  <c r="M617" i="2"/>
  <c r="Q617" i="2"/>
  <c r="M616" i="2"/>
  <c r="Q616" i="2"/>
  <c r="M615" i="2"/>
  <c r="Q615" i="2"/>
  <c r="M614" i="2"/>
  <c r="Q614" i="2"/>
  <c r="M613" i="2"/>
  <c r="P613" i="2"/>
  <c r="M612" i="2"/>
  <c r="Q612" i="2"/>
  <c r="M611" i="2"/>
  <c r="Q611" i="2"/>
  <c r="M610" i="2"/>
  <c r="Q610" i="2"/>
  <c r="M609" i="2"/>
  <c r="Q609" i="2"/>
  <c r="M608" i="2"/>
  <c r="Q608" i="2"/>
  <c r="M607" i="2"/>
  <c r="Q607" i="2"/>
  <c r="M606" i="2"/>
  <c r="Q606" i="2"/>
  <c r="M605" i="2"/>
  <c r="Q605" i="2"/>
  <c r="M604" i="2"/>
  <c r="Q604" i="2"/>
  <c r="M603" i="2"/>
  <c r="Q603" i="2"/>
  <c r="M602" i="2"/>
  <c r="P602" i="2"/>
  <c r="M601" i="2"/>
  <c r="Q601" i="2"/>
  <c r="M600" i="2"/>
  <c r="Q600" i="2"/>
  <c r="M599" i="2"/>
  <c r="Q599" i="2"/>
  <c r="M598" i="2"/>
  <c r="Q598" i="2"/>
  <c r="M597" i="2"/>
  <c r="Q597" i="2"/>
  <c r="M596" i="2"/>
  <c r="Q596" i="2"/>
  <c r="M595" i="2"/>
  <c r="Q595" i="2"/>
  <c r="M594" i="2"/>
  <c r="Q594" i="2"/>
  <c r="M593" i="2"/>
  <c r="Q593" i="2"/>
  <c r="M592" i="2"/>
  <c r="Q592" i="2"/>
  <c r="M591" i="2"/>
  <c r="P591" i="2"/>
  <c r="M590" i="2"/>
  <c r="Q590" i="2"/>
  <c r="M589" i="2"/>
  <c r="Q589" i="2"/>
  <c r="M588" i="2"/>
  <c r="Q588" i="2"/>
  <c r="M587" i="2"/>
  <c r="Q587" i="2"/>
  <c r="M586" i="2"/>
  <c r="Q586" i="2"/>
  <c r="M585" i="2"/>
  <c r="Q585" i="2"/>
  <c r="M584" i="2"/>
  <c r="P584" i="2"/>
  <c r="M583" i="2"/>
  <c r="Q583" i="2"/>
  <c r="M582" i="2"/>
  <c r="P582" i="2"/>
  <c r="M581" i="2"/>
  <c r="Q581" i="2"/>
  <c r="M580" i="2"/>
  <c r="Q580" i="2"/>
  <c r="M579" i="2"/>
  <c r="Q579" i="2"/>
  <c r="M578" i="2"/>
  <c r="Q578" i="2"/>
  <c r="M577" i="2"/>
  <c r="Q577" i="2"/>
  <c r="M576" i="2"/>
  <c r="Q576" i="2"/>
  <c r="M575" i="2"/>
  <c r="Q575" i="2"/>
  <c r="M574" i="2"/>
  <c r="Q574" i="2"/>
  <c r="M573" i="2"/>
  <c r="P573" i="2"/>
  <c r="M572" i="2"/>
  <c r="Q572" i="2"/>
  <c r="M571" i="2"/>
  <c r="P571" i="2"/>
  <c r="M570" i="2"/>
  <c r="Q570" i="2"/>
  <c r="M569" i="2"/>
  <c r="Q569" i="2"/>
  <c r="M568" i="2"/>
  <c r="Q568" i="2"/>
  <c r="M567" i="2"/>
  <c r="Q567" i="2"/>
  <c r="M566" i="2"/>
  <c r="Q566" i="2"/>
  <c r="M565" i="2"/>
  <c r="P565" i="2"/>
  <c r="M564" i="2"/>
  <c r="Q564" i="2"/>
  <c r="M563" i="2"/>
  <c r="P563" i="2"/>
  <c r="M562" i="2"/>
  <c r="Q562" i="2"/>
  <c r="M561" i="2"/>
  <c r="P561" i="2"/>
  <c r="Q613" i="2" l="1"/>
  <c r="P615" i="2"/>
  <c r="O561" i="2"/>
  <c r="O562" i="2"/>
  <c r="O564" i="2"/>
  <c r="O565" i="2"/>
  <c r="O567" i="2"/>
  <c r="O568" i="2"/>
  <c r="O569" i="2"/>
  <c r="O571" i="2"/>
  <c r="O572" i="2"/>
  <c r="O574" i="2"/>
  <c r="O575" i="2"/>
  <c r="O576" i="2"/>
  <c r="O577" i="2"/>
  <c r="O579" i="2"/>
  <c r="O580" i="2"/>
  <c r="O582" i="2"/>
  <c r="O584" i="2"/>
  <c r="O585" i="2"/>
  <c r="O586" i="2"/>
  <c r="O587" i="2"/>
  <c r="O589" i="2"/>
  <c r="O591" i="2"/>
  <c r="O592" i="2"/>
  <c r="O594" i="2"/>
  <c r="O595" i="2"/>
  <c r="O597" i="2"/>
  <c r="O599" i="2"/>
  <c r="O600" i="2"/>
  <c r="O602" i="2"/>
  <c r="O603" i="2"/>
  <c r="O605" i="2"/>
  <c r="O606" i="2"/>
  <c r="O607" i="2"/>
  <c r="O608" i="2"/>
  <c r="O610" i="2"/>
  <c r="O611" i="2"/>
  <c r="O613" i="2"/>
  <c r="O615" i="2"/>
  <c r="O616" i="2"/>
  <c r="O617" i="2"/>
  <c r="O618" i="2"/>
  <c r="P604" i="2"/>
  <c r="O563" i="2"/>
  <c r="O566" i="2"/>
  <c r="O570" i="2"/>
  <c r="O573" i="2"/>
  <c r="O578" i="2"/>
  <c r="O581" i="2"/>
  <c r="O583" i="2"/>
  <c r="O588" i="2"/>
  <c r="O590" i="2"/>
  <c r="O593" i="2"/>
  <c r="O596" i="2"/>
  <c r="O598" i="2"/>
  <c r="O601" i="2"/>
  <c r="O604" i="2"/>
  <c r="O609" i="2"/>
  <c r="O612" i="2"/>
  <c r="O614" i="2"/>
  <c r="Q591" i="2"/>
  <c r="P593" i="2"/>
  <c r="P595" i="2"/>
  <c r="Q602" i="2"/>
  <c r="Q563" i="2"/>
  <c r="Q565" i="2"/>
  <c r="P567" i="2"/>
  <c r="Q573" i="2"/>
  <c r="P575" i="2"/>
  <c r="P577" i="2"/>
  <c r="Q584" i="2"/>
  <c r="P586" i="2"/>
  <c r="P597" i="2"/>
  <c r="P606" i="2"/>
  <c r="P608" i="2"/>
  <c r="P617" i="2"/>
  <c r="Q571" i="2"/>
  <c r="P568" i="2"/>
  <c r="P579" i="2"/>
  <c r="P588" i="2"/>
  <c r="P599" i="2"/>
  <c r="P610" i="2"/>
  <c r="P562" i="2"/>
  <c r="P570" i="2"/>
  <c r="P572" i="2"/>
  <c r="P581" i="2"/>
  <c r="P590" i="2"/>
  <c r="P592" i="2"/>
  <c r="P601" i="2"/>
  <c r="P603" i="2"/>
  <c r="P612" i="2"/>
  <c r="P564" i="2"/>
  <c r="P574" i="2"/>
  <c r="P583" i="2"/>
  <c r="P585" i="2"/>
  <c r="P594" i="2"/>
  <c r="P605" i="2"/>
  <c r="P614" i="2"/>
  <c r="P616" i="2"/>
  <c r="Q561" i="2"/>
  <c r="Q582" i="2"/>
  <c r="P566" i="2"/>
  <c r="P576" i="2"/>
  <c r="P587" i="2"/>
  <c r="P596" i="2"/>
  <c r="P607" i="2"/>
  <c r="P618" i="2"/>
  <c r="P569" i="2"/>
  <c r="P578" i="2"/>
  <c r="P580" i="2"/>
  <c r="P589" i="2"/>
  <c r="P598" i="2"/>
  <c r="P600" i="2"/>
  <c r="P609" i="2"/>
  <c r="P611" i="2"/>
  <c r="L3" i="2" l="1"/>
  <c r="L560" i="2"/>
  <c r="L12" i="2"/>
  <c r="L56" i="2"/>
  <c r="L73" i="2"/>
  <c r="L556" i="2"/>
  <c r="L555" i="2"/>
  <c r="L554" i="2"/>
  <c r="L553" i="2"/>
  <c r="L552" i="2"/>
  <c r="L268" i="2"/>
  <c r="L293" i="2"/>
  <c r="L305" i="2"/>
  <c r="L548" i="2"/>
  <c r="L31" i="2"/>
  <c r="L546" i="2"/>
  <c r="L545" i="2"/>
  <c r="L544" i="2"/>
  <c r="L543" i="2"/>
  <c r="L542" i="2"/>
  <c r="L347" i="2"/>
  <c r="L540" i="2"/>
  <c r="L539" i="2"/>
  <c r="L538" i="2"/>
  <c r="L481" i="2"/>
  <c r="L514" i="2"/>
  <c r="L535" i="2"/>
  <c r="L536" i="2"/>
  <c r="L541" i="2"/>
  <c r="L532" i="2"/>
  <c r="L88" i="2"/>
  <c r="L530" i="2"/>
  <c r="L529" i="2"/>
  <c r="L528" i="2"/>
  <c r="L527" i="2"/>
  <c r="L526" i="2"/>
  <c r="L525" i="2"/>
  <c r="L524" i="2"/>
  <c r="L523" i="2"/>
  <c r="L522" i="2"/>
  <c r="L521" i="2"/>
  <c r="L520" i="2"/>
  <c r="L512" i="2"/>
  <c r="L518" i="2"/>
  <c r="L517" i="2"/>
  <c r="L2" i="2"/>
  <c r="L515" i="2"/>
  <c r="L6" i="2"/>
  <c r="L8" i="2"/>
  <c r="L10" i="2"/>
  <c r="L20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6" i="2"/>
  <c r="L483" i="2"/>
  <c r="L482" i="2"/>
  <c r="L54" i="2"/>
  <c r="L480" i="2"/>
  <c r="L479" i="2"/>
  <c r="L58" i="2"/>
  <c r="L477" i="2"/>
  <c r="L476" i="2"/>
  <c r="L475" i="2"/>
  <c r="L474" i="2"/>
  <c r="L473" i="2"/>
  <c r="L472" i="2"/>
  <c r="L471" i="2"/>
  <c r="L470" i="2"/>
  <c r="L469" i="2"/>
  <c r="L468" i="2"/>
  <c r="L467" i="2"/>
  <c r="L59" i="2"/>
  <c r="L465" i="2"/>
  <c r="L464" i="2"/>
  <c r="L463" i="2"/>
  <c r="L462" i="2"/>
  <c r="L461" i="2"/>
  <c r="L460" i="2"/>
  <c r="L60" i="2"/>
  <c r="L458" i="2"/>
  <c r="L457" i="2"/>
  <c r="L456" i="2"/>
  <c r="L455" i="2"/>
  <c r="L62" i="2"/>
  <c r="L64" i="2"/>
  <c r="L71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83" i="2"/>
  <c r="L86" i="2"/>
  <c r="L435" i="2"/>
  <c r="L434" i="2"/>
  <c r="L87" i="2"/>
  <c r="L432" i="2"/>
  <c r="L431" i="2"/>
  <c r="L430" i="2"/>
  <c r="L429" i="2"/>
  <c r="L428" i="2"/>
  <c r="L427" i="2"/>
  <c r="L426" i="2"/>
  <c r="L425" i="2"/>
  <c r="L91" i="2"/>
  <c r="L423" i="2"/>
  <c r="L422" i="2"/>
  <c r="L421" i="2"/>
  <c r="L420" i="2"/>
  <c r="L419" i="2"/>
  <c r="L418" i="2"/>
  <c r="L417" i="2"/>
  <c r="L416" i="2"/>
  <c r="L415" i="2"/>
  <c r="L100" i="2"/>
  <c r="L413" i="2"/>
  <c r="L412" i="2"/>
  <c r="L411" i="2"/>
  <c r="L410" i="2"/>
  <c r="L409" i="2"/>
  <c r="L101" i="2"/>
  <c r="L407" i="2"/>
  <c r="L406" i="2"/>
  <c r="L113" i="2"/>
  <c r="L404" i="2"/>
  <c r="L116" i="2"/>
  <c r="L119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122" i="2"/>
  <c r="L381" i="2"/>
  <c r="L380" i="2"/>
  <c r="L379" i="2"/>
  <c r="L378" i="2"/>
  <c r="L377" i="2"/>
  <c r="L128" i="2"/>
  <c r="L131" i="2"/>
  <c r="L374" i="2"/>
  <c r="L373" i="2"/>
  <c r="L372" i="2"/>
  <c r="L371" i="2"/>
  <c r="L370" i="2"/>
  <c r="L134" i="2"/>
  <c r="L368" i="2"/>
  <c r="L367" i="2"/>
  <c r="L366" i="2"/>
  <c r="L365" i="2"/>
  <c r="L364" i="2"/>
  <c r="L363" i="2"/>
  <c r="L362" i="2"/>
  <c r="L361" i="2"/>
  <c r="L360" i="2"/>
  <c r="L359" i="2"/>
  <c r="L137" i="2"/>
  <c r="L357" i="2"/>
  <c r="L356" i="2"/>
  <c r="L355" i="2"/>
  <c r="L354" i="2"/>
  <c r="L353" i="2"/>
  <c r="L352" i="2"/>
  <c r="L351" i="2"/>
  <c r="L350" i="2"/>
  <c r="L349" i="2"/>
  <c r="L348" i="2"/>
  <c r="L151" i="2"/>
  <c r="L152" i="2"/>
  <c r="L153" i="2"/>
  <c r="L154" i="2"/>
  <c r="L343" i="2"/>
  <c r="L342" i="2"/>
  <c r="L341" i="2"/>
  <c r="L340" i="2"/>
  <c r="L339" i="2"/>
  <c r="L338" i="2"/>
  <c r="L337" i="2"/>
  <c r="L336" i="2"/>
  <c r="L156" i="2"/>
  <c r="L334" i="2"/>
  <c r="L333" i="2"/>
  <c r="L332" i="2"/>
  <c r="L331" i="2"/>
  <c r="L157" i="2"/>
  <c r="L161" i="2"/>
  <c r="L164" i="2"/>
  <c r="L327" i="2"/>
  <c r="L326" i="2"/>
  <c r="L325" i="2"/>
  <c r="L178" i="2"/>
  <c r="L180" i="2"/>
  <c r="L322" i="2"/>
  <c r="L321" i="2"/>
  <c r="L320" i="2"/>
  <c r="L319" i="2"/>
  <c r="L318" i="2"/>
  <c r="L192" i="2"/>
  <c r="L206" i="2"/>
  <c r="L209" i="2"/>
  <c r="L210" i="2"/>
  <c r="L216" i="2"/>
  <c r="L312" i="2"/>
  <c r="L218" i="2"/>
  <c r="L223" i="2"/>
  <c r="L309" i="2"/>
  <c r="L226" i="2"/>
  <c r="L227" i="2"/>
  <c r="L306" i="2"/>
  <c r="L229" i="2"/>
  <c r="L230" i="2"/>
  <c r="L303" i="2"/>
  <c r="L231" i="2"/>
  <c r="L232" i="2"/>
  <c r="L233" i="2"/>
  <c r="L299" i="2"/>
  <c r="L298" i="2"/>
  <c r="L297" i="2"/>
  <c r="L234" i="2"/>
  <c r="L295" i="2"/>
  <c r="L294" i="2"/>
  <c r="L235" i="2"/>
  <c r="L236" i="2"/>
  <c r="L291" i="2"/>
  <c r="L237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38" i="2"/>
  <c r="L274" i="2"/>
  <c r="L273" i="2"/>
  <c r="L241" i="2"/>
  <c r="L242" i="2"/>
  <c r="L270" i="2"/>
  <c r="L269" i="2"/>
  <c r="L243" i="2"/>
  <c r="L267" i="2"/>
  <c r="L266" i="2"/>
  <c r="L245" i="2"/>
  <c r="L264" i="2"/>
  <c r="L263" i="2"/>
  <c r="L262" i="2"/>
  <c r="L261" i="2"/>
  <c r="L260" i="2"/>
  <c r="L259" i="2"/>
  <c r="L258" i="2"/>
  <c r="L257" i="2"/>
  <c r="L248" i="2"/>
  <c r="L250" i="2"/>
  <c r="L254" i="2"/>
  <c r="L251" i="2"/>
  <c r="L252" i="2"/>
  <c r="L253" i="2"/>
  <c r="L255" i="2"/>
  <c r="L249" i="2"/>
  <c r="L256" i="2"/>
  <c r="L247" i="2"/>
  <c r="L246" i="2"/>
  <c r="L265" i="2"/>
  <c r="L244" i="2"/>
  <c r="L275" i="2"/>
  <c r="L290" i="2"/>
  <c r="L292" i="2"/>
  <c r="L240" i="2"/>
  <c r="L296" i="2"/>
  <c r="L300" i="2"/>
  <c r="L301" i="2"/>
  <c r="L302" i="2"/>
  <c r="L304" i="2"/>
  <c r="L307" i="2"/>
  <c r="L308" i="2"/>
  <c r="L310" i="2"/>
  <c r="L311" i="2"/>
  <c r="L313" i="2"/>
  <c r="L314" i="2"/>
  <c r="L228" i="2"/>
  <c r="L315" i="2"/>
  <c r="L316" i="2"/>
  <c r="L225" i="2"/>
  <c r="L224" i="2"/>
  <c r="L323" i="2"/>
  <c r="L222" i="2"/>
  <c r="L221" i="2"/>
  <c r="L220" i="2"/>
  <c r="L219" i="2"/>
  <c r="L324" i="2"/>
  <c r="L217" i="2"/>
  <c r="L328" i="2"/>
  <c r="L215" i="2"/>
  <c r="L214" i="2"/>
  <c r="L213" i="2"/>
  <c r="L212" i="2"/>
  <c r="L211" i="2"/>
  <c r="L330" i="2"/>
  <c r="L335" i="2"/>
  <c r="L208" i="2"/>
  <c r="L207" i="2"/>
  <c r="L345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346" i="2"/>
  <c r="L191" i="2"/>
  <c r="L190" i="2"/>
  <c r="L369" i="2"/>
  <c r="L188" i="2"/>
  <c r="L187" i="2"/>
  <c r="L186" i="2"/>
  <c r="L185" i="2"/>
  <c r="L184" i="2"/>
  <c r="L183" i="2"/>
  <c r="L182" i="2"/>
  <c r="L181" i="2"/>
  <c r="L375" i="2"/>
  <c r="L179" i="2"/>
  <c r="L376" i="2"/>
  <c r="L177" i="2"/>
  <c r="L176" i="2"/>
  <c r="L175" i="2"/>
  <c r="L174" i="2"/>
  <c r="L173" i="2"/>
  <c r="L172" i="2"/>
  <c r="L171" i="2"/>
  <c r="L170" i="2"/>
  <c r="L169" i="2"/>
  <c r="L382" i="2"/>
  <c r="L167" i="2"/>
  <c r="L166" i="2"/>
  <c r="L402" i="2"/>
  <c r="L403" i="2"/>
  <c r="L163" i="2"/>
  <c r="L162" i="2"/>
  <c r="L405" i="2"/>
  <c r="L160" i="2"/>
  <c r="L408" i="2"/>
  <c r="L414" i="2"/>
  <c r="L424" i="2"/>
  <c r="L436" i="2"/>
  <c r="L437" i="2"/>
  <c r="L452" i="2"/>
  <c r="L453" i="2"/>
  <c r="L454" i="2"/>
  <c r="L459" i="2"/>
  <c r="L466" i="2"/>
  <c r="L149" i="2"/>
  <c r="L148" i="2"/>
  <c r="L147" i="2"/>
  <c r="L478" i="2"/>
  <c r="L145" i="2"/>
  <c r="L144" i="2"/>
  <c r="L513" i="2"/>
  <c r="L142" i="2"/>
  <c r="L141" i="2"/>
  <c r="L140" i="2"/>
  <c r="L139" i="2"/>
  <c r="L138" i="2"/>
  <c r="L516" i="2"/>
  <c r="L136" i="2"/>
  <c r="L135" i="2"/>
  <c r="L519" i="2"/>
  <c r="L531" i="2"/>
  <c r="L132" i="2"/>
  <c r="L534" i="2"/>
  <c r="L130" i="2"/>
  <c r="L129" i="2"/>
  <c r="L547" i="2"/>
  <c r="L127" i="2"/>
  <c r="L126" i="2"/>
  <c r="L125" i="2"/>
  <c r="L124" i="2"/>
  <c r="L550" i="2"/>
  <c r="L551" i="2"/>
  <c r="L557" i="2"/>
  <c r="L558" i="2"/>
  <c r="L559" i="2"/>
  <c r="L118" i="2"/>
  <c r="L117" i="2"/>
  <c r="L537" i="2"/>
  <c r="L115" i="2"/>
  <c r="L114" i="2"/>
  <c r="L26" i="2"/>
  <c r="L112" i="2"/>
  <c r="L29" i="2"/>
  <c r="L110" i="2"/>
  <c r="L109" i="2"/>
  <c r="L108" i="2"/>
  <c r="L107" i="2"/>
  <c r="L106" i="2"/>
  <c r="L32" i="2"/>
  <c r="L104" i="2"/>
  <c r="L103" i="2"/>
  <c r="L102" i="2"/>
  <c r="L33" i="2"/>
  <c r="L57" i="2"/>
  <c r="L99" i="2"/>
  <c r="L98" i="2"/>
  <c r="L97" i="2"/>
  <c r="L96" i="2"/>
  <c r="L95" i="2"/>
  <c r="L94" i="2"/>
  <c r="L93" i="2"/>
  <c r="L92" i="2"/>
  <c r="L65" i="2"/>
  <c r="L90" i="2"/>
  <c r="L89" i="2"/>
  <c r="L74" i="2"/>
  <c r="L76" i="2"/>
  <c r="L82" i="2"/>
  <c r="L85" i="2"/>
  <c r="L84" i="2"/>
  <c r="L105" i="2"/>
  <c r="L111" i="2"/>
  <c r="L81" i="2"/>
  <c r="L80" i="2"/>
  <c r="L79" i="2"/>
  <c r="L78" i="2"/>
  <c r="L77" i="2"/>
  <c r="L120" i="2"/>
  <c r="L75" i="2"/>
  <c r="L121" i="2"/>
  <c r="L123" i="2"/>
  <c r="L72" i="2"/>
  <c r="L133" i="2"/>
  <c r="L70" i="2"/>
  <c r="L69" i="2"/>
  <c r="L68" i="2"/>
  <c r="L67" i="2"/>
  <c r="L66" i="2"/>
  <c r="L143" i="2"/>
  <c r="L146" i="2"/>
  <c r="L63" i="2"/>
  <c r="L150" i="2"/>
  <c r="L61" i="2"/>
  <c r="L155" i="2"/>
  <c r="L158" i="2"/>
  <c r="L159" i="2"/>
  <c r="L165" i="2"/>
  <c r="L168" i="2"/>
  <c r="L55" i="2"/>
  <c r="L189" i="2"/>
  <c r="L53" i="2"/>
  <c r="L52" i="2"/>
  <c r="L51" i="2"/>
  <c r="L50" i="2"/>
  <c r="L49" i="2"/>
  <c r="L48" i="2"/>
  <c r="L47" i="2"/>
  <c r="L239" i="2"/>
  <c r="L45" i="2"/>
  <c r="L44" i="2"/>
  <c r="L43" i="2"/>
  <c r="L42" i="2"/>
  <c r="L41" i="2"/>
  <c r="L40" i="2"/>
  <c r="L39" i="2"/>
  <c r="L38" i="2"/>
  <c r="L37" i="2"/>
  <c r="L36" i="2"/>
  <c r="L35" i="2"/>
  <c r="L34" i="2"/>
  <c r="L271" i="2"/>
  <c r="L272" i="2"/>
  <c r="L317" i="2"/>
  <c r="L30" i="2"/>
  <c r="L329" i="2"/>
  <c r="L28" i="2"/>
  <c r="L27" i="2"/>
  <c r="L344" i="2"/>
  <c r="L25" i="2"/>
  <c r="L24" i="2"/>
  <c r="L23" i="2"/>
  <c r="L22" i="2"/>
  <c r="L21" i="2"/>
  <c r="L358" i="2"/>
  <c r="L19" i="2"/>
  <c r="L18" i="2"/>
  <c r="L17" i="2"/>
  <c r="L16" i="2"/>
  <c r="L15" i="2"/>
  <c r="L14" i="2"/>
  <c r="L13" i="2"/>
  <c r="L433" i="2"/>
  <c r="L11" i="2"/>
  <c r="L484" i="2"/>
  <c r="L9" i="2"/>
  <c r="L511" i="2"/>
  <c r="L7" i="2"/>
  <c r="L533" i="2"/>
  <c r="L5" i="2"/>
  <c r="L4" i="2"/>
  <c r="E9" i="4" l="1"/>
  <c r="E11" i="4"/>
  <c r="E10" i="4"/>
  <c r="E5" i="4"/>
  <c r="E4" i="4"/>
  <c r="E3" i="4"/>
  <c r="D11" i="4"/>
  <c r="D10" i="4"/>
  <c r="D9" i="4"/>
  <c r="S1185" i="3" l="1"/>
  <c r="U1185" i="3" s="1"/>
  <c r="S1184" i="3"/>
  <c r="U1184" i="3" s="1"/>
  <c r="S1183" i="3"/>
  <c r="S1182" i="3"/>
  <c r="S1181" i="3"/>
  <c r="U1181" i="3" s="1"/>
  <c r="U1180" i="3"/>
  <c r="S1180" i="3"/>
  <c r="S1179" i="3"/>
  <c r="S1178" i="3"/>
  <c r="S1177" i="3"/>
  <c r="S1176" i="3"/>
  <c r="U1176" i="3" s="1"/>
  <c r="S1175" i="3"/>
  <c r="U1174" i="3"/>
  <c r="S1174" i="3"/>
  <c r="S1173" i="3"/>
  <c r="S1172" i="3"/>
  <c r="U1172" i="3" s="1"/>
  <c r="S1171" i="3"/>
  <c r="S1170" i="3"/>
  <c r="S1169" i="3"/>
  <c r="U1169" i="3" s="1"/>
  <c r="U1168" i="3"/>
  <c r="S1168" i="3"/>
  <c r="S1167" i="3"/>
  <c r="S1166" i="3"/>
  <c r="S1165" i="3"/>
  <c r="U1165" i="3" s="1"/>
  <c r="S1164" i="3"/>
  <c r="U1164" i="3" s="1"/>
  <c r="S1163" i="3"/>
  <c r="S1162" i="3"/>
  <c r="U1161" i="3"/>
  <c r="S1161" i="3"/>
  <c r="U1160" i="3"/>
  <c r="S1160" i="3"/>
  <c r="S1159" i="3"/>
  <c r="U1158" i="3"/>
  <c r="S1158" i="3"/>
  <c r="U1157" i="3"/>
  <c r="S1157" i="3"/>
  <c r="S1156" i="3"/>
  <c r="U1156" i="3" s="1"/>
  <c r="S1155" i="3"/>
  <c r="S1154" i="3"/>
  <c r="S1153" i="3"/>
  <c r="S1152" i="3"/>
  <c r="S1151" i="3"/>
  <c r="U1151" i="3" s="1"/>
  <c r="S1150" i="3"/>
  <c r="U1150" i="3" s="1"/>
  <c r="S1149" i="3"/>
  <c r="S1148" i="3"/>
  <c r="S1147" i="3"/>
  <c r="S1146" i="3"/>
  <c r="U1145" i="3"/>
  <c r="S1145" i="3"/>
  <c r="S1144" i="3"/>
  <c r="U1143" i="3"/>
  <c r="S1143" i="3"/>
  <c r="S1142" i="3"/>
  <c r="U1142" i="3" s="1"/>
  <c r="S1141" i="3"/>
  <c r="S1140" i="3"/>
  <c r="S1139" i="3"/>
  <c r="S1138" i="3"/>
  <c r="S1137" i="3"/>
  <c r="S1136" i="3"/>
  <c r="S1135" i="3"/>
  <c r="S1134" i="3"/>
  <c r="S1133" i="3"/>
  <c r="S1132" i="3"/>
  <c r="S1131" i="3"/>
  <c r="U1131" i="3" s="1"/>
  <c r="S1130" i="3"/>
  <c r="S1129" i="3"/>
  <c r="U1129" i="3" s="1"/>
  <c r="S1128" i="3"/>
  <c r="S1127" i="3"/>
  <c r="U1127" i="3" s="1"/>
  <c r="S1126" i="3"/>
  <c r="S1125" i="3"/>
  <c r="S1124" i="3"/>
  <c r="S1123" i="3"/>
  <c r="U1123" i="3" s="1"/>
  <c r="S1122" i="3"/>
  <c r="S1121" i="3"/>
  <c r="S1120" i="3"/>
  <c r="S1119" i="3"/>
  <c r="U1119" i="3" s="1"/>
  <c r="U1118" i="3"/>
  <c r="S1118" i="3"/>
  <c r="S1117" i="3"/>
  <c r="U1117" i="3" s="1"/>
  <c r="S1116" i="3"/>
  <c r="S1115" i="3"/>
  <c r="U1115" i="3" s="1"/>
  <c r="S1114" i="3"/>
  <c r="S1113" i="3"/>
  <c r="U1113" i="3" s="1"/>
  <c r="S1112" i="3"/>
  <c r="S1111" i="3"/>
  <c r="U1111" i="3" s="1"/>
  <c r="S1110" i="3"/>
  <c r="U1110" i="3" s="1"/>
  <c r="S1109" i="3"/>
  <c r="U1108" i="3"/>
  <c r="S1108" i="3"/>
  <c r="S1107" i="3"/>
  <c r="U1106" i="3"/>
  <c r="S1106" i="3"/>
  <c r="U1105" i="3"/>
  <c r="S1105" i="3"/>
  <c r="U1104" i="3"/>
  <c r="S1104" i="3"/>
  <c r="S1103" i="3"/>
  <c r="S1102" i="3"/>
  <c r="U1102" i="3" s="1"/>
  <c r="S1101" i="3"/>
  <c r="S1100" i="3"/>
  <c r="S1099" i="3"/>
  <c r="U1099" i="3" s="1"/>
  <c r="S1098" i="3"/>
  <c r="S1097" i="3"/>
  <c r="U1097" i="3" s="1"/>
  <c r="S1096" i="3"/>
  <c r="U1095" i="3"/>
  <c r="S1095" i="3"/>
  <c r="S1094" i="3"/>
  <c r="U1094" i="3" s="1"/>
  <c r="S1093" i="3"/>
  <c r="U1093" i="3" s="1"/>
  <c r="S1092" i="3"/>
  <c r="S1091" i="3"/>
  <c r="U1091" i="3" s="1"/>
  <c r="S1090" i="3"/>
  <c r="S1089" i="3"/>
  <c r="U1089" i="3" s="1"/>
  <c r="S1088" i="3"/>
  <c r="S1087" i="3"/>
  <c r="U1087" i="3" s="1"/>
  <c r="S1086" i="3"/>
  <c r="U1086" i="3" s="1"/>
  <c r="S1085" i="3"/>
  <c r="U1085" i="3" s="1"/>
  <c r="S1084" i="3"/>
  <c r="S1083" i="3"/>
  <c r="S1082" i="3"/>
  <c r="S1081" i="3"/>
  <c r="S1080" i="3"/>
  <c r="S1079" i="3"/>
  <c r="S1078" i="3"/>
  <c r="S1077" i="3"/>
  <c r="U1077" i="3" s="1"/>
  <c r="S1076" i="3"/>
  <c r="U1076" i="3" s="1"/>
  <c r="S1075" i="3"/>
  <c r="S1074" i="3"/>
  <c r="S1073" i="3"/>
  <c r="S1072" i="3"/>
  <c r="S1071" i="3"/>
  <c r="S1070" i="3"/>
  <c r="S1069" i="3"/>
  <c r="S1068" i="3"/>
  <c r="S1067" i="3"/>
  <c r="S1066" i="3"/>
  <c r="S1065" i="3"/>
  <c r="S1064" i="3"/>
  <c r="S1063" i="3"/>
  <c r="S1062" i="3"/>
  <c r="S1061" i="3"/>
  <c r="S1060" i="3"/>
  <c r="S1059" i="3"/>
  <c r="S1058" i="3"/>
  <c r="S1057" i="3"/>
  <c r="S1056" i="3"/>
  <c r="S1055" i="3"/>
  <c r="S1054" i="3"/>
  <c r="U1053" i="3"/>
  <c r="S1053" i="3"/>
  <c r="S1052" i="3"/>
  <c r="U1051" i="3"/>
  <c r="S1051" i="3"/>
  <c r="S1050" i="3"/>
  <c r="S1049" i="3"/>
  <c r="S1048" i="3"/>
  <c r="S1047" i="3"/>
  <c r="U1046" i="3"/>
  <c r="S1046" i="3"/>
  <c r="S1045" i="3"/>
  <c r="S1044" i="3"/>
  <c r="S1043" i="3"/>
  <c r="S1042" i="3"/>
  <c r="S1041" i="3"/>
  <c r="S1040" i="3"/>
  <c r="S1039" i="3"/>
  <c r="S1038" i="3"/>
  <c r="U1037" i="3"/>
  <c r="S1037" i="3"/>
  <c r="S1036" i="3"/>
  <c r="S1035" i="3"/>
  <c r="S1034" i="3"/>
  <c r="S1033" i="3"/>
  <c r="U1033" i="3" s="1"/>
  <c r="S1032" i="3"/>
  <c r="U1031" i="3"/>
  <c r="S1031" i="3"/>
  <c r="S1030" i="3"/>
  <c r="U1030" i="3" s="1"/>
  <c r="S1029" i="3"/>
  <c r="S1028" i="3"/>
  <c r="S1027" i="3"/>
  <c r="S1026" i="3"/>
  <c r="S1025" i="3"/>
  <c r="S1024" i="3"/>
  <c r="S1023" i="3"/>
  <c r="U1022" i="3"/>
  <c r="S1022" i="3"/>
  <c r="S1021" i="3"/>
  <c r="U1021" i="3" s="1"/>
  <c r="S1020" i="3"/>
  <c r="S1019" i="3"/>
  <c r="S1018" i="3"/>
  <c r="S1017" i="3"/>
  <c r="U1017" i="3" s="1"/>
  <c r="S1016" i="3"/>
  <c r="U1016" i="3" s="1"/>
  <c r="U1015" i="3"/>
  <c r="S1015" i="3"/>
  <c r="U1014" i="3"/>
  <c r="S1014" i="3"/>
  <c r="U1013" i="3"/>
  <c r="S1013" i="3"/>
  <c r="U1012" i="3"/>
  <c r="S1012" i="3"/>
  <c r="U1011" i="3"/>
  <c r="S1011" i="3"/>
  <c r="U1010" i="3"/>
  <c r="S1010" i="3"/>
  <c r="S1009" i="3"/>
  <c r="S1008" i="3"/>
  <c r="U1008" i="3" s="1"/>
  <c r="S1007" i="3"/>
  <c r="U1007" i="3" s="1"/>
  <c r="S1006" i="3"/>
  <c r="S1005" i="3"/>
  <c r="S1004" i="3"/>
  <c r="S1003" i="3"/>
  <c r="S1002" i="3"/>
  <c r="S1001" i="3"/>
  <c r="S1000" i="3"/>
  <c r="S999" i="3"/>
  <c r="S998" i="3"/>
  <c r="U997" i="3"/>
  <c r="S997" i="3"/>
  <c r="S996" i="3"/>
  <c r="S995" i="3"/>
  <c r="S994" i="3"/>
  <c r="S993" i="3"/>
  <c r="S992" i="3"/>
  <c r="U991" i="3"/>
  <c r="S991" i="3"/>
  <c r="U990" i="3"/>
  <c r="S990" i="3"/>
  <c r="S989" i="3"/>
  <c r="S988" i="3"/>
  <c r="S987" i="3"/>
  <c r="S986" i="3"/>
  <c r="U985" i="3"/>
  <c r="S985" i="3"/>
  <c r="S984" i="3"/>
  <c r="S983" i="3"/>
  <c r="S982" i="3"/>
  <c r="S981" i="3"/>
  <c r="U980" i="3"/>
  <c r="S980" i="3"/>
  <c r="U979" i="3"/>
  <c r="S979" i="3"/>
  <c r="S978" i="3"/>
  <c r="S977" i="3"/>
  <c r="U976" i="3"/>
  <c r="S976" i="3"/>
  <c r="S975" i="3"/>
  <c r="S974" i="3"/>
  <c r="S973" i="3"/>
  <c r="S972" i="3"/>
  <c r="U972" i="3" s="1"/>
  <c r="U971" i="3"/>
  <c r="S971" i="3"/>
  <c r="U970" i="3"/>
  <c r="S970" i="3"/>
  <c r="S969" i="3"/>
  <c r="S968" i="3"/>
  <c r="U968" i="3" s="1"/>
  <c r="S967" i="3"/>
  <c r="U967" i="3" s="1"/>
  <c r="S966" i="3"/>
  <c r="S965" i="3"/>
  <c r="S964" i="3"/>
  <c r="U963" i="3"/>
  <c r="S963" i="3"/>
  <c r="S962" i="3"/>
  <c r="S961" i="3"/>
  <c r="S960" i="3"/>
  <c r="S959" i="3"/>
  <c r="U959" i="3" s="1"/>
  <c r="S958" i="3"/>
  <c r="S957" i="3"/>
  <c r="S956" i="3"/>
  <c r="U956" i="3" s="1"/>
  <c r="U955" i="3"/>
  <c r="S955" i="3"/>
  <c r="U954" i="3"/>
  <c r="S954" i="3"/>
  <c r="S953" i="3"/>
  <c r="S952" i="3"/>
  <c r="U952" i="3" s="1"/>
  <c r="U951" i="3"/>
  <c r="S951" i="3"/>
  <c r="S950" i="3"/>
  <c r="S949" i="3"/>
  <c r="U948" i="3"/>
  <c r="S948" i="3"/>
  <c r="S947" i="3"/>
  <c r="S946" i="3"/>
  <c r="S945" i="3"/>
  <c r="U944" i="3"/>
  <c r="S944" i="3"/>
  <c r="U943" i="3"/>
  <c r="S943" i="3"/>
  <c r="U942" i="3"/>
  <c r="S942" i="3"/>
  <c r="S941" i="3"/>
  <c r="U941" i="3" s="1"/>
  <c r="S940" i="3"/>
  <c r="S939" i="3"/>
  <c r="S938" i="3"/>
  <c r="S937" i="3"/>
  <c r="U937" i="3" s="1"/>
  <c r="U936" i="3"/>
  <c r="S936" i="3"/>
  <c r="U935" i="3"/>
  <c r="S935" i="3"/>
  <c r="S934" i="3"/>
  <c r="U933" i="3"/>
  <c r="S933" i="3"/>
  <c r="U932" i="3"/>
  <c r="S932" i="3"/>
  <c r="S931" i="3"/>
  <c r="S930" i="3"/>
  <c r="S929" i="3"/>
  <c r="U929" i="3" s="1"/>
  <c r="S928" i="3"/>
  <c r="S927" i="3"/>
  <c r="S926" i="3"/>
  <c r="U926" i="3" s="1"/>
  <c r="S925" i="3"/>
  <c r="U924" i="3"/>
  <c r="S924" i="3"/>
  <c r="U923" i="3"/>
  <c r="S923" i="3"/>
  <c r="S922" i="3"/>
  <c r="S921" i="3"/>
  <c r="S920" i="3"/>
  <c r="S919" i="3"/>
  <c r="S918" i="3"/>
  <c r="S917" i="3"/>
  <c r="U917" i="3" s="1"/>
  <c r="S916" i="3"/>
  <c r="S915" i="3"/>
  <c r="S914" i="3"/>
  <c r="U913" i="3"/>
  <c r="S913" i="3"/>
  <c r="U912" i="3"/>
  <c r="S912" i="3"/>
  <c r="U911" i="3"/>
  <c r="S911" i="3"/>
  <c r="S910" i="3"/>
  <c r="S909" i="3"/>
  <c r="U909" i="3" s="1"/>
  <c r="S908" i="3"/>
  <c r="S907" i="3"/>
  <c r="S906" i="3"/>
  <c r="S905" i="3"/>
  <c r="U905" i="3" s="1"/>
  <c r="S904" i="3"/>
  <c r="S903" i="3"/>
  <c r="S902" i="3"/>
  <c r="U902" i="3" s="1"/>
  <c r="S901" i="3"/>
  <c r="U901" i="3" s="1"/>
  <c r="S900" i="3"/>
  <c r="S899" i="3"/>
  <c r="U899" i="3" s="1"/>
  <c r="S898" i="3"/>
  <c r="S897" i="3"/>
  <c r="S896" i="3"/>
  <c r="S895" i="3"/>
  <c r="U895" i="3" s="1"/>
  <c r="S894" i="3"/>
  <c r="U894" i="3" s="1"/>
  <c r="S893" i="3"/>
  <c r="U893" i="3" s="1"/>
  <c r="S892" i="3"/>
  <c r="S891" i="3"/>
  <c r="S890" i="3"/>
  <c r="S889" i="3"/>
  <c r="U889" i="3" s="1"/>
  <c r="S888" i="3"/>
  <c r="S887" i="3"/>
  <c r="S886" i="3"/>
  <c r="U886" i="3" s="1"/>
  <c r="S885" i="3"/>
  <c r="U885" i="3" s="1"/>
  <c r="S884" i="3"/>
  <c r="S883" i="3"/>
  <c r="U883" i="3" s="1"/>
  <c r="S882" i="3"/>
  <c r="S881" i="3"/>
  <c r="S880" i="3"/>
  <c r="S879" i="3"/>
  <c r="U879" i="3" s="1"/>
  <c r="S878" i="3"/>
  <c r="S877" i="3"/>
  <c r="S876" i="3"/>
  <c r="S875" i="3"/>
  <c r="S874" i="3"/>
  <c r="S873" i="3"/>
  <c r="S872" i="3"/>
  <c r="S871" i="3"/>
  <c r="U871" i="3" s="1"/>
  <c r="S870" i="3"/>
  <c r="S869" i="3"/>
  <c r="U869" i="3" s="1"/>
  <c r="S868" i="3"/>
  <c r="S867" i="3"/>
  <c r="S866" i="3"/>
  <c r="S865" i="3"/>
  <c r="U865" i="3" s="1"/>
  <c r="S864" i="3"/>
  <c r="S863" i="3"/>
  <c r="S862" i="3"/>
  <c r="S861" i="3"/>
  <c r="U861" i="3" s="1"/>
  <c r="S860" i="3"/>
  <c r="S859" i="3"/>
  <c r="S858" i="3"/>
  <c r="S857" i="3"/>
  <c r="U857" i="3" s="1"/>
  <c r="S856" i="3"/>
  <c r="S855" i="3"/>
  <c r="S854" i="3"/>
  <c r="S853" i="3"/>
  <c r="U853" i="3" s="1"/>
  <c r="S852" i="3"/>
  <c r="S851" i="3"/>
  <c r="S850" i="3"/>
  <c r="S849" i="3"/>
  <c r="U849" i="3" s="1"/>
  <c r="S848" i="3"/>
  <c r="S847" i="3"/>
  <c r="S846" i="3"/>
  <c r="S845" i="3"/>
  <c r="U845" i="3" s="1"/>
  <c r="S844" i="3"/>
  <c r="S843" i="3"/>
  <c r="S842" i="3"/>
  <c r="S841" i="3"/>
  <c r="U841" i="3" s="1"/>
  <c r="S840" i="3"/>
  <c r="S839" i="3"/>
  <c r="S838" i="3"/>
  <c r="U837" i="3"/>
  <c r="S837" i="3"/>
  <c r="U836" i="3"/>
  <c r="S836" i="3"/>
  <c r="S835" i="3"/>
  <c r="S834" i="3"/>
  <c r="S833" i="3"/>
  <c r="S832" i="3"/>
  <c r="U832" i="3" s="1"/>
  <c r="S831" i="3"/>
  <c r="S830" i="3"/>
  <c r="S829" i="3"/>
  <c r="S828" i="3"/>
  <c r="S827" i="3"/>
  <c r="S826" i="3"/>
  <c r="S825" i="3"/>
  <c r="U824" i="3"/>
  <c r="S824" i="3"/>
  <c r="S823" i="3"/>
  <c r="S822" i="3"/>
  <c r="S821" i="3"/>
  <c r="U821" i="3" s="1"/>
  <c r="S820" i="3"/>
  <c r="S819" i="3"/>
  <c r="S818" i="3"/>
  <c r="S817" i="3"/>
  <c r="U817" i="3" s="1"/>
  <c r="S816" i="3"/>
  <c r="U815" i="3"/>
  <c r="S815" i="3"/>
  <c r="U814" i="3"/>
  <c r="S814" i="3"/>
  <c r="S813" i="3"/>
  <c r="U813" i="3" s="1"/>
  <c r="S812" i="3"/>
  <c r="U812" i="3" s="1"/>
  <c r="S811" i="3"/>
  <c r="S810" i="3"/>
  <c r="S809" i="3"/>
  <c r="U809" i="3" s="1"/>
  <c r="U808" i="3"/>
  <c r="S808" i="3"/>
  <c r="S807" i="3"/>
  <c r="S806" i="3"/>
  <c r="S805" i="3"/>
  <c r="U805" i="3" s="1"/>
  <c r="S804" i="3"/>
  <c r="S803" i="3"/>
  <c r="U802" i="3"/>
  <c r="S802" i="3"/>
  <c r="S801" i="3"/>
  <c r="S800" i="3"/>
  <c r="U799" i="3"/>
  <c r="S799" i="3"/>
  <c r="S798" i="3"/>
  <c r="S797" i="3"/>
  <c r="U797" i="3" s="1"/>
  <c r="S796" i="3"/>
  <c r="U795" i="3"/>
  <c r="S795" i="3"/>
  <c r="S794" i="3"/>
  <c r="S793" i="3"/>
  <c r="S792" i="3"/>
  <c r="U792" i="3" s="1"/>
  <c r="S791" i="3"/>
  <c r="S790" i="3"/>
  <c r="S789" i="3"/>
  <c r="S788" i="3"/>
  <c r="S787" i="3"/>
  <c r="S786" i="3"/>
  <c r="S785" i="3"/>
  <c r="U784" i="3"/>
  <c r="S784" i="3"/>
  <c r="S783" i="3"/>
  <c r="U783" i="3" s="1"/>
  <c r="U782" i="3"/>
  <c r="S782" i="3"/>
  <c r="U781" i="3"/>
  <c r="S781" i="3"/>
  <c r="S780" i="3"/>
  <c r="U780" i="3" s="1"/>
  <c r="S779" i="3"/>
  <c r="U779" i="3" s="1"/>
  <c r="U778" i="3"/>
  <c r="S778" i="3"/>
  <c r="U777" i="3"/>
  <c r="S777" i="3"/>
  <c r="U776" i="3"/>
  <c r="S776" i="3"/>
  <c r="U775" i="3"/>
  <c r="S775" i="3"/>
  <c r="U774" i="3"/>
  <c r="S774" i="3"/>
  <c r="U773" i="3"/>
  <c r="S773" i="3"/>
  <c r="S772" i="3"/>
  <c r="U772" i="3" s="1"/>
  <c r="U771" i="3"/>
  <c r="S771" i="3"/>
  <c r="U770" i="3"/>
  <c r="S770" i="3"/>
  <c r="S769" i="3"/>
  <c r="U768" i="3"/>
  <c r="S768" i="3"/>
  <c r="S767" i="3"/>
  <c r="S766" i="3"/>
  <c r="U766" i="3" s="1"/>
  <c r="S765" i="3"/>
  <c r="S764" i="3"/>
  <c r="S763" i="3"/>
  <c r="S762" i="3"/>
  <c r="U761" i="3"/>
  <c r="S761" i="3"/>
  <c r="S760" i="3"/>
  <c r="S759" i="3"/>
  <c r="U758" i="3"/>
  <c r="S758" i="3"/>
  <c r="S757" i="3"/>
  <c r="S756" i="3"/>
  <c r="S755" i="3"/>
  <c r="U754" i="3"/>
  <c r="S754" i="3"/>
  <c r="U753" i="3"/>
  <c r="S753" i="3"/>
  <c r="S752" i="3"/>
  <c r="S751" i="3"/>
  <c r="S750" i="3"/>
  <c r="S749" i="3"/>
  <c r="U749" i="3" s="1"/>
  <c r="S748" i="3"/>
  <c r="S747" i="3"/>
  <c r="S746" i="3"/>
  <c r="U745" i="3"/>
  <c r="S745" i="3"/>
  <c r="S744" i="3"/>
  <c r="S743" i="3"/>
  <c r="S742" i="3"/>
  <c r="U742" i="3" s="1"/>
  <c r="S741" i="3"/>
  <c r="S740" i="3"/>
  <c r="S739" i="3"/>
  <c r="S738" i="3"/>
  <c r="U737" i="3"/>
  <c r="S737" i="3"/>
  <c r="S736" i="3"/>
  <c r="S735" i="3"/>
  <c r="S734" i="3"/>
  <c r="U734" i="3" s="1"/>
  <c r="S733" i="3"/>
  <c r="U733" i="3" s="1"/>
  <c r="S732" i="3"/>
  <c r="S731" i="3"/>
  <c r="S730" i="3"/>
  <c r="S729" i="3"/>
  <c r="U729" i="3" s="1"/>
  <c r="S728" i="3"/>
  <c r="S727" i="3"/>
  <c r="S726" i="3"/>
  <c r="U726" i="3" s="1"/>
  <c r="S725" i="3"/>
  <c r="U725" i="3" s="1"/>
  <c r="S724" i="3"/>
  <c r="S723" i="3"/>
  <c r="S722" i="3"/>
  <c r="S721" i="3"/>
  <c r="S720" i="3"/>
  <c r="S719" i="3"/>
  <c r="S718" i="3"/>
  <c r="S717" i="3"/>
  <c r="U716" i="3"/>
  <c r="S716" i="3"/>
  <c r="S715" i="3"/>
  <c r="S714" i="3"/>
  <c r="S713" i="3"/>
  <c r="U713" i="3" s="1"/>
  <c r="S712" i="3"/>
  <c r="S711" i="3"/>
  <c r="S710" i="3"/>
  <c r="U709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U689" i="3" s="1"/>
  <c r="S688" i="3"/>
  <c r="S687" i="3"/>
  <c r="S686" i="3"/>
  <c r="U686" i="3" s="1"/>
  <c r="S685" i="3"/>
  <c r="U685" i="3" s="1"/>
  <c r="S684" i="3"/>
  <c r="S683" i="3"/>
  <c r="U682" i="3"/>
  <c r="S682" i="3"/>
  <c r="U681" i="3"/>
  <c r="S681" i="3"/>
  <c r="U680" i="3"/>
  <c r="S680" i="3"/>
  <c r="U679" i="3"/>
  <c r="S679" i="3"/>
  <c r="U678" i="3"/>
  <c r="S678" i="3"/>
  <c r="S677" i="3"/>
  <c r="U677" i="3" s="1"/>
  <c r="S676" i="3"/>
  <c r="S675" i="3"/>
  <c r="S674" i="3"/>
  <c r="S673" i="3"/>
  <c r="S672" i="3"/>
  <c r="S671" i="3"/>
  <c r="S670" i="3"/>
  <c r="U670" i="3" s="1"/>
  <c r="S669" i="3"/>
  <c r="U669" i="3" s="1"/>
  <c r="S668" i="3"/>
  <c r="S667" i="3"/>
  <c r="S666" i="3"/>
  <c r="S665" i="3"/>
  <c r="S664" i="3"/>
  <c r="U664" i="3" s="1"/>
  <c r="S663" i="3"/>
  <c r="S662" i="3"/>
  <c r="S661" i="3"/>
  <c r="S660" i="3"/>
  <c r="S659" i="3"/>
  <c r="S658" i="3"/>
  <c r="S657" i="3"/>
  <c r="S656" i="3"/>
  <c r="S655" i="3"/>
  <c r="U655" i="3" s="1"/>
  <c r="S654" i="3"/>
  <c r="S653" i="3"/>
  <c r="U652" i="3"/>
  <c r="S652" i="3"/>
  <c r="S651" i="3"/>
  <c r="S650" i="3"/>
  <c r="S649" i="3"/>
  <c r="S648" i="3"/>
  <c r="S647" i="3"/>
  <c r="S646" i="3"/>
  <c r="S645" i="3"/>
  <c r="U644" i="3"/>
  <c r="S644" i="3"/>
  <c r="S643" i="3"/>
  <c r="S642" i="3"/>
  <c r="S641" i="3"/>
  <c r="S640" i="3"/>
  <c r="U640" i="3" s="1"/>
  <c r="S639" i="3"/>
  <c r="U639" i="3" s="1"/>
  <c r="S638" i="3"/>
  <c r="U638" i="3" s="1"/>
  <c r="S637" i="3"/>
  <c r="S636" i="3"/>
  <c r="S635" i="3"/>
  <c r="S634" i="3"/>
  <c r="S633" i="3"/>
  <c r="S632" i="3"/>
  <c r="S631" i="3"/>
  <c r="S630" i="3"/>
  <c r="U630" i="3" s="1"/>
  <c r="S629" i="3"/>
  <c r="S628" i="3"/>
  <c r="S627" i="3"/>
  <c r="S626" i="3"/>
  <c r="S625" i="3"/>
  <c r="S624" i="3"/>
  <c r="U623" i="3"/>
  <c r="S623" i="3"/>
  <c r="U622" i="3"/>
  <c r="S622" i="3"/>
  <c r="S621" i="3"/>
  <c r="S620" i="3"/>
  <c r="S619" i="3"/>
  <c r="S618" i="3"/>
  <c r="S617" i="3"/>
  <c r="U616" i="3"/>
  <c r="S616" i="3"/>
  <c r="S615" i="3"/>
  <c r="S614" i="3"/>
  <c r="U614" i="3" s="1"/>
  <c r="U613" i="3"/>
  <c r="S613" i="3"/>
  <c r="S612" i="3"/>
  <c r="S611" i="3"/>
  <c r="S610" i="3"/>
  <c r="S609" i="3"/>
  <c r="S608" i="3"/>
  <c r="S607" i="3"/>
  <c r="S606" i="3"/>
  <c r="U606" i="3" s="1"/>
  <c r="S605" i="3"/>
  <c r="S604" i="3"/>
  <c r="S603" i="3"/>
  <c r="S602" i="3"/>
  <c r="S601" i="3"/>
  <c r="S600" i="3"/>
  <c r="U599" i="3"/>
  <c r="S599" i="3"/>
  <c r="S598" i="3"/>
  <c r="U598" i="3" s="1"/>
  <c r="S597" i="3"/>
  <c r="S596" i="3"/>
  <c r="S595" i="3"/>
  <c r="U594" i="3"/>
  <c r="S594" i="3"/>
  <c r="U593" i="3"/>
  <c r="S593" i="3"/>
  <c r="S592" i="3"/>
  <c r="S591" i="3"/>
  <c r="U591" i="3" s="1"/>
  <c r="S590" i="3"/>
  <c r="S589" i="3"/>
  <c r="S588" i="3"/>
  <c r="S587" i="3"/>
  <c r="S586" i="3"/>
  <c r="U585" i="3"/>
  <c r="S585" i="3"/>
  <c r="S584" i="3"/>
  <c r="S583" i="3"/>
  <c r="U583" i="3" s="1"/>
  <c r="S582" i="3"/>
  <c r="S581" i="3"/>
  <c r="S580" i="3"/>
  <c r="S579" i="3"/>
  <c r="S578" i="3"/>
  <c r="S577" i="3"/>
  <c r="U576" i="3"/>
  <c r="S576" i="3"/>
  <c r="U575" i="3"/>
  <c r="S575" i="3"/>
  <c r="S574" i="3"/>
  <c r="S573" i="3"/>
  <c r="S572" i="3"/>
  <c r="S571" i="3"/>
  <c r="S570" i="3"/>
  <c r="S569" i="3"/>
  <c r="S568" i="3"/>
  <c r="S567" i="3"/>
  <c r="S566" i="3"/>
  <c r="S565" i="3"/>
  <c r="U564" i="3"/>
  <c r="S564" i="3"/>
  <c r="S563" i="3"/>
  <c r="S562" i="3"/>
  <c r="U561" i="3"/>
  <c r="S561" i="3"/>
  <c r="S560" i="3"/>
  <c r="S559" i="3"/>
  <c r="U559" i="3" s="1"/>
  <c r="S558" i="3"/>
  <c r="S557" i="3"/>
  <c r="S556" i="3"/>
  <c r="S555" i="3"/>
  <c r="S554" i="3"/>
  <c r="S553" i="3"/>
  <c r="U552" i="3"/>
  <c r="S552" i="3"/>
  <c r="S551" i="3"/>
  <c r="S550" i="3"/>
  <c r="S549" i="3"/>
  <c r="S548" i="3"/>
  <c r="S547" i="3"/>
  <c r="S546" i="3"/>
  <c r="S545" i="3"/>
  <c r="U544" i="3"/>
  <c r="S544" i="3"/>
  <c r="S543" i="3"/>
  <c r="U543" i="3" s="1"/>
  <c r="S542" i="3"/>
  <c r="U542" i="3" s="1"/>
  <c r="S541" i="3"/>
  <c r="S540" i="3"/>
  <c r="U539" i="3"/>
  <c r="S539" i="3"/>
  <c r="U538" i="3"/>
  <c r="S538" i="3"/>
  <c r="U537" i="3"/>
  <c r="S537" i="3"/>
  <c r="S536" i="3"/>
  <c r="S535" i="3"/>
  <c r="U535" i="3" s="1"/>
  <c r="S534" i="3"/>
  <c r="S533" i="3"/>
  <c r="S532" i="3"/>
  <c r="S531" i="3"/>
  <c r="S530" i="3"/>
  <c r="S529" i="3"/>
  <c r="S528" i="3"/>
  <c r="S527" i="3"/>
  <c r="S526" i="3"/>
  <c r="U526" i="3" s="1"/>
  <c r="S525" i="3"/>
  <c r="S524" i="3"/>
  <c r="U523" i="3"/>
  <c r="S523" i="3"/>
  <c r="S522" i="3"/>
  <c r="U522" i="3" s="1"/>
  <c r="S521" i="3"/>
  <c r="S520" i="3"/>
  <c r="S519" i="3"/>
  <c r="S518" i="3"/>
  <c r="U518" i="3" s="1"/>
  <c r="S517" i="3"/>
  <c r="S516" i="3"/>
  <c r="S515" i="3"/>
  <c r="S514" i="3"/>
  <c r="S513" i="3"/>
  <c r="S512" i="3"/>
  <c r="U511" i="3"/>
  <c r="S511" i="3"/>
  <c r="U510" i="3"/>
  <c r="S510" i="3"/>
  <c r="S509" i="3"/>
  <c r="U508" i="3"/>
  <c r="S508" i="3"/>
  <c r="S507" i="3"/>
  <c r="U507" i="3" s="1"/>
  <c r="S506" i="3"/>
  <c r="U506" i="3" s="1"/>
  <c r="S505" i="3"/>
  <c r="U504" i="3"/>
  <c r="S504" i="3"/>
  <c r="U503" i="3"/>
  <c r="S503" i="3"/>
  <c r="S502" i="3"/>
  <c r="U502" i="3" s="1"/>
  <c r="S501" i="3"/>
  <c r="S500" i="3"/>
  <c r="S499" i="3"/>
  <c r="U499" i="3" s="1"/>
  <c r="U498" i="3"/>
  <c r="S498" i="3"/>
  <c r="S497" i="3"/>
  <c r="U497" i="3" s="1"/>
  <c r="S496" i="3"/>
  <c r="S495" i="3"/>
  <c r="S494" i="3"/>
  <c r="S493" i="3"/>
  <c r="U493" i="3" s="1"/>
  <c r="U492" i="3"/>
  <c r="S492" i="3"/>
  <c r="S491" i="3"/>
  <c r="S490" i="3"/>
  <c r="S489" i="3"/>
  <c r="U488" i="3"/>
  <c r="S488" i="3"/>
  <c r="S487" i="3"/>
  <c r="S486" i="3"/>
  <c r="U485" i="3"/>
  <c r="S485" i="3"/>
  <c r="S484" i="3"/>
  <c r="S483" i="3"/>
  <c r="S482" i="3"/>
  <c r="S481" i="3"/>
  <c r="U481" i="3" s="1"/>
  <c r="S480" i="3"/>
  <c r="U479" i="3"/>
  <c r="S479" i="3"/>
  <c r="S478" i="3"/>
  <c r="S477" i="3"/>
  <c r="U477" i="3" s="1"/>
  <c r="U476" i="3"/>
  <c r="S476" i="3"/>
  <c r="S475" i="3"/>
  <c r="U475" i="3" s="1"/>
  <c r="S474" i="3"/>
  <c r="U474" i="3" s="1"/>
  <c r="S473" i="3"/>
  <c r="U472" i="3"/>
  <c r="S472" i="3"/>
  <c r="U471" i="3"/>
  <c r="S471" i="3"/>
  <c r="S470" i="3"/>
  <c r="U470" i="3" s="1"/>
  <c r="S469" i="3"/>
  <c r="S468" i="3"/>
  <c r="U467" i="3"/>
  <c r="S467" i="3"/>
  <c r="U466" i="3"/>
  <c r="S466" i="3"/>
  <c r="S465" i="3"/>
  <c r="S464" i="3"/>
  <c r="U463" i="3"/>
  <c r="S463" i="3"/>
  <c r="S462" i="3"/>
  <c r="S461" i="3"/>
  <c r="S460" i="3"/>
  <c r="S459" i="3"/>
  <c r="S458" i="3"/>
  <c r="S457" i="3"/>
  <c r="U456" i="3"/>
  <c r="S456" i="3"/>
  <c r="S455" i="3"/>
  <c r="U455" i="3" s="1"/>
  <c r="S454" i="3"/>
  <c r="S453" i="3"/>
  <c r="S452" i="3"/>
  <c r="U451" i="3"/>
  <c r="S451" i="3"/>
  <c r="S450" i="3"/>
  <c r="U449" i="3"/>
  <c r="S449" i="3"/>
  <c r="S448" i="3"/>
  <c r="S447" i="3"/>
  <c r="S446" i="3"/>
  <c r="U445" i="3"/>
  <c r="S445" i="3"/>
  <c r="U444" i="3"/>
  <c r="S444" i="3"/>
  <c r="S443" i="3"/>
  <c r="S442" i="3"/>
  <c r="U441" i="3"/>
  <c r="S441" i="3"/>
  <c r="U440" i="3"/>
  <c r="S440" i="3"/>
  <c r="S439" i="3"/>
  <c r="S438" i="3"/>
  <c r="S437" i="3"/>
  <c r="S436" i="3"/>
  <c r="U435" i="3"/>
  <c r="S435" i="3"/>
  <c r="S434" i="3"/>
  <c r="U433" i="3"/>
  <c r="S433" i="3"/>
  <c r="S432" i="3"/>
  <c r="U431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U417" i="3"/>
  <c r="S417" i="3"/>
  <c r="S416" i="3"/>
  <c r="S415" i="3"/>
  <c r="U415" i="3" s="1"/>
  <c r="S414" i="3"/>
  <c r="S413" i="3"/>
  <c r="S412" i="3"/>
  <c r="S411" i="3"/>
  <c r="S410" i="3"/>
  <c r="S409" i="3"/>
  <c r="U408" i="3"/>
  <c r="S408" i="3"/>
  <c r="S407" i="3"/>
  <c r="S406" i="3"/>
  <c r="S405" i="3"/>
  <c r="S404" i="3"/>
  <c r="S403" i="3"/>
  <c r="S402" i="3"/>
  <c r="U401" i="3"/>
  <c r="S401" i="3"/>
  <c r="U400" i="3"/>
  <c r="S400" i="3"/>
  <c r="U399" i="3"/>
  <c r="S399" i="3"/>
  <c r="U398" i="3"/>
  <c r="S398" i="3"/>
  <c r="U397" i="3"/>
  <c r="S397" i="3"/>
  <c r="S396" i="3"/>
  <c r="S395" i="3"/>
  <c r="S394" i="3"/>
  <c r="S393" i="3"/>
  <c r="S392" i="3"/>
  <c r="S391" i="3"/>
  <c r="S390" i="3"/>
  <c r="S389" i="3"/>
  <c r="U388" i="3"/>
  <c r="S388" i="3"/>
  <c r="S387" i="3"/>
  <c r="S386" i="3"/>
  <c r="S385" i="3"/>
  <c r="S384" i="3"/>
  <c r="S383" i="3"/>
  <c r="S382" i="3"/>
  <c r="U381" i="3"/>
  <c r="S381" i="3"/>
  <c r="S380" i="3"/>
  <c r="S379" i="3"/>
  <c r="S378" i="3"/>
  <c r="S377" i="3"/>
  <c r="S376" i="3"/>
  <c r="U375" i="3"/>
  <c r="S375" i="3"/>
  <c r="U374" i="3"/>
  <c r="S374" i="3"/>
  <c r="U373" i="3"/>
  <c r="S373" i="3"/>
  <c r="S372" i="3"/>
  <c r="S371" i="3"/>
  <c r="S370" i="3"/>
  <c r="U369" i="3"/>
  <c r="S369" i="3"/>
  <c r="S368" i="3"/>
  <c r="S367" i="3"/>
  <c r="S366" i="3"/>
  <c r="S365" i="3"/>
  <c r="S364" i="3"/>
  <c r="U363" i="3"/>
  <c r="S363" i="3"/>
  <c r="S362" i="3"/>
  <c r="U361" i="3"/>
  <c r="S361" i="3"/>
  <c r="S360" i="3"/>
  <c r="U359" i="3"/>
  <c r="S359" i="3"/>
  <c r="S358" i="3"/>
  <c r="S357" i="3"/>
  <c r="S356" i="3"/>
  <c r="S355" i="3"/>
  <c r="S354" i="3"/>
  <c r="U353" i="3"/>
  <c r="S353" i="3"/>
  <c r="S352" i="3"/>
  <c r="U351" i="3"/>
  <c r="S351" i="3"/>
  <c r="S350" i="3"/>
  <c r="S349" i="3"/>
  <c r="S348" i="3"/>
  <c r="U347" i="3"/>
  <c r="S347" i="3"/>
  <c r="S346" i="3"/>
  <c r="U346" i="3" s="1"/>
  <c r="S345" i="3"/>
  <c r="S344" i="3"/>
  <c r="S343" i="3"/>
  <c r="U343" i="3" s="1"/>
  <c r="S342" i="3"/>
  <c r="S341" i="3"/>
  <c r="S340" i="3"/>
  <c r="S339" i="3"/>
  <c r="U339" i="3" s="1"/>
  <c r="S338" i="3"/>
  <c r="U338" i="3" s="1"/>
  <c r="S337" i="3"/>
  <c r="S336" i="3"/>
  <c r="U335" i="3"/>
  <c r="S335" i="3"/>
  <c r="S334" i="3"/>
  <c r="S333" i="3"/>
  <c r="S332" i="3"/>
  <c r="U331" i="3"/>
  <c r="S331" i="3"/>
  <c r="S330" i="3"/>
  <c r="U330" i="3" s="1"/>
  <c r="U329" i="3"/>
  <c r="S329" i="3"/>
  <c r="S328" i="3"/>
  <c r="S327" i="3"/>
  <c r="S326" i="3"/>
  <c r="S325" i="3"/>
  <c r="U324" i="3"/>
  <c r="S324" i="3"/>
  <c r="S323" i="3"/>
  <c r="S322" i="3"/>
  <c r="U322" i="3" s="1"/>
  <c r="S321" i="3"/>
  <c r="U320" i="3"/>
  <c r="S320" i="3"/>
  <c r="S319" i="3"/>
  <c r="S318" i="3"/>
  <c r="U318" i="3" s="1"/>
  <c r="S317" i="3"/>
  <c r="U316" i="3"/>
  <c r="S316" i="3"/>
  <c r="S315" i="3"/>
  <c r="S314" i="3"/>
  <c r="U314" i="3" s="1"/>
  <c r="S313" i="3"/>
  <c r="U312" i="3"/>
  <c r="S312" i="3"/>
  <c r="S311" i="3"/>
  <c r="S310" i="3"/>
  <c r="U309" i="3"/>
  <c r="S309" i="3"/>
  <c r="S308" i="3"/>
  <c r="S307" i="3"/>
  <c r="S306" i="3"/>
  <c r="S305" i="3"/>
  <c r="U305" i="3" s="1"/>
  <c r="S304" i="3"/>
  <c r="S303" i="3"/>
  <c r="U303" i="3" s="1"/>
  <c r="S302" i="3"/>
  <c r="S301" i="3"/>
  <c r="S300" i="3"/>
  <c r="U299" i="3"/>
  <c r="S299" i="3"/>
  <c r="U298" i="3"/>
  <c r="S298" i="3"/>
  <c r="U297" i="3"/>
  <c r="S297" i="3"/>
  <c r="U296" i="3"/>
  <c r="S296" i="3"/>
  <c r="U295" i="3"/>
  <c r="S295" i="3"/>
  <c r="U294" i="3"/>
  <c r="S294" i="3"/>
  <c r="U293" i="3"/>
  <c r="S293" i="3"/>
  <c r="U292" i="3"/>
  <c r="S292" i="3"/>
  <c r="S291" i="3"/>
  <c r="S290" i="3"/>
  <c r="S289" i="3"/>
  <c r="U288" i="3"/>
  <c r="S288" i="3"/>
  <c r="S287" i="3"/>
  <c r="S286" i="3"/>
  <c r="S285" i="3"/>
  <c r="S284" i="3"/>
  <c r="S283" i="3"/>
  <c r="U282" i="3"/>
  <c r="S282" i="3"/>
  <c r="S281" i="3"/>
  <c r="S280" i="3"/>
  <c r="S279" i="3"/>
  <c r="S278" i="3"/>
  <c r="S277" i="3"/>
  <c r="S276" i="3"/>
  <c r="S275" i="3"/>
  <c r="S274" i="3"/>
  <c r="S273" i="3"/>
  <c r="S272" i="3"/>
  <c r="U271" i="3"/>
  <c r="S271" i="3"/>
  <c r="S270" i="3"/>
  <c r="S269" i="3"/>
  <c r="S268" i="3"/>
  <c r="S267" i="3"/>
  <c r="S266" i="3"/>
  <c r="U266" i="3" s="1"/>
  <c r="S265" i="3"/>
  <c r="S264" i="3"/>
  <c r="S263" i="3"/>
  <c r="S262" i="3"/>
  <c r="S261" i="3"/>
  <c r="S260" i="3"/>
  <c r="S259" i="3"/>
  <c r="U258" i="3"/>
  <c r="S258" i="3"/>
  <c r="S257" i="3"/>
  <c r="S256" i="3"/>
  <c r="U256" i="3" s="1"/>
  <c r="S255" i="3"/>
  <c r="U255" i="3" s="1"/>
  <c r="S254" i="3"/>
  <c r="U253" i="3"/>
  <c r="S253" i="3"/>
  <c r="S252" i="3"/>
  <c r="S251" i="3"/>
  <c r="U250" i="3"/>
  <c r="S250" i="3"/>
  <c r="U249" i="3"/>
  <c r="S249" i="3"/>
  <c r="S248" i="3"/>
  <c r="U248" i="3" s="1"/>
  <c r="U247" i="3"/>
  <c r="S247" i="3"/>
  <c r="U246" i="3"/>
  <c r="S246" i="3"/>
  <c r="U245" i="3"/>
  <c r="S245" i="3"/>
  <c r="U244" i="3"/>
  <c r="S244" i="3"/>
  <c r="U243" i="3"/>
  <c r="S243" i="3"/>
  <c r="U242" i="3"/>
  <c r="S242" i="3"/>
  <c r="S241" i="3"/>
  <c r="S240" i="3"/>
  <c r="U240" i="3" s="1"/>
  <c r="S239" i="3"/>
  <c r="U239" i="3" s="1"/>
  <c r="U238" i="3"/>
  <c r="S238" i="3"/>
  <c r="U237" i="3"/>
  <c r="S237" i="3"/>
  <c r="S236" i="3"/>
  <c r="S235" i="3"/>
  <c r="S234" i="3"/>
  <c r="S233" i="3"/>
  <c r="S232" i="3"/>
  <c r="S231" i="3"/>
  <c r="S230" i="3"/>
  <c r="U229" i="3"/>
  <c r="S229" i="3"/>
  <c r="S228" i="3"/>
  <c r="S227" i="3"/>
  <c r="S226" i="3"/>
  <c r="S225" i="3"/>
  <c r="S224" i="3"/>
  <c r="S223" i="3"/>
  <c r="U222" i="3"/>
  <c r="S222" i="3"/>
  <c r="U221" i="3"/>
  <c r="S221" i="3"/>
  <c r="U220" i="3"/>
  <c r="S220" i="3"/>
  <c r="U219" i="3"/>
  <c r="S219" i="3"/>
  <c r="U218" i="3"/>
  <c r="S218" i="3"/>
  <c r="U217" i="3"/>
  <c r="S217" i="3"/>
  <c r="S216" i="3"/>
  <c r="U215" i="3"/>
  <c r="S215" i="3"/>
  <c r="U214" i="3"/>
  <c r="S214" i="3"/>
  <c r="U213" i="3"/>
  <c r="S213" i="3"/>
  <c r="U212" i="3"/>
  <c r="S212" i="3"/>
  <c r="U211" i="3"/>
  <c r="S211" i="3"/>
  <c r="U210" i="3"/>
  <c r="S210" i="3"/>
  <c r="S209" i="3"/>
  <c r="U208" i="3"/>
  <c r="S208" i="3"/>
  <c r="U207" i="3"/>
  <c r="S207" i="3"/>
  <c r="U206" i="3"/>
  <c r="S206" i="3"/>
  <c r="U205" i="3"/>
  <c r="S205" i="3"/>
  <c r="U204" i="3"/>
  <c r="S204" i="3"/>
  <c r="U203" i="3"/>
  <c r="S203" i="3"/>
  <c r="S202" i="3"/>
  <c r="U201" i="3"/>
  <c r="S201" i="3"/>
  <c r="S200" i="3"/>
  <c r="S199" i="3"/>
  <c r="U198" i="3"/>
  <c r="S198" i="3"/>
  <c r="U197" i="3"/>
  <c r="S197" i="3"/>
  <c r="U196" i="3"/>
  <c r="S196" i="3"/>
  <c r="S195" i="3"/>
  <c r="S194" i="3"/>
  <c r="S193" i="3"/>
  <c r="S192" i="3"/>
  <c r="S191" i="3"/>
  <c r="S190" i="3"/>
  <c r="U189" i="3"/>
  <c r="S189" i="3"/>
  <c r="U188" i="3"/>
  <c r="S188" i="3"/>
  <c r="U187" i="3"/>
  <c r="S187" i="3"/>
  <c r="S186" i="3"/>
  <c r="U186" i="3" s="1"/>
  <c r="S185" i="3"/>
  <c r="U184" i="3"/>
  <c r="S184" i="3"/>
  <c r="U183" i="3"/>
  <c r="S183" i="3"/>
  <c r="S182" i="3"/>
  <c r="S181" i="3"/>
  <c r="S180" i="3"/>
  <c r="S179" i="3"/>
  <c r="S178" i="3"/>
  <c r="S177" i="3"/>
  <c r="S176" i="3"/>
  <c r="U175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U154" i="3" s="1"/>
  <c r="S153" i="3"/>
  <c r="U153" i="3" s="1"/>
  <c r="S152" i="3"/>
  <c r="S151" i="3"/>
  <c r="S150" i="3"/>
  <c r="S149" i="3"/>
  <c r="U149" i="3" s="1"/>
  <c r="S148" i="3"/>
  <c r="S147" i="3"/>
  <c r="S146" i="3"/>
  <c r="S145" i="3"/>
  <c r="U145" i="3" s="1"/>
  <c r="S144" i="3"/>
  <c r="U144" i="3" s="1"/>
  <c r="S143" i="3"/>
  <c r="S142" i="3"/>
  <c r="S141" i="3"/>
  <c r="U141" i="3" s="1"/>
  <c r="S140" i="3"/>
  <c r="U140" i="3" s="1"/>
  <c r="S139" i="3"/>
  <c r="S138" i="3"/>
  <c r="U138" i="3" s="1"/>
  <c r="S137" i="3"/>
  <c r="U136" i="3"/>
  <c r="S136" i="3"/>
  <c r="U135" i="3"/>
  <c r="S135" i="3"/>
  <c r="S134" i="3"/>
  <c r="S133" i="3"/>
  <c r="S132" i="3"/>
  <c r="S131" i="3"/>
  <c r="S130" i="3"/>
  <c r="S129" i="3"/>
  <c r="S128" i="3"/>
  <c r="S127" i="3"/>
  <c r="S126" i="3"/>
  <c r="U126" i="3" s="1"/>
  <c r="S125" i="3"/>
  <c r="S124" i="3"/>
  <c r="S123" i="3"/>
  <c r="U122" i="3"/>
  <c r="S122" i="3"/>
  <c r="U121" i="3"/>
  <c r="S121" i="3"/>
  <c r="U120" i="3"/>
  <c r="S120" i="3"/>
  <c r="U119" i="3"/>
  <c r="S119" i="3"/>
  <c r="U118" i="3"/>
  <c r="S118" i="3"/>
  <c r="U117" i="3"/>
  <c r="S117" i="3"/>
  <c r="U116" i="3"/>
  <c r="S116" i="3"/>
  <c r="S115" i="3"/>
  <c r="S114" i="3"/>
  <c r="U113" i="3"/>
  <c r="S113" i="3"/>
  <c r="S112" i="3"/>
  <c r="S111" i="3"/>
  <c r="U110" i="3"/>
  <c r="S110" i="3"/>
  <c r="U109" i="3"/>
  <c r="S109" i="3"/>
  <c r="U108" i="3"/>
  <c r="S108" i="3"/>
  <c r="U107" i="3"/>
  <c r="S107" i="3"/>
  <c r="U106" i="3"/>
  <c r="S106" i="3"/>
  <c r="U105" i="3"/>
  <c r="S105" i="3"/>
  <c r="U104" i="3"/>
  <c r="S104" i="3"/>
  <c r="U103" i="3"/>
  <c r="S103" i="3"/>
  <c r="S102" i="3"/>
  <c r="S101" i="3"/>
  <c r="U101" i="3" s="1"/>
  <c r="S100" i="3"/>
  <c r="S99" i="3"/>
  <c r="S98" i="3"/>
  <c r="S97" i="3"/>
  <c r="U97" i="3" s="1"/>
  <c r="U96" i="3"/>
  <c r="S96" i="3"/>
  <c r="U95" i="3"/>
  <c r="S95" i="3"/>
  <c r="U94" i="3"/>
  <c r="S94" i="3"/>
  <c r="U93" i="3"/>
  <c r="S93" i="3"/>
  <c r="S92" i="3"/>
  <c r="U92" i="3" s="1"/>
  <c r="U91" i="3"/>
  <c r="S91" i="3"/>
  <c r="S90" i="3"/>
  <c r="S89" i="3"/>
  <c r="S88" i="3"/>
  <c r="U88" i="3" s="1"/>
  <c r="S87" i="3"/>
  <c r="S86" i="3"/>
  <c r="S85" i="3"/>
  <c r="U84" i="3"/>
  <c r="S84" i="3"/>
  <c r="U83" i="3"/>
  <c r="S83" i="3"/>
  <c r="U82" i="3"/>
  <c r="S82" i="3"/>
  <c r="U81" i="3"/>
  <c r="S81" i="3"/>
  <c r="U80" i="3"/>
  <c r="S80" i="3"/>
  <c r="U79" i="3"/>
  <c r="S79" i="3"/>
  <c r="U78" i="3"/>
  <c r="S78" i="3"/>
  <c r="U77" i="3"/>
  <c r="S77" i="3"/>
  <c r="S76" i="3"/>
  <c r="U76" i="3" s="1"/>
  <c r="U75" i="3"/>
  <c r="S75" i="3"/>
  <c r="S74" i="3"/>
  <c r="S73" i="3"/>
  <c r="U73" i="3" s="1"/>
  <c r="S72" i="3"/>
  <c r="S71" i="3"/>
  <c r="U70" i="3"/>
  <c r="S70" i="3"/>
  <c r="U69" i="3"/>
  <c r="S69" i="3"/>
  <c r="U68" i="3"/>
  <c r="S68" i="3"/>
  <c r="U67" i="3"/>
  <c r="S67" i="3"/>
  <c r="U66" i="3"/>
  <c r="S66" i="3"/>
  <c r="U65" i="3"/>
  <c r="S65" i="3"/>
  <c r="S64" i="3"/>
  <c r="S63" i="3"/>
  <c r="S62" i="3"/>
  <c r="U61" i="3"/>
  <c r="S61" i="3"/>
  <c r="S60" i="3"/>
  <c r="S59" i="3"/>
  <c r="S58" i="3"/>
  <c r="S57" i="3"/>
  <c r="U57" i="3" s="1"/>
  <c r="S56" i="3"/>
  <c r="S55" i="3"/>
  <c r="S54" i="3"/>
  <c r="S53" i="3"/>
  <c r="U53" i="3" s="1"/>
  <c r="U52" i="3"/>
  <c r="S52" i="3"/>
  <c r="U51" i="3"/>
  <c r="S51" i="3"/>
  <c r="U50" i="3"/>
  <c r="S50" i="3"/>
  <c r="S49" i="3"/>
  <c r="U49" i="3" s="1"/>
  <c r="S48" i="3"/>
  <c r="U48" i="3" s="1"/>
  <c r="S47" i="3"/>
  <c r="U46" i="3"/>
  <c r="S46" i="3"/>
  <c r="U45" i="3"/>
  <c r="S45" i="3"/>
  <c r="U44" i="3"/>
  <c r="S44" i="3"/>
  <c r="S43" i="3"/>
  <c r="S42" i="3"/>
  <c r="S41" i="3"/>
  <c r="S40" i="3"/>
  <c r="U39" i="3"/>
  <c r="S39" i="3"/>
  <c r="U38" i="3"/>
  <c r="S38" i="3"/>
  <c r="U37" i="3"/>
  <c r="S37" i="3"/>
  <c r="U36" i="3"/>
  <c r="S36" i="3"/>
  <c r="U35" i="3"/>
  <c r="S35" i="3"/>
  <c r="U34" i="3"/>
  <c r="S34" i="3"/>
  <c r="U33" i="3"/>
  <c r="S33" i="3"/>
  <c r="U32" i="3"/>
  <c r="S32" i="3"/>
  <c r="S31" i="3"/>
  <c r="S30" i="3"/>
  <c r="S29" i="3"/>
  <c r="U29" i="3" s="1"/>
  <c r="U28" i="3"/>
  <c r="S28" i="3"/>
  <c r="U27" i="3"/>
  <c r="S27" i="3"/>
  <c r="U26" i="3"/>
  <c r="S26" i="3"/>
  <c r="S25" i="3"/>
  <c r="U25" i="3" s="1"/>
  <c r="S24" i="3"/>
  <c r="S23" i="3"/>
  <c r="S22" i="3"/>
  <c r="U21" i="3"/>
  <c r="S21" i="3"/>
  <c r="U20" i="3"/>
  <c r="S20" i="3"/>
  <c r="U19" i="3"/>
  <c r="S19" i="3"/>
  <c r="S18" i="3"/>
  <c r="U17" i="3"/>
  <c r="S17" i="3"/>
  <c r="U16" i="3"/>
  <c r="S16" i="3"/>
  <c r="S15" i="3"/>
  <c r="S14" i="3"/>
  <c r="U14" i="3" s="1"/>
  <c r="S13" i="3"/>
  <c r="U13" i="3" s="1"/>
  <c r="S12" i="3"/>
  <c r="S11" i="3"/>
  <c r="S10" i="3"/>
  <c r="U10" i="3" s="1"/>
  <c r="S9" i="3"/>
  <c r="U9" i="3" s="1"/>
  <c r="S8" i="3"/>
  <c r="S7" i="3"/>
  <c r="S6" i="3"/>
  <c r="U6" i="3" s="1"/>
  <c r="S5" i="3"/>
  <c r="S4" i="3"/>
  <c r="S3" i="3"/>
  <c r="S2" i="3"/>
  <c r="U2" i="3" s="1"/>
  <c r="AG1" i="3"/>
  <c r="N304" i="2" s="1"/>
  <c r="AE1" i="3"/>
  <c r="Q560" i="2"/>
  <c r="M12" i="2"/>
  <c r="Q12" i="2"/>
  <c r="M56" i="2"/>
  <c r="P56" i="2"/>
  <c r="M73" i="2"/>
  <c r="P73" i="2"/>
  <c r="M556" i="2"/>
  <c r="M555" i="2"/>
  <c r="Q555" i="2"/>
  <c r="M554" i="2"/>
  <c r="Q554" i="2"/>
  <c r="M553" i="2"/>
  <c r="Q553" i="2"/>
  <c r="Q552" i="2"/>
  <c r="Q268" i="2"/>
  <c r="M293" i="2"/>
  <c r="P293" i="2"/>
  <c r="M305" i="2"/>
  <c r="P305" i="2"/>
  <c r="M548" i="2"/>
  <c r="M31" i="2"/>
  <c r="Q31" i="2"/>
  <c r="M546" i="2"/>
  <c r="Q546" i="2"/>
  <c r="M545" i="2"/>
  <c r="Q545" i="2"/>
  <c r="Q544" i="2"/>
  <c r="M543" i="2"/>
  <c r="Q543" i="2"/>
  <c r="Q542" i="2"/>
  <c r="M542" i="2"/>
  <c r="P542" i="2"/>
  <c r="M347" i="2"/>
  <c r="P347" i="2"/>
  <c r="M539" i="2"/>
  <c r="Q539" i="2"/>
  <c r="M538" i="2"/>
  <c r="P538" i="2"/>
  <c r="M481" i="2"/>
  <c r="Q481" i="2"/>
  <c r="Q514" i="2"/>
  <c r="M535" i="2"/>
  <c r="Q535" i="2"/>
  <c r="P536" i="2"/>
  <c r="M541" i="2"/>
  <c r="P532" i="2"/>
  <c r="M88" i="2"/>
  <c r="Q88" i="2"/>
  <c r="M530" i="2"/>
  <c r="Q530" i="2"/>
  <c r="Q529" i="2"/>
  <c r="M528" i="2"/>
  <c r="Q526" i="2"/>
  <c r="M525" i="2"/>
  <c r="P525" i="2"/>
  <c r="M524" i="2"/>
  <c r="P524" i="2"/>
  <c r="M523" i="2"/>
  <c r="P523" i="2"/>
  <c r="M522" i="2"/>
  <c r="Q522" i="2"/>
  <c r="M521" i="2"/>
  <c r="Q521" i="2"/>
  <c r="Q520" i="2"/>
  <c r="M512" i="2"/>
  <c r="Q512" i="2"/>
  <c r="M517" i="2"/>
  <c r="P517" i="2"/>
  <c r="Q2" i="2"/>
  <c r="Q515" i="2"/>
  <c r="M515" i="2"/>
  <c r="P515" i="2"/>
  <c r="M6" i="2"/>
  <c r="Q6" i="2"/>
  <c r="M8" i="2"/>
  <c r="Q8" i="2"/>
  <c r="M10" i="2"/>
  <c r="P20" i="2"/>
  <c r="P510" i="2"/>
  <c r="M509" i="2"/>
  <c r="P509" i="2"/>
  <c r="P508" i="2"/>
  <c r="M507" i="2"/>
  <c r="P507" i="2"/>
  <c r="M506" i="2"/>
  <c r="Q506" i="2"/>
  <c r="Q505" i="2"/>
  <c r="M504" i="2"/>
  <c r="Q504" i="2"/>
  <c r="P503" i="2"/>
  <c r="M502" i="2"/>
  <c r="P501" i="2"/>
  <c r="M500" i="2"/>
  <c r="P500" i="2"/>
  <c r="M498" i="2"/>
  <c r="P498" i="2"/>
  <c r="Q497" i="2"/>
  <c r="M496" i="2"/>
  <c r="P495" i="2"/>
  <c r="M494" i="2"/>
  <c r="P494" i="2"/>
  <c r="M493" i="2"/>
  <c r="P493" i="2"/>
  <c r="M492" i="2"/>
  <c r="P492" i="2"/>
  <c r="M491" i="2"/>
  <c r="P491" i="2"/>
  <c r="M490" i="2"/>
  <c r="P490" i="2"/>
  <c r="M489" i="2"/>
  <c r="Q489" i="2"/>
  <c r="Q488" i="2"/>
  <c r="M487" i="2"/>
  <c r="P487" i="2"/>
  <c r="P486" i="2"/>
  <c r="M485" i="2"/>
  <c r="P485" i="2"/>
  <c r="Q46" i="2"/>
  <c r="M483" i="2"/>
  <c r="P483" i="2"/>
  <c r="M482" i="2"/>
  <c r="Q482" i="2"/>
  <c r="M54" i="2"/>
  <c r="Q54" i="2"/>
  <c r="M480" i="2"/>
  <c r="Q480" i="2"/>
  <c r="Q479" i="2"/>
  <c r="M58" i="2"/>
  <c r="P58" i="2"/>
  <c r="M477" i="2"/>
  <c r="M475" i="2"/>
  <c r="P475" i="2"/>
  <c r="M474" i="2"/>
  <c r="Q474" i="2"/>
  <c r="M473" i="2"/>
  <c r="Q473" i="2"/>
  <c r="M472" i="2"/>
  <c r="Q472" i="2"/>
  <c r="Q471" i="2"/>
  <c r="M468" i="2"/>
  <c r="P468" i="2"/>
  <c r="M467" i="2"/>
  <c r="M59" i="2"/>
  <c r="P59" i="2"/>
  <c r="Q465" i="2"/>
  <c r="M464" i="2"/>
  <c r="M463" i="2"/>
  <c r="Q463" i="2"/>
  <c r="P462" i="2"/>
  <c r="P461" i="2"/>
  <c r="M460" i="2"/>
  <c r="P460" i="2"/>
  <c r="M60" i="2"/>
  <c r="Q60" i="2"/>
  <c r="M458" i="2"/>
  <c r="P458" i="2"/>
  <c r="M456" i="2"/>
  <c r="Q456" i="2"/>
  <c r="Q455" i="2"/>
  <c r="M64" i="2"/>
  <c r="Q71" i="2"/>
  <c r="M451" i="2"/>
  <c r="P451" i="2"/>
  <c r="M450" i="2"/>
  <c r="Q450" i="2"/>
  <c r="M449" i="2"/>
  <c r="M447" i="2"/>
  <c r="Q447" i="2"/>
  <c r="M446" i="2"/>
  <c r="P446" i="2"/>
  <c r="M445" i="2"/>
  <c r="M444" i="2"/>
  <c r="Q444" i="2"/>
  <c r="M442" i="2"/>
  <c r="P442" i="2"/>
  <c r="Q441" i="2"/>
  <c r="Q440" i="2"/>
  <c r="M439" i="2"/>
  <c r="P439" i="2"/>
  <c r="P438" i="2"/>
  <c r="M83" i="2"/>
  <c r="P83" i="2"/>
  <c r="Q86" i="2"/>
  <c r="M435" i="2"/>
  <c r="M434" i="2"/>
  <c r="Q434" i="2"/>
  <c r="M87" i="2"/>
  <c r="Q87" i="2"/>
  <c r="M432" i="2"/>
  <c r="M431" i="2"/>
  <c r="Q431" i="2"/>
  <c r="M430" i="2"/>
  <c r="M429" i="2"/>
  <c r="P429" i="2"/>
  <c r="M428" i="2"/>
  <c r="M426" i="2"/>
  <c r="P426" i="2"/>
  <c r="Q425" i="2"/>
  <c r="M91" i="2"/>
  <c r="P91" i="2"/>
  <c r="M423" i="2"/>
  <c r="M422" i="2"/>
  <c r="P422" i="2"/>
  <c r="M421" i="2"/>
  <c r="Q421" i="2"/>
  <c r="M420" i="2"/>
  <c r="Q420" i="2"/>
  <c r="M419" i="2"/>
  <c r="Q419" i="2"/>
  <c r="M418" i="2"/>
  <c r="P418" i="2"/>
  <c r="P417" i="2"/>
  <c r="M415" i="2"/>
  <c r="P415" i="2"/>
  <c r="M100" i="2"/>
  <c r="P100" i="2"/>
  <c r="M413" i="2"/>
  <c r="M412" i="2"/>
  <c r="Q412" i="2"/>
  <c r="M411" i="2"/>
  <c r="Q411" i="2"/>
  <c r="M410" i="2"/>
  <c r="M409" i="2"/>
  <c r="M101" i="2"/>
  <c r="Q101" i="2"/>
  <c r="M407" i="2"/>
  <c r="P407" i="2"/>
  <c r="M406" i="2"/>
  <c r="Q406" i="2"/>
  <c r="M113" i="2"/>
  <c r="M404" i="2"/>
  <c r="Q404" i="2"/>
  <c r="M116" i="2"/>
  <c r="P116" i="2"/>
  <c r="M119" i="2"/>
  <c r="P400" i="2"/>
  <c r="M399" i="2"/>
  <c r="M398" i="2"/>
  <c r="P398" i="2"/>
  <c r="Q397" i="2"/>
  <c r="M396" i="2"/>
  <c r="M395" i="2"/>
  <c r="Q395" i="2"/>
  <c r="M394" i="2"/>
  <c r="P394" i="2"/>
  <c r="M393" i="2"/>
  <c r="P393" i="2"/>
  <c r="M392" i="2"/>
  <c r="P392" i="2"/>
  <c r="Q391" i="2"/>
  <c r="P390" i="2"/>
  <c r="M389" i="2"/>
  <c r="Q389" i="2"/>
  <c r="M388" i="2"/>
  <c r="Q388" i="2"/>
  <c r="M387" i="2"/>
  <c r="P387" i="2"/>
  <c r="P386" i="2"/>
  <c r="P385" i="2"/>
  <c r="M384" i="2"/>
  <c r="M383" i="2"/>
  <c r="P383" i="2"/>
  <c r="M122" i="2"/>
  <c r="P122" i="2"/>
  <c r="M381" i="2"/>
  <c r="M380" i="2"/>
  <c r="Q380" i="2"/>
  <c r="Q379" i="2"/>
  <c r="M378" i="2"/>
  <c r="P378" i="2"/>
  <c r="M128" i="2"/>
  <c r="Q128" i="2"/>
  <c r="M131" i="2"/>
  <c r="P131" i="2"/>
  <c r="M374" i="2"/>
  <c r="Q374" i="2"/>
  <c r="M373" i="2"/>
  <c r="M372" i="2"/>
  <c r="Q371" i="2"/>
  <c r="M134" i="2"/>
  <c r="Q134" i="2"/>
  <c r="M368" i="2"/>
  <c r="Q368" i="2"/>
  <c r="M367" i="2"/>
  <c r="Q367" i="2"/>
  <c r="M366" i="2"/>
  <c r="Q366" i="2"/>
  <c r="M365" i="2"/>
  <c r="Q365" i="2"/>
  <c r="Q364" i="2"/>
  <c r="M363" i="2"/>
  <c r="P363" i="2"/>
  <c r="P362" i="2"/>
  <c r="M361" i="2"/>
  <c r="Q361" i="2"/>
  <c r="M360" i="2"/>
  <c r="P360" i="2"/>
  <c r="M359" i="2"/>
  <c r="Q359" i="2"/>
  <c r="Q137" i="2"/>
  <c r="Q357" i="2"/>
  <c r="Q356" i="2"/>
  <c r="M355" i="2"/>
  <c r="P355" i="2"/>
  <c r="P354" i="2"/>
  <c r="M353" i="2"/>
  <c r="Q353" i="2"/>
  <c r="M352" i="2"/>
  <c r="P352" i="2"/>
  <c r="M351" i="2"/>
  <c r="Q351" i="2"/>
  <c r="M350" i="2"/>
  <c r="Q350" i="2"/>
  <c r="M349" i="2"/>
  <c r="Q349" i="2"/>
  <c r="P348" i="2"/>
  <c r="M151" i="2"/>
  <c r="P151" i="2"/>
  <c r="P152" i="2"/>
  <c r="M153" i="2"/>
  <c r="P153" i="2"/>
  <c r="M154" i="2"/>
  <c r="Q154" i="2"/>
  <c r="M343" i="2"/>
  <c r="Q343" i="2"/>
  <c r="Q342" i="2"/>
  <c r="M341" i="2"/>
  <c r="M340" i="2"/>
  <c r="Q340" i="2"/>
  <c r="M339" i="2"/>
  <c r="P339" i="2"/>
  <c r="P338" i="2"/>
  <c r="M337" i="2"/>
  <c r="M336" i="2"/>
  <c r="Q336" i="2"/>
  <c r="M156" i="2"/>
  <c r="Q156" i="2"/>
  <c r="M334" i="2"/>
  <c r="Q334" i="2"/>
  <c r="M333" i="2"/>
  <c r="Q333" i="2"/>
  <c r="P332" i="2"/>
  <c r="M331" i="2"/>
  <c r="P157" i="2"/>
  <c r="M161" i="2"/>
  <c r="M164" i="2"/>
  <c r="P164" i="2"/>
  <c r="M327" i="2"/>
  <c r="M326" i="2"/>
  <c r="Q326" i="2"/>
  <c r="M325" i="2"/>
  <c r="Q325" i="2"/>
  <c r="M178" i="2"/>
  <c r="P178" i="2"/>
  <c r="M180" i="2"/>
  <c r="P180" i="2"/>
  <c r="M322" i="2"/>
  <c r="P322" i="2"/>
  <c r="M321" i="2"/>
  <c r="M320" i="2"/>
  <c r="M319" i="2"/>
  <c r="Q319" i="2"/>
  <c r="M318" i="2"/>
  <c r="Q192" i="2"/>
  <c r="M206" i="2"/>
  <c r="P206" i="2"/>
  <c r="M209" i="2"/>
  <c r="Q209" i="2"/>
  <c r="M210" i="2"/>
  <c r="P210" i="2"/>
  <c r="P216" i="2"/>
  <c r="M312" i="2"/>
  <c r="P312" i="2"/>
  <c r="M218" i="2"/>
  <c r="Q218" i="2"/>
  <c r="M309" i="2"/>
  <c r="Q309" i="2"/>
  <c r="P226" i="2"/>
  <c r="M227" i="2"/>
  <c r="P227" i="2"/>
  <c r="M306" i="2"/>
  <c r="M229" i="2"/>
  <c r="Q229" i="2"/>
  <c r="M230" i="2"/>
  <c r="Q230" i="2"/>
  <c r="M303" i="2"/>
  <c r="M231" i="2"/>
  <c r="P231" i="2"/>
  <c r="M232" i="2"/>
  <c r="Q232" i="2"/>
  <c r="M233" i="2"/>
  <c r="Q233" i="2"/>
  <c r="Q299" i="2"/>
  <c r="M298" i="2"/>
  <c r="M297" i="2"/>
  <c r="Q297" i="2"/>
  <c r="M234" i="2"/>
  <c r="P234" i="2"/>
  <c r="M295" i="2"/>
  <c r="P295" i="2"/>
  <c r="M235" i="2"/>
  <c r="P235" i="2"/>
  <c r="M236" i="2"/>
  <c r="Q236" i="2"/>
  <c r="M291" i="2"/>
  <c r="P291" i="2"/>
  <c r="M288" i="2"/>
  <c r="Q288" i="2"/>
  <c r="M287" i="2"/>
  <c r="P287" i="2"/>
  <c r="Q285" i="2"/>
  <c r="M284" i="2"/>
  <c r="M283" i="2"/>
  <c r="P283" i="2"/>
  <c r="M281" i="2"/>
  <c r="Q281" i="2"/>
  <c r="M280" i="2"/>
  <c r="P280" i="2"/>
  <c r="M279" i="2"/>
  <c r="P279" i="2"/>
  <c r="M277" i="2"/>
  <c r="P277" i="2"/>
  <c r="M276" i="2"/>
  <c r="P276" i="2"/>
  <c r="M238" i="2"/>
  <c r="P238" i="2"/>
  <c r="M273" i="2"/>
  <c r="P273" i="2"/>
  <c r="M241" i="2"/>
  <c r="P241" i="2"/>
  <c r="P242" i="2"/>
  <c r="M269" i="2"/>
  <c r="M243" i="2"/>
  <c r="Q243" i="2"/>
  <c r="P267" i="2"/>
  <c r="Q266" i="2"/>
  <c r="M245" i="2"/>
  <c r="Q245" i="2"/>
  <c r="M264" i="2"/>
  <c r="Q264" i="2"/>
  <c r="M263" i="2"/>
  <c r="P263" i="2"/>
  <c r="M262" i="2"/>
  <c r="M261" i="2"/>
  <c r="Q261" i="2"/>
  <c r="M260" i="2"/>
  <c r="Q260" i="2"/>
  <c r="M259" i="2"/>
  <c r="P259" i="2"/>
  <c r="Q258" i="2"/>
  <c r="M257" i="2"/>
  <c r="P257" i="2"/>
  <c r="M248" i="2"/>
  <c r="P248" i="2"/>
  <c r="P250" i="2"/>
  <c r="M251" i="2"/>
  <c r="Q251" i="2"/>
  <c r="M252" i="2"/>
  <c r="P252" i="2"/>
  <c r="M253" i="2"/>
  <c r="M249" i="2"/>
  <c r="P249" i="2"/>
  <c r="M256" i="2"/>
  <c r="Q256" i="2"/>
  <c r="M247" i="2"/>
  <c r="P247" i="2"/>
  <c r="M246" i="2"/>
  <c r="Q246" i="2"/>
  <c r="M265" i="2"/>
  <c r="P265" i="2"/>
  <c r="M244" i="2"/>
  <c r="M275" i="2"/>
  <c r="P275" i="2"/>
  <c r="Q290" i="2"/>
  <c r="M292" i="2"/>
  <c r="Q292" i="2"/>
  <c r="P240" i="2"/>
  <c r="Q296" i="2"/>
  <c r="P300" i="2"/>
  <c r="P301" i="2"/>
  <c r="M304" i="2"/>
  <c r="Q304" i="2"/>
  <c r="M307" i="2"/>
  <c r="Q307" i="2"/>
  <c r="M308" i="2"/>
  <c r="P308" i="2"/>
  <c r="M311" i="2"/>
  <c r="Q311" i="2"/>
  <c r="M313" i="2"/>
  <c r="P313" i="2"/>
  <c r="M314" i="2"/>
  <c r="P314" i="2"/>
  <c r="M228" i="2"/>
  <c r="Q315" i="2"/>
  <c r="M316" i="2"/>
  <c r="Q316" i="2"/>
  <c r="M225" i="2"/>
  <c r="P225" i="2"/>
  <c r="Q323" i="2"/>
  <c r="M222" i="2"/>
  <c r="P222" i="2"/>
  <c r="M221" i="2"/>
  <c r="M220" i="2"/>
  <c r="M219" i="2"/>
  <c r="Q219" i="2"/>
  <c r="M324" i="2"/>
  <c r="Q324" i="2"/>
  <c r="M217" i="2"/>
  <c r="Q217" i="2"/>
  <c r="P328" i="2"/>
  <c r="M215" i="2"/>
  <c r="Q215" i="2"/>
  <c r="P214" i="2"/>
  <c r="M213" i="2"/>
  <c r="P213" i="2"/>
  <c r="M212" i="2"/>
  <c r="M211" i="2"/>
  <c r="Q211" i="2"/>
  <c r="M330" i="2"/>
  <c r="Q330" i="2"/>
  <c r="M335" i="2"/>
  <c r="P335" i="2"/>
  <c r="P208" i="2"/>
  <c r="M207" i="2"/>
  <c r="M345" i="2"/>
  <c r="M205" i="2"/>
  <c r="Q205" i="2"/>
  <c r="M204" i="2"/>
  <c r="P204" i="2"/>
  <c r="M203" i="2"/>
  <c r="Q203" i="2"/>
  <c r="M202" i="2"/>
  <c r="Q202" i="2"/>
  <c r="M201" i="2"/>
  <c r="P201" i="2"/>
  <c r="M200" i="2"/>
  <c r="P200" i="2"/>
  <c r="M199" i="2"/>
  <c r="M198" i="2"/>
  <c r="P198" i="2"/>
  <c r="M197" i="2"/>
  <c r="Q197" i="2"/>
  <c r="M195" i="2"/>
  <c r="Q195" i="2"/>
  <c r="M194" i="2"/>
  <c r="Q194" i="2"/>
  <c r="M193" i="2"/>
  <c r="Q193" i="2"/>
  <c r="M346" i="2"/>
  <c r="P346" i="2"/>
  <c r="M191" i="2"/>
  <c r="P191" i="2"/>
  <c r="M190" i="2"/>
  <c r="P190" i="2"/>
  <c r="M369" i="2"/>
  <c r="Q369" i="2"/>
  <c r="M188" i="2"/>
  <c r="Q188" i="2"/>
  <c r="M187" i="2"/>
  <c r="Q187" i="2"/>
  <c r="M185" i="2"/>
  <c r="Q185" i="2"/>
  <c r="M184" i="2"/>
  <c r="M183" i="2"/>
  <c r="P183" i="2"/>
  <c r="M182" i="2"/>
  <c r="M181" i="2"/>
  <c r="Q181" i="2"/>
  <c r="M375" i="2"/>
  <c r="P375" i="2"/>
  <c r="Q179" i="2"/>
  <c r="M376" i="2"/>
  <c r="Q376" i="2"/>
  <c r="Q177" i="2"/>
  <c r="M176" i="2"/>
  <c r="P176" i="2"/>
  <c r="M175" i="2"/>
  <c r="M174" i="2"/>
  <c r="P174" i="2"/>
  <c r="M173" i="2"/>
  <c r="P172" i="2"/>
  <c r="M171" i="2"/>
  <c r="Q171" i="2"/>
  <c r="M170" i="2"/>
  <c r="Q170" i="2"/>
  <c r="M169" i="2"/>
  <c r="Q169" i="2"/>
  <c r="P382" i="2"/>
  <c r="M167" i="2"/>
  <c r="P167" i="2"/>
  <c r="M166" i="2"/>
  <c r="Q166" i="2"/>
  <c r="M402" i="2"/>
  <c r="Q402" i="2"/>
  <c r="M403" i="2"/>
  <c r="Q403" i="2"/>
  <c r="Q163" i="2"/>
  <c r="M162" i="2"/>
  <c r="M405" i="2"/>
  <c r="Q405" i="2"/>
  <c r="M160" i="2"/>
  <c r="P160" i="2"/>
  <c r="P408" i="2"/>
  <c r="M414" i="2"/>
  <c r="M424" i="2"/>
  <c r="Q424" i="2"/>
  <c r="M436" i="2"/>
  <c r="Q436" i="2"/>
  <c r="Q437" i="2"/>
  <c r="M452" i="2"/>
  <c r="Q452" i="2"/>
  <c r="M453" i="2"/>
  <c r="P453" i="2"/>
  <c r="M459" i="2"/>
  <c r="Q459" i="2"/>
  <c r="M466" i="2"/>
  <c r="Q466" i="2"/>
  <c r="M149" i="2"/>
  <c r="P149" i="2"/>
  <c r="M148" i="2"/>
  <c r="P148" i="2"/>
  <c r="M478" i="2"/>
  <c r="Q478" i="2"/>
  <c r="M145" i="2"/>
  <c r="Q145" i="2"/>
  <c r="M144" i="2"/>
  <c r="M513" i="2"/>
  <c r="Q513" i="2"/>
  <c r="Q142" i="2"/>
  <c r="M141" i="2"/>
  <c r="M140" i="2"/>
  <c r="P140" i="2"/>
  <c r="M138" i="2"/>
  <c r="Q138" i="2"/>
  <c r="M516" i="2"/>
  <c r="P516" i="2"/>
  <c r="M136" i="2"/>
  <c r="M135" i="2"/>
  <c r="Q135" i="2"/>
  <c r="P519" i="2"/>
  <c r="M531" i="2"/>
  <c r="P531" i="2"/>
  <c r="M132" i="2"/>
  <c r="P132" i="2"/>
  <c r="M130" i="2"/>
  <c r="M129" i="2"/>
  <c r="Q129" i="2"/>
  <c r="M547" i="2"/>
  <c r="Q127" i="2"/>
  <c r="M126" i="2"/>
  <c r="P126" i="2"/>
  <c r="M125" i="2"/>
  <c r="P125" i="2"/>
  <c r="M124" i="2"/>
  <c r="P124" i="2"/>
  <c r="M551" i="2"/>
  <c r="Q551" i="2"/>
  <c r="M557" i="2"/>
  <c r="P557" i="2"/>
  <c r="M558" i="2"/>
  <c r="Q559" i="2"/>
  <c r="M118" i="2"/>
  <c r="Q118" i="2"/>
  <c r="M117" i="2"/>
  <c r="P117" i="2"/>
  <c r="M537" i="2"/>
  <c r="P537" i="2"/>
  <c r="M114" i="2"/>
  <c r="Q114" i="2"/>
  <c r="M26" i="2"/>
  <c r="Q26" i="2"/>
  <c r="M112" i="2"/>
  <c r="M29" i="2"/>
  <c r="M109" i="2"/>
  <c r="Q109" i="2"/>
  <c r="M108" i="2"/>
  <c r="P108" i="2"/>
  <c r="M107" i="2"/>
  <c r="Q106" i="2"/>
  <c r="Q32" i="2"/>
  <c r="M104" i="2"/>
  <c r="P104" i="2"/>
  <c r="M103" i="2"/>
  <c r="P103" i="2"/>
  <c r="Q33" i="2"/>
  <c r="P57" i="2"/>
  <c r="M99" i="2"/>
  <c r="Q98" i="2"/>
  <c r="Q97" i="2"/>
  <c r="M96" i="2"/>
  <c r="P96" i="2"/>
  <c r="M95" i="2"/>
  <c r="P95" i="2"/>
  <c r="P94" i="2"/>
  <c r="M93" i="2"/>
  <c r="Q93" i="2"/>
  <c r="M92" i="2"/>
  <c r="P92" i="2"/>
  <c r="Q65" i="2"/>
  <c r="M90" i="2"/>
  <c r="P89" i="2"/>
  <c r="M74" i="2"/>
  <c r="M76" i="2"/>
  <c r="P76" i="2"/>
  <c r="M82" i="2"/>
  <c r="P82" i="2"/>
  <c r="M85" i="2"/>
  <c r="M84" i="2"/>
  <c r="P84" i="2"/>
  <c r="P105" i="2"/>
  <c r="M111" i="2"/>
  <c r="P111" i="2"/>
  <c r="P81" i="2"/>
  <c r="M80" i="2"/>
  <c r="Q80" i="2"/>
  <c r="M79" i="2"/>
  <c r="Q79" i="2"/>
  <c r="Q78" i="2"/>
  <c r="M77" i="2"/>
  <c r="M120" i="2"/>
  <c r="Q120" i="2"/>
  <c r="M75" i="2"/>
  <c r="P121" i="2"/>
  <c r="M123" i="2"/>
  <c r="Q123" i="2"/>
  <c r="M133" i="2"/>
  <c r="P133" i="2"/>
  <c r="Q70" i="2"/>
  <c r="M69" i="2"/>
  <c r="Q69" i="2"/>
  <c r="P68" i="2"/>
  <c r="M67" i="2"/>
  <c r="Q67" i="2"/>
  <c r="M66" i="2"/>
  <c r="P66" i="2"/>
  <c r="M143" i="2"/>
  <c r="Q143" i="2"/>
  <c r="M146" i="2"/>
  <c r="Q146" i="2"/>
  <c r="P63" i="2"/>
  <c r="M150" i="2"/>
  <c r="P150" i="2"/>
  <c r="M61" i="2"/>
  <c r="Q61" i="2"/>
  <c r="M155" i="2"/>
  <c r="P155" i="2"/>
  <c r="M158" i="2"/>
  <c r="P158" i="2"/>
  <c r="M159" i="2"/>
  <c r="Q159" i="2"/>
  <c r="M165" i="2"/>
  <c r="Q165" i="2"/>
  <c r="Q168" i="2"/>
  <c r="M55" i="2"/>
  <c r="Q55" i="2"/>
  <c r="M189" i="2"/>
  <c r="P189" i="2"/>
  <c r="M52" i="2"/>
  <c r="P52" i="2"/>
  <c r="M51" i="2"/>
  <c r="P51" i="2"/>
  <c r="M50" i="2"/>
  <c r="Q50" i="2"/>
  <c r="M49" i="2"/>
  <c r="Q49" i="2"/>
  <c r="M48" i="2"/>
  <c r="P48" i="2"/>
  <c r="M47" i="2"/>
  <c r="Q47" i="2"/>
  <c r="M239" i="2"/>
  <c r="P239" i="2"/>
  <c r="Q45" i="2"/>
  <c r="M44" i="2"/>
  <c r="P44" i="2"/>
  <c r="M43" i="2"/>
  <c r="P43" i="2"/>
  <c r="M42" i="2"/>
  <c r="Q42" i="2"/>
  <c r="M41" i="2"/>
  <c r="Q41" i="2"/>
  <c r="P40" i="2"/>
  <c r="M39" i="2"/>
  <c r="Q39" i="2"/>
  <c r="M38" i="2"/>
  <c r="P38" i="2"/>
  <c r="Q37" i="2"/>
  <c r="M36" i="2"/>
  <c r="P36" i="2"/>
  <c r="M35" i="2"/>
  <c r="P35" i="2"/>
  <c r="M34" i="2"/>
  <c r="Q34" i="2"/>
  <c r="M271" i="2"/>
  <c r="Q271" i="2"/>
  <c r="P272" i="2"/>
  <c r="Q317" i="2"/>
  <c r="M30" i="2"/>
  <c r="P30" i="2"/>
  <c r="Q329" i="2"/>
  <c r="M28" i="2"/>
  <c r="P28" i="2"/>
  <c r="M27" i="2"/>
  <c r="P27" i="2"/>
  <c r="M344" i="2"/>
  <c r="Q344" i="2"/>
  <c r="M25" i="2"/>
  <c r="Q25" i="2"/>
  <c r="M24" i="2"/>
  <c r="Q24" i="2"/>
  <c r="M23" i="2"/>
  <c r="Q23" i="2"/>
  <c r="M22" i="2"/>
  <c r="P22" i="2"/>
  <c r="M21" i="2"/>
  <c r="Q21" i="2"/>
  <c r="M358" i="2"/>
  <c r="P358" i="2"/>
  <c r="M19" i="2"/>
  <c r="P19" i="2"/>
  <c r="M18" i="2"/>
  <c r="Q18" i="2"/>
  <c r="M17" i="2"/>
  <c r="Q17" i="2"/>
  <c r="M16" i="2"/>
  <c r="Q16" i="2"/>
  <c r="M15" i="2"/>
  <c r="Q15" i="2"/>
  <c r="M14" i="2"/>
  <c r="P14" i="2"/>
  <c r="M13" i="2"/>
  <c r="Q13" i="2"/>
  <c r="M433" i="2"/>
  <c r="Q433" i="2"/>
  <c r="M11" i="2"/>
  <c r="Q11" i="2"/>
  <c r="M484" i="2"/>
  <c r="Q484" i="2"/>
  <c r="M9" i="2"/>
  <c r="P9" i="2"/>
  <c r="M511" i="2"/>
  <c r="Q511" i="2"/>
  <c r="M7" i="2"/>
  <c r="P7" i="2"/>
  <c r="M533" i="2"/>
  <c r="P533" i="2"/>
  <c r="M5" i="2"/>
  <c r="Q5" i="2"/>
  <c r="M4" i="2"/>
  <c r="Q4" i="2"/>
  <c r="P3" i="2"/>
  <c r="M549" i="2"/>
  <c r="O549" i="2" s="1"/>
  <c r="Q549" i="2"/>
  <c r="N594" i="2" l="1"/>
  <c r="N302" i="2"/>
  <c r="N618" i="2"/>
  <c r="N610" i="2"/>
  <c r="N602" i="2"/>
  <c r="N586" i="2"/>
  <c r="N578" i="2"/>
  <c r="N570" i="2"/>
  <c r="N562" i="2"/>
  <c r="N554" i="2"/>
  <c r="N546" i="2"/>
  <c r="N538" i="2"/>
  <c r="N530" i="2"/>
  <c r="N522" i="2"/>
  <c r="N6" i="2"/>
  <c r="N506" i="2"/>
  <c r="N498" i="2"/>
  <c r="N490" i="2"/>
  <c r="N482" i="2"/>
  <c r="N474" i="2"/>
  <c r="N59" i="2"/>
  <c r="N458" i="2"/>
  <c r="N450" i="2"/>
  <c r="N442" i="2"/>
  <c r="N434" i="2"/>
  <c r="N426" i="2"/>
  <c r="N418" i="2"/>
  <c r="N410" i="2"/>
  <c r="N119" i="2"/>
  <c r="N394" i="2"/>
  <c r="N386" i="2"/>
  <c r="N378" i="2"/>
  <c r="N370" i="2"/>
  <c r="N362" i="2"/>
  <c r="N354" i="2"/>
  <c r="N152" i="2"/>
  <c r="N338" i="2"/>
  <c r="N157" i="2"/>
  <c r="N322" i="2"/>
  <c r="N210" i="2"/>
  <c r="N306" i="2"/>
  <c r="N298" i="2"/>
  <c r="N237" i="2"/>
  <c r="N282" i="2"/>
  <c r="N274" i="2"/>
  <c r="N266" i="2"/>
  <c r="N258" i="2"/>
  <c r="N255" i="2"/>
  <c r="N290" i="2"/>
  <c r="N307" i="2"/>
  <c r="N316" i="2"/>
  <c r="N324" i="2"/>
  <c r="N330" i="2"/>
  <c r="N202" i="2"/>
  <c r="N194" i="2"/>
  <c r="N186" i="2"/>
  <c r="N376" i="2"/>
  <c r="N170" i="2"/>
  <c r="N162" i="2"/>
  <c r="N452" i="2"/>
  <c r="N478" i="2"/>
  <c r="N138" i="2"/>
  <c r="N130" i="2"/>
  <c r="N551" i="2"/>
  <c r="N114" i="2"/>
  <c r="N106" i="2"/>
  <c r="N98" i="2"/>
  <c r="N90" i="2"/>
  <c r="N111" i="2"/>
  <c r="N121" i="2"/>
  <c r="N66" i="2"/>
  <c r="N159" i="2"/>
  <c r="N50" i="2"/>
  <c r="N42" i="2"/>
  <c r="N34" i="2"/>
  <c r="N344" i="2"/>
  <c r="N18" i="2"/>
  <c r="N484" i="2"/>
  <c r="N9" i="2"/>
  <c r="N384" i="2"/>
  <c r="N164" i="2"/>
  <c r="N230" i="2"/>
  <c r="N280" i="2"/>
  <c r="N248" i="2"/>
  <c r="N310" i="2"/>
  <c r="N208" i="2"/>
  <c r="N617" i="2"/>
  <c r="N609" i="2"/>
  <c r="N601" i="2"/>
  <c r="N593" i="2"/>
  <c r="N585" i="2"/>
  <c r="N577" i="2"/>
  <c r="N569" i="2"/>
  <c r="N561" i="2"/>
  <c r="N553" i="2"/>
  <c r="N545" i="2"/>
  <c r="N481" i="2"/>
  <c r="N529" i="2"/>
  <c r="N521" i="2"/>
  <c r="N8" i="2"/>
  <c r="N505" i="2"/>
  <c r="N497" i="2"/>
  <c r="N489" i="2"/>
  <c r="N54" i="2"/>
  <c r="N473" i="2"/>
  <c r="N465" i="2"/>
  <c r="N457" i="2"/>
  <c r="N449" i="2"/>
  <c r="N441" i="2"/>
  <c r="N87" i="2"/>
  <c r="N425" i="2"/>
  <c r="N417" i="2"/>
  <c r="N409" i="2"/>
  <c r="N401" i="2"/>
  <c r="N393" i="2"/>
  <c r="N385" i="2"/>
  <c r="N377" i="2"/>
  <c r="N134" i="2"/>
  <c r="N361" i="2"/>
  <c r="N353" i="2"/>
  <c r="N153" i="2"/>
  <c r="N337" i="2"/>
  <c r="N161" i="2"/>
  <c r="N321" i="2"/>
  <c r="N216" i="2"/>
  <c r="N229" i="2"/>
  <c r="N297" i="2"/>
  <c r="N289" i="2"/>
  <c r="N281" i="2"/>
  <c r="N273" i="2"/>
  <c r="N245" i="2"/>
  <c r="N257" i="2"/>
  <c r="N249" i="2"/>
  <c r="N292" i="2"/>
  <c r="N308" i="2"/>
  <c r="N225" i="2"/>
  <c r="N217" i="2"/>
  <c r="N335" i="2"/>
  <c r="N201" i="2"/>
  <c r="N193" i="2"/>
  <c r="N185" i="2"/>
  <c r="N177" i="2"/>
  <c r="N169" i="2"/>
  <c r="N405" i="2"/>
  <c r="N453" i="2"/>
  <c r="N145" i="2"/>
  <c r="N516" i="2"/>
  <c r="N129" i="2"/>
  <c r="N557" i="2"/>
  <c r="N26" i="2"/>
  <c r="N32" i="2"/>
  <c r="N97" i="2"/>
  <c r="N89" i="2"/>
  <c r="N81" i="2"/>
  <c r="N123" i="2"/>
  <c r="N143" i="2"/>
  <c r="N165" i="2"/>
  <c r="N49" i="2"/>
  <c r="N41" i="2"/>
  <c r="N271" i="2"/>
  <c r="N25" i="2"/>
  <c r="N17" i="2"/>
  <c r="N128" i="2"/>
  <c r="N154" i="2"/>
  <c r="N320" i="2"/>
  <c r="N288" i="2"/>
  <c r="N241" i="2"/>
  <c r="N256" i="2"/>
  <c r="N224" i="2"/>
  <c r="N200" i="2"/>
  <c r="N616" i="2"/>
  <c r="N608" i="2"/>
  <c r="N600" i="2"/>
  <c r="N592" i="2"/>
  <c r="N584" i="2"/>
  <c r="N576" i="2"/>
  <c r="N568" i="2"/>
  <c r="N560" i="2"/>
  <c r="N552" i="2"/>
  <c r="N544" i="2"/>
  <c r="N514" i="2"/>
  <c r="N528" i="2"/>
  <c r="N520" i="2"/>
  <c r="N10" i="2"/>
  <c r="N504" i="2"/>
  <c r="N496" i="2"/>
  <c r="N488" i="2"/>
  <c r="N480" i="2"/>
  <c r="N472" i="2"/>
  <c r="N464" i="2"/>
  <c r="N456" i="2"/>
  <c r="N448" i="2"/>
  <c r="N440" i="2"/>
  <c r="N432" i="2"/>
  <c r="N91" i="2"/>
  <c r="N416" i="2"/>
  <c r="N101" i="2"/>
  <c r="N400" i="2"/>
  <c r="N392" i="2"/>
  <c r="N368" i="2"/>
  <c r="N360" i="2"/>
  <c r="N352" i="2"/>
  <c r="N336" i="2"/>
  <c r="N312" i="2"/>
  <c r="N234" i="2"/>
  <c r="N264" i="2"/>
  <c r="N240" i="2"/>
  <c r="N328" i="2"/>
  <c r="N346" i="2"/>
  <c r="N615" i="2"/>
  <c r="N607" i="2"/>
  <c r="N599" i="2"/>
  <c r="N591" i="2"/>
  <c r="N583" i="2"/>
  <c r="N575" i="2"/>
  <c r="N567" i="2"/>
  <c r="N12" i="2"/>
  <c r="N268" i="2"/>
  <c r="N543" i="2"/>
  <c r="N535" i="2"/>
  <c r="N527" i="2"/>
  <c r="N512" i="2"/>
  <c r="N20" i="2"/>
  <c r="N503" i="2"/>
  <c r="N495" i="2"/>
  <c r="N487" i="2"/>
  <c r="N479" i="2"/>
  <c r="N471" i="2"/>
  <c r="N463" i="2"/>
  <c r="N455" i="2"/>
  <c r="N447" i="2"/>
  <c r="N439" i="2"/>
  <c r="N431" i="2"/>
  <c r="N423" i="2"/>
  <c r="N415" i="2"/>
  <c r="N407" i="2"/>
  <c r="N399" i="2"/>
  <c r="N391" i="2"/>
  <c r="N383" i="2"/>
  <c r="N131" i="2"/>
  <c r="N367" i="2"/>
  <c r="N359" i="2"/>
  <c r="N351" i="2"/>
  <c r="N343" i="2"/>
  <c r="N156" i="2"/>
  <c r="N327" i="2"/>
  <c r="N319" i="2"/>
  <c r="N218" i="2"/>
  <c r="N303" i="2"/>
  <c r="N295" i="2"/>
  <c r="N287" i="2"/>
  <c r="N279" i="2"/>
  <c r="N242" i="2"/>
  <c r="N263" i="2"/>
  <c r="N250" i="2"/>
  <c r="N247" i="2"/>
  <c r="N296" i="2"/>
  <c r="N311" i="2"/>
  <c r="N323" i="2"/>
  <c r="N215" i="2"/>
  <c r="N207" i="2"/>
  <c r="N199" i="2"/>
  <c r="N191" i="2"/>
  <c r="N183" i="2"/>
  <c r="N175" i="2"/>
  <c r="N167" i="2"/>
  <c r="N408" i="2"/>
  <c r="N459" i="2"/>
  <c r="N513" i="2"/>
  <c r="N135" i="2"/>
  <c r="N127" i="2"/>
  <c r="N559" i="2"/>
  <c r="N29" i="2"/>
  <c r="N103" i="2"/>
  <c r="N95" i="2"/>
  <c r="N76" i="2"/>
  <c r="N79" i="2"/>
  <c r="N133" i="2"/>
  <c r="N63" i="2"/>
  <c r="N55" i="2"/>
  <c r="N47" i="2"/>
  <c r="N39" i="2"/>
  <c r="N317" i="2"/>
  <c r="N23" i="2"/>
  <c r="N15" i="2"/>
  <c r="N7" i="2"/>
  <c r="N614" i="2"/>
  <c r="N606" i="2"/>
  <c r="N598" i="2"/>
  <c r="N613" i="2"/>
  <c r="N605" i="2"/>
  <c r="N597" i="2"/>
  <c r="N589" i="2"/>
  <c r="N581" i="2"/>
  <c r="N573" i="2"/>
  <c r="N565" i="2"/>
  <c r="N73" i="2"/>
  <c r="N305" i="2"/>
  <c r="N347" i="2"/>
  <c r="N541" i="2"/>
  <c r="N525" i="2"/>
  <c r="N517" i="2"/>
  <c r="N509" i="2"/>
  <c r="N501" i="2"/>
  <c r="N493" i="2"/>
  <c r="N485" i="2"/>
  <c r="N477" i="2"/>
  <c r="N469" i="2"/>
  <c r="N461" i="2"/>
  <c r="N64" i="2"/>
  <c r="N445" i="2"/>
  <c r="N83" i="2"/>
  <c r="N429" i="2"/>
  <c r="N421" i="2"/>
  <c r="N413" i="2"/>
  <c r="N113" i="2"/>
  <c r="N397" i="2"/>
  <c r="N389" i="2"/>
  <c r="N381" i="2"/>
  <c r="N373" i="2"/>
  <c r="N365" i="2"/>
  <c r="N357" i="2"/>
  <c r="N349" i="2"/>
  <c r="N341" i="2"/>
  <c r="N333" i="2"/>
  <c r="N325" i="2"/>
  <c r="N192" i="2"/>
  <c r="N309" i="2"/>
  <c r="N232" i="2"/>
  <c r="N235" i="2"/>
  <c r="N285" i="2"/>
  <c r="N277" i="2"/>
  <c r="N269" i="2"/>
  <c r="N261" i="2"/>
  <c r="N251" i="2"/>
  <c r="N265" i="2"/>
  <c r="N301" i="2"/>
  <c r="N314" i="2"/>
  <c r="N221" i="2"/>
  <c r="N213" i="2"/>
  <c r="N205" i="2"/>
  <c r="N197" i="2"/>
  <c r="N369" i="2"/>
  <c r="N181" i="2"/>
  <c r="N173" i="2"/>
  <c r="N402" i="2"/>
  <c r="N424" i="2"/>
  <c r="N149" i="2"/>
  <c r="N141" i="2"/>
  <c r="N531" i="2"/>
  <c r="N125" i="2"/>
  <c r="N117" i="2"/>
  <c r="N109" i="2"/>
  <c r="N33" i="2"/>
  <c r="N93" i="2"/>
  <c r="N85" i="2"/>
  <c r="N77" i="2"/>
  <c r="N69" i="2"/>
  <c r="N61" i="2"/>
  <c r="N53" i="2"/>
  <c r="N45" i="2"/>
  <c r="N37" i="2"/>
  <c r="N329" i="2"/>
  <c r="N21" i="2"/>
  <c r="N13" i="2"/>
  <c r="N5" i="2"/>
  <c r="N420" i="2"/>
  <c r="N388" i="2"/>
  <c r="N372" i="2"/>
  <c r="N356" i="2"/>
  <c r="N612" i="2"/>
  <c r="N604" i="2"/>
  <c r="N596" i="2"/>
  <c r="N588" i="2"/>
  <c r="N580" i="2"/>
  <c r="N572" i="2"/>
  <c r="N564" i="2"/>
  <c r="N556" i="2"/>
  <c r="N548" i="2"/>
  <c r="N540" i="2"/>
  <c r="N532" i="2"/>
  <c r="N524" i="2"/>
  <c r="N2" i="2"/>
  <c r="N508" i="2"/>
  <c r="N500" i="2"/>
  <c r="N492" i="2"/>
  <c r="N46" i="2"/>
  <c r="N476" i="2"/>
  <c r="N468" i="2"/>
  <c r="N460" i="2"/>
  <c r="N71" i="2"/>
  <c r="N444" i="2"/>
  <c r="N86" i="2"/>
  <c r="N428" i="2"/>
  <c r="N412" i="2"/>
  <c r="N404" i="2"/>
  <c r="N396" i="2"/>
  <c r="N380" i="2"/>
  <c r="N364" i="2"/>
  <c r="N348" i="2"/>
  <c r="N574" i="2"/>
  <c r="N542" i="2"/>
  <c r="N510" i="2"/>
  <c r="N58" i="2"/>
  <c r="N446" i="2"/>
  <c r="N100" i="2"/>
  <c r="N122" i="2"/>
  <c r="N350" i="2"/>
  <c r="N326" i="2"/>
  <c r="N227" i="2"/>
  <c r="N284" i="2"/>
  <c r="N262" i="2"/>
  <c r="N275" i="2"/>
  <c r="N220" i="2"/>
  <c r="N198" i="2"/>
  <c r="N375" i="2"/>
  <c r="N403" i="2"/>
  <c r="N148" i="2"/>
  <c r="N132" i="2"/>
  <c r="N537" i="2"/>
  <c r="N57" i="2"/>
  <c r="N84" i="2"/>
  <c r="N68" i="2"/>
  <c r="N52" i="2"/>
  <c r="N36" i="2"/>
  <c r="N358" i="2"/>
  <c r="N4" i="2"/>
  <c r="N30" i="2"/>
  <c r="N140" i="2"/>
  <c r="N92" i="2"/>
  <c r="N433" i="2"/>
  <c r="N491" i="2"/>
  <c r="N270" i="2"/>
  <c r="N171" i="2"/>
  <c r="N43" i="2"/>
  <c r="N611" i="2"/>
  <c r="N571" i="2"/>
  <c r="N539" i="2"/>
  <c r="N507" i="2"/>
  <c r="N475" i="2"/>
  <c r="N443" i="2"/>
  <c r="N411" i="2"/>
  <c r="N379" i="2"/>
  <c r="N151" i="2"/>
  <c r="N178" i="2"/>
  <c r="N231" i="2"/>
  <c r="N283" i="2"/>
  <c r="N260" i="2"/>
  <c r="N300" i="2"/>
  <c r="N219" i="2"/>
  <c r="N196" i="2"/>
  <c r="N179" i="2"/>
  <c r="N163" i="2"/>
  <c r="N147" i="2"/>
  <c r="N534" i="2"/>
  <c r="N115" i="2"/>
  <c r="N99" i="2"/>
  <c r="N105" i="2"/>
  <c r="N67" i="2"/>
  <c r="N51" i="2"/>
  <c r="N35" i="2"/>
  <c r="N19" i="2"/>
  <c r="N3" i="2"/>
  <c r="N16" i="2"/>
  <c r="N436" i="2"/>
  <c r="N120" i="2"/>
  <c r="N587" i="2"/>
  <c r="N363" i="2"/>
  <c r="N253" i="2"/>
  <c r="N139" i="2"/>
  <c r="N158" i="2"/>
  <c r="N603" i="2"/>
  <c r="N566" i="2"/>
  <c r="N536" i="2"/>
  <c r="N502" i="2"/>
  <c r="N470" i="2"/>
  <c r="N438" i="2"/>
  <c r="N406" i="2"/>
  <c r="N374" i="2"/>
  <c r="N342" i="2"/>
  <c r="N180" i="2"/>
  <c r="N233" i="2"/>
  <c r="N278" i="2"/>
  <c r="N259" i="2"/>
  <c r="N214" i="2"/>
  <c r="N195" i="2"/>
  <c r="N176" i="2"/>
  <c r="N160" i="2"/>
  <c r="N144" i="2"/>
  <c r="N547" i="2"/>
  <c r="N112" i="2"/>
  <c r="N96" i="2"/>
  <c r="N80" i="2"/>
  <c r="N146" i="2"/>
  <c r="N48" i="2"/>
  <c r="N272" i="2"/>
  <c r="N14" i="2"/>
  <c r="N124" i="2"/>
  <c r="N155" i="2"/>
  <c r="N44" i="2"/>
  <c r="N60" i="2"/>
  <c r="N236" i="2"/>
  <c r="N437" i="2"/>
  <c r="N65" i="2"/>
  <c r="N595" i="2"/>
  <c r="N563" i="2"/>
  <c r="N88" i="2"/>
  <c r="N499" i="2"/>
  <c r="N467" i="2"/>
  <c r="N435" i="2"/>
  <c r="N116" i="2"/>
  <c r="N371" i="2"/>
  <c r="N340" i="2"/>
  <c r="N318" i="2"/>
  <c r="N299" i="2"/>
  <c r="N276" i="2"/>
  <c r="N254" i="2"/>
  <c r="N212" i="2"/>
  <c r="N190" i="2"/>
  <c r="N174" i="2"/>
  <c r="N414" i="2"/>
  <c r="N142" i="2"/>
  <c r="N126" i="2"/>
  <c r="N110" i="2"/>
  <c r="N94" i="2"/>
  <c r="N78" i="2"/>
  <c r="N150" i="2"/>
  <c r="N239" i="2"/>
  <c r="N172" i="2"/>
  <c r="N108" i="2"/>
  <c r="N28" i="2"/>
  <c r="N427" i="2"/>
  <c r="N334" i="2"/>
  <c r="N345" i="2"/>
  <c r="N107" i="2"/>
  <c r="N11" i="2"/>
  <c r="N590" i="2"/>
  <c r="N56" i="2"/>
  <c r="N526" i="2"/>
  <c r="N494" i="2"/>
  <c r="N462" i="2"/>
  <c r="N430" i="2"/>
  <c r="N398" i="2"/>
  <c r="N366" i="2"/>
  <c r="N339" i="2"/>
  <c r="N206" i="2"/>
  <c r="N294" i="2"/>
  <c r="N238" i="2"/>
  <c r="N252" i="2"/>
  <c r="N313" i="2"/>
  <c r="N211" i="2"/>
  <c r="N188" i="2"/>
  <c r="N582" i="2"/>
  <c r="N293" i="2"/>
  <c r="N518" i="2"/>
  <c r="N486" i="2"/>
  <c r="N62" i="2"/>
  <c r="N422" i="2"/>
  <c r="N390" i="2"/>
  <c r="N137" i="2"/>
  <c r="N332" i="2"/>
  <c r="N223" i="2"/>
  <c r="N291" i="2"/>
  <c r="N243" i="2"/>
  <c r="N246" i="2"/>
  <c r="N315" i="2"/>
  <c r="N204" i="2"/>
  <c r="N184" i="2"/>
  <c r="N382" i="2"/>
  <c r="N454" i="2"/>
  <c r="N136" i="2"/>
  <c r="N558" i="2"/>
  <c r="N104" i="2"/>
  <c r="N74" i="2"/>
  <c r="N72" i="2"/>
  <c r="N168" i="2"/>
  <c r="N40" i="2"/>
  <c r="N24" i="2"/>
  <c r="N511" i="2"/>
  <c r="N38" i="2"/>
  <c r="N533" i="2"/>
  <c r="N523" i="2"/>
  <c r="N228" i="2"/>
  <c r="N550" i="2"/>
  <c r="N27" i="2"/>
  <c r="N579" i="2"/>
  <c r="N31" i="2"/>
  <c r="N515" i="2"/>
  <c r="N483" i="2"/>
  <c r="N451" i="2"/>
  <c r="N419" i="2"/>
  <c r="N387" i="2"/>
  <c r="N355" i="2"/>
  <c r="N331" i="2"/>
  <c r="N226" i="2"/>
  <c r="N286" i="2"/>
  <c r="N267" i="2"/>
  <c r="N244" i="2"/>
  <c r="N222" i="2"/>
  <c r="N203" i="2"/>
  <c r="N182" i="2"/>
  <c r="N166" i="2"/>
  <c r="N466" i="2"/>
  <c r="N519" i="2"/>
  <c r="N118" i="2"/>
  <c r="N102" i="2"/>
  <c r="N82" i="2"/>
  <c r="N70" i="2"/>
  <c r="N189" i="2"/>
  <c r="N22" i="2"/>
  <c r="N555" i="2"/>
  <c r="N395" i="2"/>
  <c r="N209" i="2"/>
  <c r="N187" i="2"/>
  <c r="N75" i="2"/>
  <c r="Q191" i="2"/>
  <c r="U491" i="3"/>
  <c r="U654" i="3"/>
  <c r="U662" i="3"/>
  <c r="U840" i="3"/>
  <c r="U844" i="3"/>
  <c r="U848" i="3"/>
  <c r="U852" i="3"/>
  <c r="U856" i="3"/>
  <c r="U864" i="3"/>
  <c r="U880" i="3"/>
  <c r="U884" i="3"/>
  <c r="U916" i="3"/>
  <c r="U940" i="3"/>
  <c r="U1047" i="3"/>
  <c r="U1162" i="3"/>
  <c r="U177" i="3"/>
  <c r="U185" i="3"/>
  <c r="U268" i="3"/>
  <c r="U280" i="3"/>
  <c r="U304" i="3"/>
  <c r="U355" i="3"/>
  <c r="U367" i="3"/>
  <c r="U383" i="3"/>
  <c r="U395" i="3"/>
  <c r="U443" i="3"/>
  <c r="U348" i="3"/>
  <c r="U182" i="3"/>
  <c r="U230" i="3"/>
  <c r="U1020" i="3"/>
  <c r="U1032" i="3"/>
  <c r="U1036" i="3"/>
  <c r="U1048" i="3"/>
  <c r="U1052" i="3"/>
  <c r="U1064" i="3"/>
  <c r="U1068" i="3"/>
  <c r="U1159" i="3"/>
  <c r="U1163" i="3"/>
  <c r="U1167" i="3"/>
  <c r="U1183" i="3"/>
  <c r="U169" i="3"/>
  <c r="U209" i="3"/>
  <c r="U272" i="3"/>
  <c r="U300" i="3"/>
  <c r="U387" i="3"/>
  <c r="U419" i="3"/>
  <c r="U439" i="3"/>
  <c r="U74" i="3"/>
  <c r="U90" i="3"/>
  <c r="U98" i="3"/>
  <c r="U146" i="3"/>
  <c r="U344" i="3"/>
  <c r="U47" i="3"/>
  <c r="U162" i="3"/>
  <c r="U202" i="3"/>
  <c r="U111" i="3"/>
  <c r="U131" i="3"/>
  <c r="U333" i="3"/>
  <c r="U341" i="3"/>
  <c r="U345" i="3"/>
  <c r="U484" i="3"/>
  <c r="U227" i="3"/>
  <c r="U290" i="3"/>
  <c r="U306" i="3"/>
  <c r="U310" i="3"/>
  <c r="U334" i="3"/>
  <c r="U405" i="3"/>
  <c r="U409" i="3"/>
  <c r="U413" i="3"/>
  <c r="U425" i="3"/>
  <c r="U465" i="3"/>
  <c r="U512" i="3"/>
  <c r="U516" i="3"/>
  <c r="U520" i="3"/>
  <c r="U524" i="3"/>
  <c r="U528" i="3"/>
  <c r="U548" i="3"/>
  <c r="U556" i="3"/>
  <c r="U560" i="3"/>
  <c r="U568" i="3"/>
  <c r="U572" i="3"/>
  <c r="U580" i="3"/>
  <c r="U584" i="3"/>
  <c r="U592" i="3"/>
  <c r="U671" i="3"/>
  <c r="U687" i="3"/>
  <c r="U695" i="3"/>
  <c r="U699" i="3"/>
  <c r="U703" i="3"/>
  <c r="U707" i="3"/>
  <c r="U719" i="3"/>
  <c r="U735" i="3"/>
  <c r="U751" i="3"/>
  <c r="U755" i="3"/>
  <c r="U759" i="3"/>
  <c r="U767" i="3"/>
  <c r="U798" i="3"/>
  <c r="U822" i="3"/>
  <c r="U957" i="3"/>
  <c r="U973" i="3"/>
  <c r="U977" i="3"/>
  <c r="U981" i="3"/>
  <c r="U989" i="3"/>
  <c r="U1084" i="3"/>
  <c r="U1100" i="3"/>
  <c r="U1112" i="3"/>
  <c r="U1116" i="3"/>
  <c r="U1120" i="3"/>
  <c r="U1124" i="3"/>
  <c r="U1136" i="3"/>
  <c r="U1140" i="3"/>
  <c r="U1144" i="3"/>
  <c r="U1148" i="3"/>
  <c r="U1049" i="3"/>
  <c r="U1061" i="3"/>
  <c r="U1065" i="3"/>
  <c r="U1069" i="3"/>
  <c r="U173" i="3"/>
  <c r="U371" i="3"/>
  <c r="U379" i="3"/>
  <c r="U391" i="3"/>
  <c r="U407" i="3"/>
  <c r="U423" i="3"/>
  <c r="U447" i="3"/>
  <c r="U31" i="3"/>
  <c r="U54" i="3"/>
  <c r="U86" i="3"/>
  <c r="U102" i="3"/>
  <c r="U150" i="3"/>
  <c r="U241" i="3"/>
  <c r="U336" i="3"/>
  <c r="U166" i="3"/>
  <c r="U178" i="3"/>
  <c r="U194" i="3"/>
  <c r="U226" i="3"/>
  <c r="U289" i="3"/>
  <c r="U301" i="3"/>
  <c r="U313" i="3"/>
  <c r="U412" i="3"/>
  <c r="U8" i="3"/>
  <c r="U99" i="3"/>
  <c r="U115" i="3"/>
  <c r="U127" i="3"/>
  <c r="U337" i="3"/>
  <c r="U30" i="3"/>
  <c r="U156" i="3"/>
  <c r="U168" i="3"/>
  <c r="U176" i="3"/>
  <c r="U224" i="3"/>
  <c r="U287" i="3"/>
  <c r="U307" i="3"/>
  <c r="U311" i="3"/>
  <c r="U354" i="3"/>
  <c r="U362" i="3"/>
  <c r="U442" i="3"/>
  <c r="U450" i="3"/>
  <c r="U517" i="3"/>
  <c r="U521" i="3"/>
  <c r="U525" i="3"/>
  <c r="U529" i="3"/>
  <c r="U545" i="3"/>
  <c r="U549" i="3"/>
  <c r="U553" i="3"/>
  <c r="U557" i="3"/>
  <c r="U565" i="3"/>
  <c r="U569" i="3"/>
  <c r="U573" i="3"/>
  <c r="U577" i="3"/>
  <c r="U581" i="3"/>
  <c r="U597" i="3"/>
  <c r="U601" i="3"/>
  <c r="U605" i="3"/>
  <c r="U609" i="3"/>
  <c r="U617" i="3"/>
  <c r="U621" i="3"/>
  <c r="U625" i="3"/>
  <c r="U629" i="3"/>
  <c r="U676" i="3"/>
  <c r="U684" i="3"/>
  <c r="U688" i="3"/>
  <c r="U692" i="3"/>
  <c r="U696" i="3"/>
  <c r="U704" i="3"/>
  <c r="U712" i="3"/>
  <c r="U720" i="3"/>
  <c r="U724" i="3"/>
  <c r="U803" i="3"/>
  <c r="U831" i="3"/>
  <c r="U966" i="3"/>
  <c r="U974" i="3"/>
  <c r="U982" i="3"/>
  <c r="U998" i="3"/>
  <c r="U1006" i="3"/>
  <c r="U1133" i="3"/>
  <c r="U1141" i="3"/>
  <c r="U1149" i="3"/>
  <c r="U478" i="3"/>
  <c r="U486" i="3"/>
  <c r="U490" i="3"/>
  <c r="U645" i="3"/>
  <c r="U649" i="3"/>
  <c r="U919" i="3"/>
  <c r="U1054" i="3"/>
  <c r="U1062" i="3"/>
  <c r="U1070" i="3"/>
  <c r="U1126" i="3"/>
  <c r="U1138" i="3"/>
  <c r="Q393" i="2"/>
  <c r="U279" i="3"/>
  <c r="U595" i="3"/>
  <c r="U603" i="3"/>
  <c r="U619" i="3"/>
  <c r="U627" i="3"/>
  <c r="U650" i="3"/>
  <c r="U740" i="3"/>
  <c r="U748" i="3"/>
  <c r="U810" i="3"/>
  <c r="U834" i="3"/>
  <c r="U71" i="3"/>
  <c r="U651" i="3"/>
  <c r="U328" i="3"/>
  <c r="U1018" i="3"/>
  <c r="U554" i="3"/>
  <c r="U562" i="3"/>
  <c r="U570" i="3"/>
  <c r="U578" i="3"/>
  <c r="U596" i="3"/>
  <c r="U741" i="3"/>
  <c r="U842" i="3"/>
  <c r="U850" i="3"/>
  <c r="U858" i="3"/>
  <c r="U866" i="3"/>
  <c r="U870" i="3"/>
  <c r="U882" i="3"/>
  <c r="U964" i="3"/>
  <c r="U988" i="3"/>
  <c r="U996" i="3"/>
  <c r="P511" i="2"/>
  <c r="Q14" i="2"/>
  <c r="P357" i="2"/>
  <c r="U62" i="3"/>
  <c r="U125" i="3"/>
  <c r="U382" i="3"/>
  <c r="U390" i="3"/>
  <c r="U698" i="3"/>
  <c r="U706" i="3"/>
  <c r="U722" i="3"/>
  <c r="U914" i="3"/>
  <c r="U925" i="3"/>
  <c r="U1082" i="3"/>
  <c r="U157" i="3"/>
  <c r="U223" i="3"/>
  <c r="U514" i="3"/>
  <c r="U918" i="3"/>
  <c r="O407" i="2"/>
  <c r="P61" i="2"/>
  <c r="P123" i="2"/>
  <c r="P142" i="2"/>
  <c r="U174" i="3"/>
  <c r="U418" i="3"/>
  <c r="U430" i="3"/>
  <c r="U750" i="3"/>
  <c r="U900" i="3"/>
  <c r="U958" i="3"/>
  <c r="U1029" i="3"/>
  <c r="Q84" i="2"/>
  <c r="P163" i="2"/>
  <c r="P441" i="2"/>
  <c r="U151" i="3"/>
  <c r="U263" i="3"/>
  <c r="U368" i="3"/>
  <c r="U384" i="3"/>
  <c r="U473" i="3"/>
  <c r="U786" i="3"/>
  <c r="U794" i="3"/>
  <c r="Q3" i="2"/>
  <c r="Q189" i="2"/>
  <c r="P285" i="2"/>
  <c r="P411" i="2"/>
  <c r="O358" i="2"/>
  <c r="P350" i="2"/>
  <c r="M97" i="2"/>
  <c r="O97" i="2" s="1"/>
  <c r="Q346" i="2"/>
  <c r="P388" i="2"/>
  <c r="O392" i="2"/>
  <c r="U15" i="3"/>
  <c r="U41" i="3"/>
  <c r="U63" i="3"/>
  <c r="U129" i="3"/>
  <c r="U133" i="3"/>
  <c r="U137" i="3"/>
  <c r="U160" i="3"/>
  <c r="U225" i="3"/>
  <c r="U352" i="3"/>
  <c r="U366" i="3"/>
  <c r="U377" i="3"/>
  <c r="U427" i="3"/>
  <c r="U547" i="3"/>
  <c r="U555" i="3"/>
  <c r="U563" i="3"/>
  <c r="U571" i="3"/>
  <c r="U579" i="3"/>
  <c r="U587" i="3"/>
  <c r="U653" i="3"/>
  <c r="U657" i="3"/>
  <c r="U661" i="3"/>
  <c r="U757" i="3"/>
  <c r="U765" i="3"/>
  <c r="U769" i="3"/>
  <c r="U5" i="3"/>
  <c r="U12" i="3"/>
  <c r="U24" i="3"/>
  <c r="U42" i="3"/>
  <c r="U56" i="3"/>
  <c r="U60" i="3"/>
  <c r="U64" i="3"/>
  <c r="U72" i="3"/>
  <c r="U114" i="3"/>
  <c r="U130" i="3"/>
  <c r="U134" i="3"/>
  <c r="U161" i="3"/>
  <c r="U165" i="3"/>
  <c r="U191" i="3"/>
  <c r="U195" i="3"/>
  <c r="U319" i="3"/>
  <c r="U327" i="3"/>
  <c r="U349" i="3"/>
  <c r="U370" i="3"/>
  <c r="U420" i="3"/>
  <c r="U728" i="3"/>
  <c r="U945" i="3"/>
  <c r="U717" i="3"/>
  <c r="U934" i="3"/>
  <c r="U483" i="3"/>
  <c r="U494" i="3"/>
  <c r="U501" i="3"/>
  <c r="U505" i="3"/>
  <c r="U509" i="3"/>
  <c r="U690" i="3"/>
  <c r="U825" i="3"/>
  <c r="U829" i="3"/>
  <c r="U1060" i="3"/>
  <c r="U85" i="3"/>
  <c r="U89" i="3"/>
  <c r="U143" i="3"/>
  <c r="U147" i="3"/>
  <c r="U170" i="3"/>
  <c r="U181" i="3"/>
  <c r="U257" i="3"/>
  <c r="U261" i="3"/>
  <c r="U265" i="3"/>
  <c r="U284" i="3"/>
  <c r="U291" i="3"/>
  <c r="U402" i="3"/>
  <c r="U468" i="3"/>
  <c r="U694" i="3"/>
  <c r="U702" i="3"/>
  <c r="U710" i="3"/>
  <c r="U787" i="3"/>
  <c r="U791" i="3"/>
  <c r="U877" i="3"/>
  <c r="U994" i="3"/>
  <c r="U1001" i="3"/>
  <c r="U1005" i="3"/>
  <c r="U3" i="3"/>
  <c r="U7" i="3"/>
  <c r="U18" i="3"/>
  <c r="U22" i="3"/>
  <c r="U40" i="3"/>
  <c r="U58" i="3"/>
  <c r="U112" i="3"/>
  <c r="U124" i="3"/>
  <c r="U128" i="3"/>
  <c r="U159" i="3"/>
  <c r="U232" i="3"/>
  <c r="U236" i="3"/>
  <c r="U254" i="3"/>
  <c r="U269" i="3"/>
  <c r="U380" i="3"/>
  <c r="U396" i="3"/>
  <c r="U457" i="3"/>
  <c r="U1023" i="3"/>
  <c r="U1027" i="3"/>
  <c r="U1038" i="3"/>
  <c r="U1056" i="3"/>
  <c r="U1073" i="3"/>
  <c r="U1080" i="3"/>
  <c r="U1135" i="3"/>
  <c r="U1139" i="3"/>
  <c r="U1154" i="3"/>
  <c r="U1182" i="3"/>
  <c r="U152" i="3"/>
  <c r="U163" i="3"/>
  <c r="U192" i="3"/>
  <c r="U200" i="3"/>
  <c r="U233" i="3"/>
  <c r="U262" i="3"/>
  <c r="U273" i="3"/>
  <c r="U277" i="3"/>
  <c r="U281" i="3"/>
  <c r="U356" i="3"/>
  <c r="U385" i="3"/>
  <c r="U389" i="3"/>
  <c r="U393" i="3"/>
  <c r="U403" i="3"/>
  <c r="U410" i="3"/>
  <c r="U428" i="3"/>
  <c r="U436" i="3"/>
  <c r="U458" i="3"/>
  <c r="U513" i="3"/>
  <c r="U536" i="3"/>
  <c r="U540" i="3"/>
  <c r="U588" i="3"/>
  <c r="U607" i="3"/>
  <c r="U615" i="3"/>
  <c r="U631" i="3"/>
  <c r="U646" i="3"/>
  <c r="U658" i="3"/>
  <c r="U665" i="3"/>
  <c r="U672" i="3"/>
  <c r="U721" i="3"/>
  <c r="U736" i="3"/>
  <c r="U743" i="3"/>
  <c r="U762" i="3"/>
  <c r="U806" i="3"/>
  <c r="U818" i="3"/>
  <c r="U826" i="3"/>
  <c r="U833" i="3"/>
  <c r="U872" i="3"/>
  <c r="U876" i="3"/>
  <c r="U887" i="3"/>
  <c r="U891" i="3"/>
  <c r="U906" i="3"/>
  <c r="U920" i="3"/>
  <c r="U927" i="3"/>
  <c r="U946" i="3"/>
  <c r="U949" i="3"/>
  <c r="U953" i="3"/>
  <c r="U960" i="3"/>
  <c r="U975" i="3"/>
  <c r="U983" i="3"/>
  <c r="U1009" i="3"/>
  <c r="U1035" i="3"/>
  <c r="U1063" i="3"/>
  <c r="U1067" i="3"/>
  <c r="U1088" i="3"/>
  <c r="U1092" i="3"/>
  <c r="U1096" i="3"/>
  <c r="U1103" i="3"/>
  <c r="U1107" i="3"/>
  <c r="U1121" i="3"/>
  <c r="U1128" i="3"/>
  <c r="U1132" i="3"/>
  <c r="U1147" i="3"/>
  <c r="U1175" i="3"/>
  <c r="U1024" i="3"/>
  <c r="U1028" i="3"/>
  <c r="U1039" i="3"/>
  <c r="U1043" i="3"/>
  <c r="U1057" i="3"/>
  <c r="U1081" i="3"/>
  <c r="U1122" i="3"/>
  <c r="U1125" i="3"/>
  <c r="U1155" i="3"/>
  <c r="U193" i="3"/>
  <c r="U216" i="3"/>
  <c r="U234" i="3"/>
  <c r="U252" i="3"/>
  <c r="U259" i="3"/>
  <c r="U274" i="3"/>
  <c r="U278" i="3"/>
  <c r="U317" i="3"/>
  <c r="U321" i="3"/>
  <c r="U325" i="3"/>
  <c r="U364" i="3"/>
  <c r="U378" i="3"/>
  <c r="U386" i="3"/>
  <c r="U394" i="3"/>
  <c r="U404" i="3"/>
  <c r="U411" i="3"/>
  <c r="U452" i="3"/>
  <c r="U459" i="3"/>
  <c r="U533" i="3"/>
  <c r="U541" i="3"/>
  <c r="U600" i="3"/>
  <c r="U608" i="3"/>
  <c r="U612" i="3"/>
  <c r="U620" i="3"/>
  <c r="U624" i="3"/>
  <c r="U632" i="3"/>
  <c r="U647" i="3"/>
  <c r="U673" i="3"/>
  <c r="U711" i="3"/>
  <c r="U715" i="3"/>
  <c r="U718" i="3"/>
  <c r="U730" i="3"/>
  <c r="U744" i="3"/>
  <c r="U807" i="3"/>
  <c r="U830" i="3"/>
  <c r="U873" i="3"/>
  <c r="U888" i="3"/>
  <c r="U910" i="3"/>
  <c r="U921" i="3"/>
  <c r="U928" i="3"/>
  <c r="U950" i="3"/>
  <c r="U961" i="3"/>
  <c r="U965" i="3"/>
  <c r="U984" i="3"/>
  <c r="U172" i="3"/>
  <c r="U179" i="3"/>
  <c r="U326" i="3"/>
  <c r="U340" i="3"/>
  <c r="U372" i="3"/>
  <c r="U589" i="3"/>
  <c r="U785" i="3"/>
  <c r="U789" i="3"/>
  <c r="U793" i="3"/>
  <c r="U800" i="3"/>
  <c r="U819" i="3"/>
  <c r="U823" i="3"/>
  <c r="U827" i="3"/>
  <c r="U838" i="3"/>
  <c r="U846" i="3"/>
  <c r="U854" i="3"/>
  <c r="U862" i="3"/>
  <c r="U881" i="3"/>
  <c r="U896" i="3"/>
  <c r="U903" i="3"/>
  <c r="U947" i="3"/>
  <c r="U969" i="3"/>
  <c r="U992" i="3"/>
  <c r="U999" i="3"/>
  <c r="U1025" i="3"/>
  <c r="U1040" i="3"/>
  <c r="U1044" i="3"/>
  <c r="U1071" i="3"/>
  <c r="U1075" i="3"/>
  <c r="U1078" i="3"/>
  <c r="U1098" i="3"/>
  <c r="U1101" i="3"/>
  <c r="U1137" i="3"/>
  <c r="U1152" i="3"/>
  <c r="U1173" i="3"/>
  <c r="U264" i="3"/>
  <c r="U275" i="3"/>
  <c r="U376" i="3"/>
  <c r="U426" i="3"/>
  <c r="U434" i="3"/>
  <c r="U453" i="3"/>
  <c r="U460" i="3"/>
  <c r="U489" i="3"/>
  <c r="U534" i="3"/>
  <c r="U633" i="3"/>
  <c r="U637" i="3"/>
  <c r="U648" i="3"/>
  <c r="U663" i="3"/>
  <c r="U723" i="3"/>
  <c r="U1166" i="3"/>
  <c r="U1177" i="3"/>
  <c r="U482" i="3"/>
  <c r="U500" i="3"/>
  <c r="U519" i="3"/>
  <c r="U531" i="3"/>
  <c r="U550" i="3"/>
  <c r="U558" i="3"/>
  <c r="U566" i="3"/>
  <c r="U574" i="3"/>
  <c r="U582" i="3"/>
  <c r="U590" i="3"/>
  <c r="U602" i="3"/>
  <c r="U610" i="3"/>
  <c r="U618" i="3"/>
  <c r="U626" i="3"/>
  <c r="U634" i="3"/>
  <c r="U641" i="3"/>
  <c r="U656" i="3"/>
  <c r="U668" i="3"/>
  <c r="U675" i="3"/>
  <c r="U693" i="3"/>
  <c r="U697" i="3"/>
  <c r="U701" i="3"/>
  <c r="U705" i="3"/>
  <c r="U727" i="3"/>
  <c r="U731" i="3"/>
  <c r="U752" i="3"/>
  <c r="U756" i="3"/>
  <c r="U760" i="3"/>
  <c r="U764" i="3"/>
  <c r="U790" i="3"/>
  <c r="U801" i="3"/>
  <c r="U816" i="3"/>
  <c r="U820" i="3"/>
  <c r="U839" i="3"/>
  <c r="U847" i="3"/>
  <c r="U855" i="3"/>
  <c r="U859" i="3"/>
  <c r="U863" i="3"/>
  <c r="U867" i="3"/>
  <c r="U878" i="3"/>
  <c r="U890" i="3"/>
  <c r="U897" i="3"/>
  <c r="U904" i="3"/>
  <c r="U930" i="3"/>
  <c r="U986" i="3"/>
  <c r="U993" i="3"/>
  <c r="U1000" i="3"/>
  <c r="U1019" i="3"/>
  <c r="U1034" i="3"/>
  <c r="U1041" i="3"/>
  <c r="U1045" i="3"/>
  <c r="U1055" i="3"/>
  <c r="U1059" i="3"/>
  <c r="U1072" i="3"/>
  <c r="U1079" i="3"/>
  <c r="U1083" i="3"/>
  <c r="U1109" i="3"/>
  <c r="U1134" i="3"/>
  <c r="U1153" i="3"/>
  <c r="O271" i="2"/>
  <c r="Q63" i="2"/>
  <c r="P70" i="2"/>
  <c r="O173" i="2"/>
  <c r="O313" i="2"/>
  <c r="O292" i="2"/>
  <c r="P329" i="2"/>
  <c r="P229" i="2"/>
  <c r="O420" i="2"/>
  <c r="P555" i="2"/>
  <c r="O56" i="2"/>
  <c r="P261" i="2"/>
  <c r="Q227" i="2"/>
  <c r="O209" i="2"/>
  <c r="P419" i="2"/>
  <c r="O490" i="2"/>
  <c r="O496" i="2"/>
  <c r="Q200" i="2"/>
  <c r="O201" i="2"/>
  <c r="Q216" i="2"/>
  <c r="O380" i="2"/>
  <c r="P420" i="2"/>
  <c r="Q493" i="2"/>
  <c r="O43" i="2"/>
  <c r="Q277" i="2"/>
  <c r="Q164" i="2"/>
  <c r="O339" i="2"/>
  <c r="Q378" i="2"/>
  <c r="O426" i="2"/>
  <c r="Q438" i="2"/>
  <c r="M529" i="2"/>
  <c r="Q408" i="2"/>
  <c r="Q328" i="2"/>
  <c r="P281" i="2"/>
  <c r="Q152" i="2"/>
  <c r="P455" i="2"/>
  <c r="P88" i="2"/>
  <c r="P478" i="2"/>
  <c r="Q176" i="2"/>
  <c r="P315" i="2"/>
  <c r="Q250" i="2"/>
  <c r="Q234" i="2"/>
  <c r="P325" i="2"/>
  <c r="O327" i="2"/>
  <c r="P379" i="2"/>
  <c r="Q439" i="2"/>
  <c r="Q508" i="2"/>
  <c r="O10" i="2"/>
  <c r="P120" i="2"/>
  <c r="Q108" i="2"/>
  <c r="O114" i="2"/>
  <c r="Q537" i="2"/>
  <c r="O117" i="2"/>
  <c r="O118" i="2"/>
  <c r="O149" i="2"/>
  <c r="P466" i="2"/>
  <c r="P177" i="2"/>
  <c r="O335" i="2"/>
  <c r="Q248" i="2"/>
  <c r="P326" i="2"/>
  <c r="Q348" i="2"/>
  <c r="P440" i="2"/>
  <c r="P479" i="2"/>
  <c r="Q20" i="2"/>
  <c r="Q76" i="2"/>
  <c r="O52" i="2"/>
  <c r="O28" i="2"/>
  <c r="O35" i="2"/>
  <c r="O460" i="2"/>
  <c r="P37" i="2"/>
  <c r="O44" i="2"/>
  <c r="Q82" i="2"/>
  <c r="O215" i="2"/>
  <c r="O156" i="2"/>
  <c r="O166" i="2"/>
  <c r="P246" i="2"/>
  <c r="Q338" i="2"/>
  <c r="Q360" i="2"/>
  <c r="P395" i="2"/>
  <c r="Q495" i="2"/>
  <c r="P33" i="2"/>
  <c r="P402" i="2"/>
  <c r="Q249" i="2"/>
  <c r="O251" i="2"/>
  <c r="Q276" i="2"/>
  <c r="Q235" i="2"/>
  <c r="Q206" i="2"/>
  <c r="P340" i="2"/>
  <c r="O404" i="2"/>
  <c r="P404" i="2"/>
  <c r="Q538" i="2"/>
  <c r="Q57" i="2"/>
  <c r="Q335" i="2"/>
  <c r="O235" i="2"/>
  <c r="O458" i="2"/>
  <c r="P260" i="2"/>
  <c r="O93" i="2"/>
  <c r="O95" i="2"/>
  <c r="O557" i="2"/>
  <c r="Q557" i="2"/>
  <c r="Q516" i="2"/>
  <c r="O140" i="2"/>
  <c r="O141" i="2"/>
  <c r="Q453" i="2"/>
  <c r="Q167" i="2"/>
  <c r="Q375" i="2"/>
  <c r="Q201" i="2"/>
  <c r="P324" i="2"/>
  <c r="Q314" i="2"/>
  <c r="O269" i="2"/>
  <c r="O498" i="2"/>
  <c r="Q44" i="2"/>
  <c r="O79" i="2"/>
  <c r="Q7" i="2"/>
  <c r="Q239" i="2"/>
  <c r="P168" i="2"/>
  <c r="O158" i="2"/>
  <c r="O146" i="2"/>
  <c r="O66" i="2"/>
  <c r="Q66" i="2"/>
  <c r="P32" i="2"/>
  <c r="P551" i="2"/>
  <c r="P138" i="2"/>
  <c r="O205" i="2"/>
  <c r="O213" i="2"/>
  <c r="Q265" i="2"/>
  <c r="O243" i="2"/>
  <c r="P243" i="2"/>
  <c r="Q280" i="2"/>
  <c r="Q226" i="2"/>
  <c r="P342" i="2"/>
  <c r="P364" i="2"/>
  <c r="O384" i="2"/>
  <c r="P397" i="2"/>
  <c r="P101" i="2"/>
  <c r="O423" i="2"/>
  <c r="P444" i="2"/>
  <c r="O59" i="2"/>
  <c r="O467" i="2"/>
  <c r="Q500" i="2"/>
  <c r="O502" i="2"/>
  <c r="O539" i="2"/>
  <c r="O554" i="2"/>
  <c r="Q178" i="2"/>
  <c r="O55" i="2"/>
  <c r="O90" i="2"/>
  <c r="M57" i="2"/>
  <c r="O276" i="2"/>
  <c r="O482" i="2"/>
  <c r="O347" i="2"/>
  <c r="O19" i="2"/>
  <c r="O23" i="2"/>
  <c r="O49" i="2"/>
  <c r="M121" i="2"/>
  <c r="O109" i="2"/>
  <c r="O160" i="2"/>
  <c r="Q257" i="2"/>
  <c r="Q9" i="2"/>
  <c r="Q38" i="2"/>
  <c r="M40" i="2"/>
  <c r="O155" i="2"/>
  <c r="Q68" i="2"/>
  <c r="Q81" i="2"/>
  <c r="M105" i="2"/>
  <c r="O130" i="2"/>
  <c r="O478" i="2"/>
  <c r="P170" i="2"/>
  <c r="Q183" i="2"/>
  <c r="Q198" i="2"/>
  <c r="O199" i="2"/>
  <c r="P205" i="2"/>
  <c r="O345" i="2"/>
  <c r="O221" i="2"/>
  <c r="M301" i="2"/>
  <c r="O301" i="2" s="1"/>
  <c r="O295" i="2"/>
  <c r="P233" i="2"/>
  <c r="O178" i="2"/>
  <c r="Q332" i="2"/>
  <c r="O333" i="2"/>
  <c r="O351" i="2"/>
  <c r="O353" i="2"/>
  <c r="O134" i="2"/>
  <c r="P371" i="2"/>
  <c r="P412" i="2"/>
  <c r="P447" i="2"/>
  <c r="Q468" i="2"/>
  <c r="O487" i="2"/>
  <c r="Q487" i="2"/>
  <c r="Q503" i="2"/>
  <c r="O512" i="2"/>
  <c r="P512" i="2"/>
  <c r="Q27" i="2"/>
  <c r="O29" i="2"/>
  <c r="O129" i="2"/>
  <c r="P405" i="2"/>
  <c r="O185" i="2"/>
  <c r="Q190" i="2"/>
  <c r="Q214" i="2"/>
  <c r="Q225" i="2"/>
  <c r="O284" i="2"/>
  <c r="Q153" i="2"/>
  <c r="O128" i="2"/>
  <c r="Q116" i="2"/>
  <c r="O431" i="2"/>
  <c r="P471" i="2"/>
  <c r="P488" i="2"/>
  <c r="O504" i="2"/>
  <c r="Q523" i="2"/>
  <c r="P472" i="2"/>
  <c r="P526" i="2"/>
  <c r="P546" i="2"/>
  <c r="P129" i="2"/>
  <c r="O516" i="2"/>
  <c r="P424" i="2"/>
  <c r="O402" i="2"/>
  <c r="P307" i="2"/>
  <c r="O252" i="2"/>
  <c r="P306" i="2"/>
  <c r="Q306" i="2"/>
  <c r="P209" i="2"/>
  <c r="O154" i="2"/>
  <c r="Q396" i="2"/>
  <c r="P396" i="2"/>
  <c r="Q59" i="2"/>
  <c r="P476" i="2"/>
  <c r="Q476" i="2"/>
  <c r="M508" i="2"/>
  <c r="M527" i="2"/>
  <c r="O527" i="2" s="1"/>
  <c r="M268" i="2"/>
  <c r="Q158" i="2"/>
  <c r="O145" i="2"/>
  <c r="P169" i="2"/>
  <c r="P196" i="2"/>
  <c r="Q196" i="2"/>
  <c r="P219" i="2"/>
  <c r="M255" i="2"/>
  <c r="Q252" i="2"/>
  <c r="O363" i="2"/>
  <c r="Q398" i="2"/>
  <c r="M416" i="2"/>
  <c r="M417" i="2"/>
  <c r="Q432" i="2"/>
  <c r="P432" i="2"/>
  <c r="Q448" i="2"/>
  <c r="P448" i="2"/>
  <c r="M510" i="2"/>
  <c r="M20" i="2"/>
  <c r="P433" i="2"/>
  <c r="Q382" i="2"/>
  <c r="M172" i="2"/>
  <c r="O172" i="2" s="1"/>
  <c r="P369" i="2"/>
  <c r="P289" i="2"/>
  <c r="Q289" i="2"/>
  <c r="P236" i="2"/>
  <c r="Q387" i="2"/>
  <c r="Q272" i="2"/>
  <c r="M385" i="2"/>
  <c r="O15" i="2"/>
  <c r="P97" i="2"/>
  <c r="O484" i="2"/>
  <c r="Q52" i="2"/>
  <c r="Q92" i="2"/>
  <c r="P26" i="2"/>
  <c r="P16" i="2"/>
  <c r="O17" i="2"/>
  <c r="O48" i="2"/>
  <c r="Q48" i="2"/>
  <c r="P79" i="2"/>
  <c r="O104" i="2"/>
  <c r="Q124" i="2"/>
  <c r="P145" i="2"/>
  <c r="Q414" i="2"/>
  <c r="P414" i="2"/>
  <c r="O167" i="2"/>
  <c r="M179" i="2"/>
  <c r="O197" i="2"/>
  <c r="M267" i="2"/>
  <c r="O218" i="2"/>
  <c r="P336" i="2"/>
  <c r="M364" i="2"/>
  <c r="M379" i="2"/>
  <c r="M168" i="2"/>
  <c r="O168" i="2" s="1"/>
  <c r="Q72" i="2"/>
  <c r="P72" i="2"/>
  <c r="M208" i="2"/>
  <c r="Q308" i="2"/>
  <c r="Q210" i="2"/>
  <c r="Q341" i="2"/>
  <c r="P341" i="2"/>
  <c r="P4" i="2"/>
  <c r="Q19" i="2"/>
  <c r="P24" i="2"/>
  <c r="O47" i="2"/>
  <c r="P146" i="2"/>
  <c r="Q117" i="2"/>
  <c r="M3" i="2"/>
  <c r="Q533" i="2"/>
  <c r="O7" i="2"/>
  <c r="P11" i="2"/>
  <c r="O433" i="2"/>
  <c r="Q358" i="2"/>
  <c r="P25" i="2"/>
  <c r="O27" i="2"/>
  <c r="Q30" i="2"/>
  <c r="M317" i="2"/>
  <c r="Q53" i="2"/>
  <c r="P53" i="2"/>
  <c r="Q155" i="2"/>
  <c r="O111" i="2"/>
  <c r="P118" i="2"/>
  <c r="Q130" i="2"/>
  <c r="P130" i="2"/>
  <c r="O148" i="2"/>
  <c r="M454" i="2"/>
  <c r="O452" i="2"/>
  <c r="Q160" i="2"/>
  <c r="P166" i="2"/>
  <c r="O174" i="2"/>
  <c r="O369" i="2"/>
  <c r="P193" i="2"/>
  <c r="Q240" i="2"/>
  <c r="Q269" i="2"/>
  <c r="P269" i="2"/>
  <c r="M285" i="2"/>
  <c r="Q295" i="2"/>
  <c r="Q327" i="2"/>
  <c r="P327" i="2"/>
  <c r="M332" i="2"/>
  <c r="O332" i="2" s="1"/>
  <c r="M348" i="2"/>
  <c r="P391" i="2"/>
  <c r="P410" i="2"/>
  <c r="Q410" i="2"/>
  <c r="M499" i="2"/>
  <c r="P41" i="2"/>
  <c r="Q51" i="2"/>
  <c r="P194" i="2"/>
  <c r="P310" i="2"/>
  <c r="Q310" i="2"/>
  <c r="M216" i="2"/>
  <c r="Q36" i="2"/>
  <c r="Q149" i="2"/>
  <c r="Q162" i="2"/>
  <c r="P162" i="2"/>
  <c r="P224" i="2"/>
  <c r="Q224" i="2"/>
  <c r="Q74" i="2"/>
  <c r="P74" i="2"/>
  <c r="O24" i="2"/>
  <c r="Q43" i="2"/>
  <c r="M65" i="2"/>
  <c r="O11" i="2"/>
  <c r="P21" i="2"/>
  <c r="M272" i="2"/>
  <c r="Q35" i="2"/>
  <c r="O36" i="2"/>
  <c r="O39" i="2"/>
  <c r="Q40" i="2"/>
  <c r="P49" i="2"/>
  <c r="O51" i="2"/>
  <c r="O165" i="2"/>
  <c r="M68" i="2"/>
  <c r="Q133" i="2"/>
  <c r="O108" i="2"/>
  <c r="P114" i="2"/>
  <c r="O537" i="2"/>
  <c r="Q125" i="2"/>
  <c r="O132" i="2"/>
  <c r="Q531" i="2"/>
  <c r="Q140" i="2"/>
  <c r="M382" i="2"/>
  <c r="O169" i="2"/>
  <c r="O222" i="2"/>
  <c r="Q247" i="2"/>
  <c r="Q254" i="2"/>
  <c r="P254" i="2"/>
  <c r="O260" i="2"/>
  <c r="Q241" i="2"/>
  <c r="O280" i="2"/>
  <c r="O288" i="2"/>
  <c r="O236" i="2"/>
  <c r="P303" i="2"/>
  <c r="Q303" i="2"/>
  <c r="P230" i="2"/>
  <c r="O359" i="2"/>
  <c r="P60" i="2"/>
  <c r="O533" i="2"/>
  <c r="Q519" i="2"/>
  <c r="P141" i="2"/>
  <c r="Q141" i="2"/>
  <c r="P165" i="2"/>
  <c r="P75" i="2"/>
  <c r="Q75" i="2"/>
  <c r="Q527" i="2"/>
  <c r="P527" i="2"/>
  <c r="Q528" i="2"/>
  <c r="P528" i="2"/>
  <c r="P69" i="2"/>
  <c r="Q105" i="2"/>
  <c r="Q28" i="2"/>
  <c r="P271" i="2"/>
  <c r="M33" i="2"/>
  <c r="O33" i="2" s="1"/>
  <c r="O4" i="2"/>
  <c r="O13" i="2"/>
  <c r="P17" i="2"/>
  <c r="Q22" i="2"/>
  <c r="P45" i="2"/>
  <c r="Q150" i="2"/>
  <c r="M63" i="2"/>
  <c r="Q111" i="2"/>
  <c r="Q96" i="2"/>
  <c r="M32" i="2"/>
  <c r="O32" i="2" s="1"/>
  <c r="Q126" i="2"/>
  <c r="O531" i="2"/>
  <c r="Q148" i="2"/>
  <c r="P452" i="2"/>
  <c r="Q173" i="2"/>
  <c r="P173" i="2"/>
  <c r="Q174" i="2"/>
  <c r="P184" i="2"/>
  <c r="Q184" i="2"/>
  <c r="Q186" i="2"/>
  <c r="P186" i="2"/>
  <c r="P345" i="2"/>
  <c r="Q345" i="2"/>
  <c r="M214" i="2"/>
  <c r="M300" i="2"/>
  <c r="P290" i="2"/>
  <c r="Q263" i="2"/>
  <c r="Q273" i="2"/>
  <c r="O230" i="2"/>
  <c r="M356" i="2"/>
  <c r="M357" i="2"/>
  <c r="Q372" i="2"/>
  <c r="P372" i="2"/>
  <c r="M390" i="2"/>
  <c r="M391" i="2"/>
  <c r="M401" i="2"/>
  <c r="Q423" i="2"/>
  <c r="P423" i="2"/>
  <c r="P425" i="2"/>
  <c r="O491" i="2"/>
  <c r="P330" i="2"/>
  <c r="O217" i="2"/>
  <c r="M315" i="2"/>
  <c r="O315" i="2" s="1"/>
  <c r="M290" i="2"/>
  <c r="Q275" i="2"/>
  <c r="P264" i="2"/>
  <c r="P288" i="2"/>
  <c r="P319" i="2"/>
  <c r="M152" i="2"/>
  <c r="O349" i="2"/>
  <c r="Q352" i="2"/>
  <c r="P368" i="2"/>
  <c r="O374" i="2"/>
  <c r="M386" i="2"/>
  <c r="M479" i="2"/>
  <c r="Q491" i="2"/>
  <c r="O41" i="2"/>
  <c r="O69" i="2"/>
  <c r="O85" i="2"/>
  <c r="Q104" i="2"/>
  <c r="P109" i="2"/>
  <c r="O125" i="2"/>
  <c r="P217" i="2"/>
  <c r="P256" i="2"/>
  <c r="O257" i="2"/>
  <c r="O241" i="2"/>
  <c r="P232" i="2"/>
  <c r="O312" i="2"/>
  <c r="O210" i="2"/>
  <c r="O336" i="2"/>
  <c r="P128" i="2"/>
  <c r="Q122" i="2"/>
  <c r="O430" i="2"/>
  <c r="O445" i="2"/>
  <c r="P62" i="2"/>
  <c r="Q62" i="2"/>
  <c r="O456" i="2"/>
  <c r="O472" i="2"/>
  <c r="P504" i="2"/>
  <c r="O507" i="2"/>
  <c r="O383" i="2"/>
  <c r="O396" i="2"/>
  <c r="Q400" i="2"/>
  <c r="O409" i="2"/>
  <c r="O415" i="2"/>
  <c r="Q415" i="2"/>
  <c r="O422" i="2"/>
  <c r="M427" i="2"/>
  <c r="O432" i="2"/>
  <c r="M71" i="2"/>
  <c r="P463" i="2"/>
  <c r="M470" i="2"/>
  <c r="O475" i="2"/>
  <c r="Q483" i="2"/>
  <c r="P518" i="2"/>
  <c r="Q518" i="2"/>
  <c r="O77" i="2"/>
  <c r="O92" i="2"/>
  <c r="O103" i="2"/>
  <c r="O26" i="2"/>
  <c r="O551" i="2"/>
  <c r="O124" i="2"/>
  <c r="O138" i="2"/>
  <c r="O453" i="2"/>
  <c r="Q172" i="2"/>
  <c r="P376" i="2"/>
  <c r="O193" i="2"/>
  <c r="M196" i="2"/>
  <c r="P202" i="2"/>
  <c r="Q208" i="2"/>
  <c r="M323" i="2"/>
  <c r="M302" i="2"/>
  <c r="O302" i="2" s="1"/>
  <c r="Q300" i="2"/>
  <c r="P245" i="2"/>
  <c r="M242" i="2"/>
  <c r="O242" i="2" s="1"/>
  <c r="Q284" i="2"/>
  <c r="P284" i="2"/>
  <c r="O234" i="2"/>
  <c r="O322" i="2"/>
  <c r="O153" i="2"/>
  <c r="P356" i="2"/>
  <c r="M400" i="2"/>
  <c r="Q422" i="2"/>
  <c r="P431" i="2"/>
  <c r="M462" i="2"/>
  <c r="P465" i="2"/>
  <c r="Q486" i="2"/>
  <c r="P497" i="2"/>
  <c r="O367" i="2"/>
  <c r="M377" i="2"/>
  <c r="O410" i="2"/>
  <c r="M443" i="2"/>
  <c r="Q458" i="2"/>
  <c r="Q464" i="2"/>
  <c r="P464" i="2"/>
  <c r="M495" i="2"/>
  <c r="Q496" i="2"/>
  <c r="P496" i="2"/>
  <c r="O181" i="2"/>
  <c r="P185" i="2"/>
  <c r="O212" i="2"/>
  <c r="P316" i="2"/>
  <c r="Q313" i="2"/>
  <c r="P304" i="2"/>
  <c r="P292" i="2"/>
  <c r="O265" i="2"/>
  <c r="P251" i="2"/>
  <c r="O264" i="2"/>
  <c r="O245" i="2"/>
  <c r="P297" i="2"/>
  <c r="Q231" i="2"/>
  <c r="O180" i="2"/>
  <c r="O151" i="2"/>
  <c r="O360" i="2"/>
  <c r="P365" i="2"/>
  <c r="Q394" i="2"/>
  <c r="O398" i="2"/>
  <c r="O91" i="2"/>
  <c r="P87" i="2"/>
  <c r="O435" i="2"/>
  <c r="Q442" i="2"/>
  <c r="M455" i="2"/>
  <c r="Q461" i="2"/>
  <c r="O468" i="2"/>
  <c r="Q492" i="2"/>
  <c r="Q498" i="2"/>
  <c r="Q524" i="2"/>
  <c r="O525" i="2"/>
  <c r="O346" i="2"/>
  <c r="O204" i="2"/>
  <c r="Q213" i="2"/>
  <c r="Q222" i="2"/>
  <c r="O314" i="2"/>
  <c r="O304" i="2"/>
  <c r="O303" i="2"/>
  <c r="O319" i="2"/>
  <c r="P333" i="2"/>
  <c r="Q339" i="2"/>
  <c r="P349" i="2"/>
  <c r="O361" i="2"/>
  <c r="O372" i="2"/>
  <c r="P380" i="2"/>
  <c r="Q390" i="2"/>
  <c r="O395" i="2"/>
  <c r="O116" i="2"/>
  <c r="Q100" i="2"/>
  <c r="O434" i="2"/>
  <c r="O83" i="2"/>
  <c r="P456" i="2"/>
  <c r="P480" i="2"/>
  <c r="O500" i="2"/>
  <c r="Q10" i="2"/>
  <c r="P10" i="2"/>
  <c r="P541" i="2"/>
  <c r="Q541" i="2"/>
  <c r="Q56" i="2"/>
  <c r="O464" i="2"/>
  <c r="O477" i="2"/>
  <c r="Q507" i="2"/>
  <c r="O515" i="2"/>
  <c r="O517" i="2"/>
  <c r="Q525" i="2"/>
  <c r="Q536" i="2"/>
  <c r="P543" i="2"/>
  <c r="P535" i="2"/>
  <c r="Q426" i="2"/>
  <c r="O451" i="2"/>
  <c r="P469" i="2"/>
  <c r="Q469" i="2"/>
  <c r="M476" i="2"/>
  <c r="O483" i="2"/>
  <c r="O485" i="2"/>
  <c r="Q490" i="2"/>
  <c r="O481" i="2"/>
  <c r="O88" i="2"/>
  <c r="O541" i="2"/>
  <c r="O446" i="2"/>
  <c r="O463" i="2"/>
  <c r="O473" i="2"/>
  <c r="O480" i="2"/>
  <c r="O492" i="2"/>
  <c r="O509" i="2"/>
  <c r="P520" i="2"/>
  <c r="Q293" i="2"/>
  <c r="O521" i="2"/>
  <c r="O523" i="2"/>
  <c r="U23" i="3"/>
  <c r="U158" i="3"/>
  <c r="U199" i="3"/>
  <c r="U270" i="3"/>
  <c r="U342" i="3"/>
  <c r="U414" i="3"/>
  <c r="U424" i="3"/>
  <c r="U438" i="3"/>
  <c r="U448" i="3"/>
  <c r="U462" i="3"/>
  <c r="U495" i="3"/>
  <c r="U515" i="3"/>
  <c r="U804" i="3"/>
  <c r="U828" i="3"/>
  <c r="U1042" i="3"/>
  <c r="U1146" i="3"/>
  <c r="U532" i="3"/>
  <c r="U938" i="3"/>
  <c r="U978" i="3"/>
  <c r="U1002" i="3"/>
  <c r="U1066" i="3"/>
  <c r="U1170" i="3"/>
  <c r="U55" i="3"/>
  <c r="U302" i="3"/>
  <c r="U350" i="3"/>
  <c r="U360" i="3"/>
  <c r="U586" i="3"/>
  <c r="U908" i="3"/>
  <c r="U1026" i="3"/>
  <c r="U1090" i="3"/>
  <c r="U1130" i="3"/>
  <c r="P554" i="2"/>
  <c r="U87" i="3"/>
  <c r="U142" i="3"/>
  <c r="U190" i="3"/>
  <c r="U285" i="3"/>
  <c r="U392" i="3"/>
  <c r="U422" i="3"/>
  <c r="U432" i="3"/>
  <c r="U446" i="3"/>
  <c r="U604" i="3"/>
  <c r="U611" i="3"/>
  <c r="U628" i="3"/>
  <c r="U635" i="3"/>
  <c r="U642" i="3"/>
  <c r="U659" i="3"/>
  <c r="U666" i="3"/>
  <c r="U700" i="3"/>
  <c r="U714" i="3"/>
  <c r="U738" i="3"/>
  <c r="U788" i="3"/>
  <c r="U860" i="3"/>
  <c r="U874" i="3"/>
  <c r="U898" i="3"/>
  <c r="U922" i="3"/>
  <c r="U962" i="3"/>
  <c r="U1171" i="3"/>
  <c r="U1074" i="3"/>
  <c r="U1114" i="3"/>
  <c r="U1178" i="3"/>
  <c r="O293" i="2"/>
  <c r="U167" i="3"/>
  <c r="U231" i="3"/>
  <c r="U286" i="3"/>
  <c r="U358" i="3"/>
  <c r="U406" i="3"/>
  <c r="U416" i="3"/>
  <c r="U454" i="3"/>
  <c r="U464" i="3"/>
  <c r="U487" i="3"/>
  <c r="U530" i="3"/>
  <c r="U546" i="3"/>
  <c r="U636" i="3"/>
  <c r="U643" i="3"/>
  <c r="U660" i="3"/>
  <c r="U667" i="3"/>
  <c r="U674" i="3"/>
  <c r="U708" i="3"/>
  <c r="U732" i="3"/>
  <c r="U746" i="3"/>
  <c r="U796" i="3"/>
  <c r="U868" i="3"/>
  <c r="U892" i="3"/>
  <c r="U1004" i="3"/>
  <c r="U1058" i="3"/>
  <c r="U1179" i="3"/>
  <c r="U332" i="3"/>
  <c r="U429" i="3"/>
  <c r="U11" i="3"/>
  <c r="U43" i="3"/>
  <c r="U139" i="3"/>
  <c r="U148" i="3"/>
  <c r="U171" i="3"/>
  <c r="U180" i="3"/>
  <c r="U235" i="3"/>
  <c r="U267" i="3"/>
  <c r="U276" i="3"/>
  <c r="U308" i="3"/>
  <c r="U323" i="3"/>
  <c r="U357" i="3"/>
  <c r="U469" i="3"/>
  <c r="U437" i="3"/>
  <c r="U496" i="3"/>
  <c r="U315" i="3"/>
  <c r="U365" i="3"/>
  <c r="U4" i="3"/>
  <c r="U59" i="3"/>
  <c r="U100" i="3"/>
  <c r="U123" i="3"/>
  <c r="U132" i="3"/>
  <c r="U155" i="3"/>
  <c r="U164" i="3"/>
  <c r="U228" i="3"/>
  <c r="U251" i="3"/>
  <c r="U260" i="3"/>
  <c r="U283" i="3"/>
  <c r="U421" i="3"/>
  <c r="U480" i="3"/>
  <c r="U461" i="3"/>
  <c r="U551" i="3"/>
  <c r="U567" i="3"/>
  <c r="U691" i="3"/>
  <c r="U851" i="3"/>
  <c r="U915" i="3"/>
  <c r="U995" i="3"/>
  <c r="U811" i="3"/>
  <c r="U875" i="3"/>
  <c r="U939" i="3"/>
  <c r="U527" i="3"/>
  <c r="U739" i="3"/>
  <c r="U835" i="3"/>
  <c r="U1003" i="3"/>
  <c r="U763" i="3"/>
  <c r="U683" i="3"/>
  <c r="U747" i="3"/>
  <c r="U843" i="3"/>
  <c r="U907" i="3"/>
  <c r="U987" i="3"/>
  <c r="U931" i="3"/>
  <c r="O16" i="2"/>
  <c r="O25" i="2"/>
  <c r="O67" i="2"/>
  <c r="Q102" i="2"/>
  <c r="P102" i="2"/>
  <c r="M127" i="2"/>
  <c r="Q547" i="2"/>
  <c r="P547" i="2"/>
  <c r="Q132" i="2"/>
  <c r="Q136" i="2"/>
  <c r="P136" i="2"/>
  <c r="Q144" i="2"/>
  <c r="P144" i="2"/>
  <c r="M163" i="2"/>
  <c r="P13" i="2"/>
  <c r="P78" i="2"/>
  <c r="P5" i="2"/>
  <c r="O9" i="2"/>
  <c r="O14" i="2"/>
  <c r="P18" i="2"/>
  <c r="O22" i="2"/>
  <c r="P344" i="2"/>
  <c r="O30" i="2"/>
  <c r="P34" i="2"/>
  <c r="O38" i="2"/>
  <c r="P42" i="2"/>
  <c r="O239" i="2"/>
  <c r="P50" i="2"/>
  <c r="O189" i="2"/>
  <c r="P159" i="2"/>
  <c r="O150" i="2"/>
  <c r="O123" i="2"/>
  <c r="Q121" i="2"/>
  <c r="O75" i="2"/>
  <c r="P80" i="2"/>
  <c r="M89" i="2"/>
  <c r="M98" i="2"/>
  <c r="Q99" i="2"/>
  <c r="P99" i="2"/>
  <c r="M102" i="2"/>
  <c r="O126" i="2"/>
  <c r="O547" i="2"/>
  <c r="O136" i="2"/>
  <c r="O144" i="2"/>
  <c r="P549" i="2"/>
  <c r="P484" i="2"/>
  <c r="P15" i="2"/>
  <c r="P23" i="2"/>
  <c r="P317" i="2"/>
  <c r="P39" i="2"/>
  <c r="P47" i="2"/>
  <c r="P55" i="2"/>
  <c r="O143" i="2"/>
  <c r="P143" i="2"/>
  <c r="P67" i="2"/>
  <c r="Q85" i="2"/>
  <c r="P85" i="2"/>
  <c r="Q90" i="2"/>
  <c r="P90" i="2"/>
  <c r="Q94" i="2"/>
  <c r="O99" i="2"/>
  <c r="Q103" i="2"/>
  <c r="Q110" i="2"/>
  <c r="P110" i="2"/>
  <c r="Q115" i="2"/>
  <c r="P115" i="2"/>
  <c r="O558" i="2"/>
  <c r="M408" i="2"/>
  <c r="M177" i="2"/>
  <c r="M186" i="2"/>
  <c r="Q89" i="2"/>
  <c r="P93" i="2"/>
  <c r="O74" i="2"/>
  <c r="P65" i="2"/>
  <c r="M94" i="2"/>
  <c r="M110" i="2"/>
  <c r="Q29" i="2"/>
  <c r="P29" i="2"/>
  <c r="M115" i="2"/>
  <c r="P182" i="2"/>
  <c r="Q182" i="2"/>
  <c r="P228" i="2"/>
  <c r="Q228" i="2"/>
  <c r="M106" i="2"/>
  <c r="Q107" i="2"/>
  <c r="P107" i="2"/>
  <c r="Q112" i="2"/>
  <c r="P112" i="2"/>
  <c r="Q550" i="2"/>
  <c r="P550" i="2"/>
  <c r="Q207" i="2"/>
  <c r="P207" i="2"/>
  <c r="M224" i="2"/>
  <c r="M289" i="2"/>
  <c r="O511" i="2"/>
  <c r="O21" i="2"/>
  <c r="O61" i="2"/>
  <c r="Q77" i="2"/>
  <c r="P77" i="2"/>
  <c r="O84" i="2"/>
  <c r="O5" i="2"/>
  <c r="O18" i="2"/>
  <c r="O344" i="2"/>
  <c r="M329" i="2"/>
  <c r="O34" i="2"/>
  <c r="M37" i="2"/>
  <c r="O37" i="2" s="1"/>
  <c r="O42" i="2"/>
  <c r="M45" i="2"/>
  <c r="O50" i="2"/>
  <c r="M53" i="2"/>
  <c r="O159" i="2"/>
  <c r="M72" i="2"/>
  <c r="M78" i="2"/>
  <c r="O80" i="2"/>
  <c r="O76" i="2"/>
  <c r="Q95" i="2"/>
  <c r="O96" i="2"/>
  <c r="O107" i="2"/>
  <c r="O112" i="2"/>
  <c r="M550" i="2"/>
  <c r="M437" i="2"/>
  <c r="M70" i="2"/>
  <c r="M81" i="2"/>
  <c r="O133" i="2"/>
  <c r="O120" i="2"/>
  <c r="O82" i="2"/>
  <c r="M559" i="2"/>
  <c r="Q558" i="2"/>
  <c r="P558" i="2"/>
  <c r="Q534" i="2"/>
  <c r="P534" i="2"/>
  <c r="M519" i="2"/>
  <c r="Q139" i="2"/>
  <c r="P139" i="2"/>
  <c r="M142" i="2"/>
  <c r="Q147" i="2"/>
  <c r="P147" i="2"/>
  <c r="Q454" i="2"/>
  <c r="P454" i="2"/>
  <c r="P221" i="2"/>
  <c r="Q221" i="2"/>
  <c r="M534" i="2"/>
  <c r="M139" i="2"/>
  <c r="M147" i="2"/>
  <c r="P175" i="2"/>
  <c r="Q175" i="2"/>
  <c r="M296" i="2"/>
  <c r="O135" i="2"/>
  <c r="O513" i="2"/>
  <c r="O459" i="2"/>
  <c r="P437" i="2"/>
  <c r="O414" i="2"/>
  <c r="O162" i="2"/>
  <c r="O176" i="2"/>
  <c r="O183" i="2"/>
  <c r="O190" i="2"/>
  <c r="Q199" i="2"/>
  <c r="P199" i="2"/>
  <c r="M310" i="2"/>
  <c r="P302" i="2"/>
  <c r="Q302" i="2"/>
  <c r="P253" i="2"/>
  <c r="Q253" i="2"/>
  <c r="M254" i="2"/>
  <c r="P266" i="2"/>
  <c r="M299" i="2"/>
  <c r="P403" i="2"/>
  <c r="O170" i="2"/>
  <c r="O375" i="2"/>
  <c r="P187" i="2"/>
  <c r="O330" i="2"/>
  <c r="M240" i="2"/>
  <c r="Q244" i="2"/>
  <c r="P244" i="2"/>
  <c r="Q259" i="2"/>
  <c r="O424" i="2"/>
  <c r="O403" i="2"/>
  <c r="O187" i="2"/>
  <c r="O194" i="2"/>
  <c r="P197" i="2"/>
  <c r="O202" i="2"/>
  <c r="O220" i="2"/>
  <c r="Q301" i="2"/>
  <c r="Q238" i="2"/>
  <c r="Q279" i="2"/>
  <c r="Q286" i="2"/>
  <c r="P286" i="2"/>
  <c r="O466" i="2"/>
  <c r="P436" i="2"/>
  <c r="O405" i="2"/>
  <c r="P171" i="2"/>
  <c r="O184" i="2"/>
  <c r="P188" i="2"/>
  <c r="O191" i="2"/>
  <c r="O198" i="2"/>
  <c r="O200" i="2"/>
  <c r="P211" i="2"/>
  <c r="O324" i="2"/>
  <c r="O228" i="2"/>
  <c r="O311" i="2"/>
  <c r="M274" i="2"/>
  <c r="M278" i="2"/>
  <c r="Q161" i="2"/>
  <c r="P161" i="2"/>
  <c r="P98" i="2"/>
  <c r="P106" i="2"/>
  <c r="P559" i="2"/>
  <c r="P127" i="2"/>
  <c r="P135" i="2"/>
  <c r="P513" i="2"/>
  <c r="P459" i="2"/>
  <c r="O436" i="2"/>
  <c r="O171" i="2"/>
  <c r="O376" i="2"/>
  <c r="P181" i="2"/>
  <c r="O188" i="2"/>
  <c r="P195" i="2"/>
  <c r="P203" i="2"/>
  <c r="O211" i="2"/>
  <c r="O225" i="2"/>
  <c r="O316" i="2"/>
  <c r="O249" i="2"/>
  <c r="O175" i="2"/>
  <c r="O182" i="2"/>
  <c r="O195" i="2"/>
  <c r="O203" i="2"/>
  <c r="O207" i="2"/>
  <c r="P212" i="2"/>
  <c r="Q212" i="2"/>
  <c r="O219" i="2"/>
  <c r="O308" i="2"/>
  <c r="O307" i="2"/>
  <c r="O256" i="2"/>
  <c r="P179" i="2"/>
  <c r="Q204" i="2"/>
  <c r="M328" i="2"/>
  <c r="P220" i="2"/>
  <c r="Q220" i="2"/>
  <c r="Q255" i="2"/>
  <c r="P255" i="2"/>
  <c r="M250" i="2"/>
  <c r="O262" i="2"/>
  <c r="O275" i="2"/>
  <c r="P258" i="2"/>
  <c r="M282" i="2"/>
  <c r="Q283" i="2"/>
  <c r="Q294" i="2"/>
  <c r="P294" i="2"/>
  <c r="M226" i="2"/>
  <c r="M338" i="2"/>
  <c r="O246" i="2"/>
  <c r="M258" i="2"/>
  <c r="Q274" i="2"/>
  <c r="P274" i="2"/>
  <c r="O281" i="2"/>
  <c r="O283" i="2"/>
  <c r="M294" i="2"/>
  <c r="P298" i="2"/>
  <c r="Q298" i="2"/>
  <c r="O232" i="2"/>
  <c r="O227" i="2"/>
  <c r="Q180" i="2"/>
  <c r="P374" i="2"/>
  <c r="O248" i="2"/>
  <c r="O259" i="2"/>
  <c r="M266" i="2"/>
  <c r="O273" i="2"/>
  <c r="O238" i="2"/>
  <c r="M286" i="2"/>
  <c r="Q287" i="2"/>
  <c r="O233" i="2"/>
  <c r="O309" i="2"/>
  <c r="Q223" i="2"/>
  <c r="P223" i="2"/>
  <c r="Q113" i="2"/>
  <c r="P113" i="2"/>
  <c r="Q435" i="2"/>
  <c r="P435" i="2"/>
  <c r="Q262" i="2"/>
  <c r="P262" i="2"/>
  <c r="Q267" i="2"/>
  <c r="Q278" i="2"/>
  <c r="P278" i="2"/>
  <c r="O287" i="2"/>
  <c r="M192" i="2"/>
  <c r="Q318" i="2"/>
  <c r="P318" i="2"/>
  <c r="M157" i="2"/>
  <c r="Q331" i="2"/>
  <c r="P331" i="2"/>
  <c r="M370" i="2"/>
  <c r="P401" i="2"/>
  <c r="Q401" i="2"/>
  <c r="Q237" i="2"/>
  <c r="P237" i="2"/>
  <c r="O229" i="2"/>
  <c r="Q312" i="2"/>
  <c r="O206" i="2"/>
  <c r="O325" i="2"/>
  <c r="P367" i="2"/>
  <c r="M397" i="2"/>
  <c r="P215" i="2"/>
  <c r="P323" i="2"/>
  <c r="P311" i="2"/>
  <c r="P296" i="2"/>
  <c r="O244" i="2"/>
  <c r="O253" i="2"/>
  <c r="O261" i="2"/>
  <c r="Q270" i="2"/>
  <c r="P270" i="2"/>
  <c r="O277" i="2"/>
  <c r="O279" i="2"/>
  <c r="M237" i="2"/>
  <c r="Q291" i="2"/>
  <c r="Q337" i="2"/>
  <c r="P337" i="2"/>
  <c r="P427" i="2"/>
  <c r="Q427" i="2"/>
  <c r="O247" i="2"/>
  <c r="O263" i="2"/>
  <c r="M270" i="2"/>
  <c r="Q242" i="2"/>
  <c r="Q282" i="2"/>
  <c r="P282" i="2"/>
  <c r="O291" i="2"/>
  <c r="Q320" i="2"/>
  <c r="P320" i="2"/>
  <c r="Q321" i="2"/>
  <c r="P321" i="2"/>
  <c r="M342" i="2"/>
  <c r="M440" i="2"/>
  <c r="P445" i="2"/>
  <c r="Q445" i="2"/>
  <c r="P477" i="2"/>
  <c r="Q477" i="2"/>
  <c r="M497" i="2"/>
  <c r="Q510" i="2"/>
  <c r="O298" i="2"/>
  <c r="P299" i="2"/>
  <c r="P192" i="2"/>
  <c r="O320" i="2"/>
  <c r="O161" i="2"/>
  <c r="Q157" i="2"/>
  <c r="O331" i="2"/>
  <c r="O337" i="2"/>
  <c r="O341" i="2"/>
  <c r="O343" i="2"/>
  <c r="P353" i="2"/>
  <c r="O355" i="2"/>
  <c r="Q362" i="2"/>
  <c r="O365" i="2"/>
  <c r="O368" i="2"/>
  <c r="P377" i="2"/>
  <c r="Q377" i="2"/>
  <c r="Q383" i="2"/>
  <c r="P409" i="2"/>
  <c r="Q409" i="2"/>
  <c r="Q416" i="2"/>
  <c r="P416" i="2"/>
  <c r="O439" i="2"/>
  <c r="Q446" i="2"/>
  <c r="O447" i="2"/>
  <c r="O60" i="2"/>
  <c r="P540" i="2"/>
  <c r="Q540" i="2"/>
  <c r="O334" i="2"/>
  <c r="P334" i="2"/>
  <c r="P343" i="2"/>
  <c r="O350" i="2"/>
  <c r="P359" i="2"/>
  <c r="M362" i="2"/>
  <c r="O378" i="2"/>
  <c r="P119" i="2"/>
  <c r="Q119" i="2"/>
  <c r="P406" i="2"/>
  <c r="O411" i="2"/>
  <c r="Q91" i="2"/>
  <c r="M425" i="2"/>
  <c r="Q428" i="2"/>
  <c r="P428" i="2"/>
  <c r="Q449" i="2"/>
  <c r="P449" i="2"/>
  <c r="Q499" i="2"/>
  <c r="P499" i="2"/>
  <c r="Q354" i="2"/>
  <c r="Q384" i="2"/>
  <c r="P384" i="2"/>
  <c r="Q399" i="2"/>
  <c r="P399" i="2"/>
  <c r="Q413" i="2"/>
  <c r="P413" i="2"/>
  <c r="Q429" i="2"/>
  <c r="M438" i="2"/>
  <c r="M469" i="2"/>
  <c r="Q475" i="2"/>
  <c r="M505" i="2"/>
  <c r="O297" i="2"/>
  <c r="O306" i="2"/>
  <c r="O318" i="2"/>
  <c r="O164" i="2"/>
  <c r="P156" i="2"/>
  <c r="O340" i="2"/>
  <c r="P154" i="2"/>
  <c r="P351" i="2"/>
  <c r="M354" i="2"/>
  <c r="Q363" i="2"/>
  <c r="Q131" i="2"/>
  <c r="Q392" i="2"/>
  <c r="O393" i="2"/>
  <c r="Q407" i="2"/>
  <c r="O101" i="2"/>
  <c r="P443" i="2"/>
  <c r="Q443" i="2"/>
  <c r="M46" i="2"/>
  <c r="P218" i="2"/>
  <c r="O352" i="2"/>
  <c r="P134" i="2"/>
  <c r="Q381" i="2"/>
  <c r="P381" i="2"/>
  <c r="O418" i="2"/>
  <c r="P430" i="2"/>
  <c r="Q430" i="2"/>
  <c r="M448" i="2"/>
  <c r="M465" i="2"/>
  <c r="O231" i="2"/>
  <c r="P309" i="2"/>
  <c r="M223" i="2"/>
  <c r="O321" i="2"/>
  <c r="Q322" i="2"/>
  <c r="Q151" i="2"/>
  <c r="Q355" i="2"/>
  <c r="M137" i="2"/>
  <c r="M371" i="2"/>
  <c r="Q373" i="2"/>
  <c r="P373" i="2"/>
  <c r="O388" i="2"/>
  <c r="O394" i="2"/>
  <c r="O412" i="2"/>
  <c r="P434" i="2"/>
  <c r="M441" i="2"/>
  <c r="M62" i="2"/>
  <c r="O62" i="2" s="1"/>
  <c r="M501" i="2"/>
  <c r="O326" i="2"/>
  <c r="P361" i="2"/>
  <c r="O366" i="2"/>
  <c r="P370" i="2"/>
  <c r="Q370" i="2"/>
  <c r="M461" i="2"/>
  <c r="Q467" i="2"/>
  <c r="P467" i="2"/>
  <c r="P482" i="2"/>
  <c r="M503" i="2"/>
  <c r="O399" i="2"/>
  <c r="P64" i="2"/>
  <c r="Q64" i="2"/>
  <c r="P474" i="2"/>
  <c r="Q58" i="2"/>
  <c r="P502" i="2"/>
  <c r="Q502" i="2"/>
  <c r="P506" i="2"/>
  <c r="M518" i="2"/>
  <c r="M536" i="2"/>
  <c r="Q385" i="2"/>
  <c r="O389" i="2"/>
  <c r="P389" i="2"/>
  <c r="O100" i="2"/>
  <c r="Q417" i="2"/>
  <c r="O421" i="2"/>
  <c r="P421" i="2"/>
  <c r="O429" i="2"/>
  <c r="Q83" i="2"/>
  <c r="P450" i="2"/>
  <c r="Q460" i="2"/>
  <c r="O58" i="2"/>
  <c r="M486" i="2"/>
  <c r="P6" i="2"/>
  <c r="O381" i="2"/>
  <c r="O413" i="2"/>
  <c r="Q451" i="2"/>
  <c r="Q457" i="2"/>
  <c r="P457" i="2"/>
  <c r="M520" i="2"/>
  <c r="M526" i="2"/>
  <c r="M514" i="2"/>
  <c r="P137" i="2"/>
  <c r="P366" i="2"/>
  <c r="O373" i="2"/>
  <c r="Q386" i="2"/>
  <c r="O387" i="2"/>
  <c r="O119" i="2"/>
  <c r="O113" i="2"/>
  <c r="Q418" i="2"/>
  <c r="O419" i="2"/>
  <c r="O428" i="2"/>
  <c r="P86" i="2"/>
  <c r="O444" i="2"/>
  <c r="M471" i="2"/>
  <c r="O471" i="2" s="1"/>
  <c r="O493" i="2"/>
  <c r="O494" i="2"/>
  <c r="P2" i="2"/>
  <c r="O524" i="2"/>
  <c r="O131" i="2"/>
  <c r="O122" i="2"/>
  <c r="O406" i="2"/>
  <c r="O87" i="2"/>
  <c r="M86" i="2"/>
  <c r="P71" i="2"/>
  <c r="P470" i="2"/>
  <c r="Q470" i="2"/>
  <c r="P473" i="2"/>
  <c r="P46" i="2"/>
  <c r="M488" i="2"/>
  <c r="Q501" i="2"/>
  <c r="P505" i="2"/>
  <c r="M2" i="2"/>
  <c r="Q532" i="2"/>
  <c r="O535" i="2"/>
  <c r="Q347" i="2"/>
  <c r="O542" i="2"/>
  <c r="M544" i="2"/>
  <c r="Q305" i="2"/>
  <c r="O553" i="2"/>
  <c r="O506" i="2"/>
  <c r="P522" i="2"/>
  <c r="P529" i="2"/>
  <c r="M532" i="2"/>
  <c r="Q548" i="2"/>
  <c r="P548" i="2"/>
  <c r="M560" i="2"/>
  <c r="O450" i="2"/>
  <c r="Q485" i="2"/>
  <c r="O489" i="2"/>
  <c r="P489" i="2"/>
  <c r="Q517" i="2"/>
  <c r="O522" i="2"/>
  <c r="O538" i="2"/>
  <c r="Q73" i="2"/>
  <c r="P530" i="2"/>
  <c r="Q556" i="2"/>
  <c r="P556" i="2"/>
  <c r="O449" i="2"/>
  <c r="Q462" i="2"/>
  <c r="O54" i="2"/>
  <c r="P54" i="2"/>
  <c r="Q494" i="2"/>
  <c r="Q509" i="2"/>
  <c r="O8" i="2"/>
  <c r="P8" i="2"/>
  <c r="O530" i="2"/>
  <c r="P539" i="2"/>
  <c r="P545" i="2"/>
  <c r="O12" i="2"/>
  <c r="O543" i="2"/>
  <c r="O545" i="2"/>
  <c r="O442" i="2"/>
  <c r="O64" i="2"/>
  <c r="M457" i="2"/>
  <c r="O474" i="2"/>
  <c r="O6" i="2"/>
  <c r="P521" i="2"/>
  <c r="O528" i="2"/>
  <c r="P481" i="2"/>
  <c r="M540" i="2"/>
  <c r="O546" i="2"/>
  <c r="P31" i="2"/>
  <c r="M552" i="2"/>
  <c r="O31" i="2"/>
  <c r="P268" i="2"/>
  <c r="O555" i="2"/>
  <c r="P12" i="2"/>
  <c r="O305" i="2"/>
  <c r="P553" i="2"/>
  <c r="O73" i="2"/>
  <c r="P514" i="2"/>
  <c r="P544" i="2"/>
  <c r="O548" i="2"/>
  <c r="P552" i="2"/>
  <c r="O556" i="2"/>
  <c r="P560" i="2"/>
  <c r="O382" i="2" l="1"/>
  <c r="O448" i="2"/>
  <c r="O267" i="2"/>
  <c r="O317" i="2"/>
  <c r="O454" i="2"/>
  <c r="O216" i="2"/>
  <c r="O364" i="2"/>
  <c r="O385" i="2"/>
  <c r="O57" i="2"/>
  <c r="O70" i="2"/>
  <c r="O329" i="2"/>
  <c r="O417" i="2"/>
  <c r="O529" i="2"/>
  <c r="O53" i="2"/>
  <c r="O495" i="2"/>
  <c r="O68" i="2"/>
  <c r="O78" i="2"/>
  <c r="O348" i="2"/>
  <c r="O3" i="2"/>
  <c r="O479" i="2"/>
  <c r="O390" i="2"/>
  <c r="O470" i="2"/>
  <c r="O441" i="2"/>
  <c r="O196" i="2"/>
  <c r="O338" i="2"/>
  <c r="O520" i="2"/>
  <c r="O45" i="2"/>
  <c r="O401" i="2"/>
  <c r="O357" i="2"/>
  <c r="O416" i="2"/>
  <c r="O105" i="2"/>
  <c r="O121" i="2"/>
  <c r="O427" i="2"/>
  <c r="O544" i="2"/>
  <c r="O250" i="2"/>
  <c r="O72" i="2"/>
  <c r="O536" i="2"/>
  <c r="O278" i="2"/>
  <c r="O81" i="2"/>
  <c r="O224" i="2"/>
  <c r="O455" i="2"/>
  <c r="O377" i="2"/>
  <c r="O65" i="2"/>
  <c r="O386" i="2"/>
  <c r="O476" i="2"/>
  <c r="O40" i="2"/>
  <c r="O518" i="2"/>
  <c r="O274" i="2"/>
  <c r="O272" i="2"/>
  <c r="O534" i="2"/>
  <c r="O552" i="2"/>
  <c r="O157" i="2"/>
  <c r="O258" i="2"/>
  <c r="O177" i="2"/>
  <c r="O98" i="2"/>
  <c r="O152" i="2"/>
  <c r="O294" i="2"/>
  <c r="O268" i="2"/>
  <c r="O497" i="2"/>
  <c r="O397" i="2"/>
  <c r="O240" i="2"/>
  <c r="O323" i="2"/>
  <c r="O400" i="2"/>
  <c r="O63" i="2"/>
  <c r="O285" i="2"/>
  <c r="O208" i="2"/>
  <c r="O179" i="2"/>
  <c r="O514" i="2"/>
  <c r="O20" i="2"/>
  <c r="O255" i="2"/>
  <c r="O508" i="2"/>
  <c r="O223" i="2"/>
  <c r="O457" i="2"/>
  <c r="O461" i="2"/>
  <c r="O501" i="2"/>
  <c r="O465" i="2"/>
  <c r="O328" i="2"/>
  <c r="O462" i="2"/>
  <c r="O391" i="2"/>
  <c r="O356" i="2"/>
  <c r="O214" i="2"/>
  <c r="O488" i="2"/>
  <c r="O106" i="2"/>
  <c r="O499" i="2"/>
  <c r="O425" i="2"/>
  <c r="O532" i="2"/>
  <c r="O371" i="2"/>
  <c r="O299" i="2"/>
  <c r="O519" i="2"/>
  <c r="O437" i="2"/>
  <c r="O71" i="2"/>
  <c r="O300" i="2"/>
  <c r="O379" i="2"/>
  <c r="O526" i="2"/>
  <c r="O505" i="2"/>
  <c r="O362" i="2"/>
  <c r="O440" i="2"/>
  <c r="O270" i="2"/>
  <c r="O289" i="2"/>
  <c r="O89" i="2"/>
  <c r="O443" i="2"/>
  <c r="O560" i="2"/>
  <c r="O469" i="2"/>
  <c r="O342" i="2"/>
  <c r="O254" i="2"/>
  <c r="O142" i="2"/>
  <c r="O110" i="2"/>
  <c r="O127" i="2"/>
  <c r="O510" i="2"/>
  <c r="O354" i="2"/>
  <c r="O438" i="2"/>
  <c r="O559" i="2"/>
  <c r="O290" i="2"/>
  <c r="O46" i="2"/>
  <c r="O266" i="2"/>
  <c r="O550" i="2"/>
  <c r="O94" i="2"/>
  <c r="O186" i="2"/>
  <c r="O540" i="2"/>
  <c r="O86" i="2"/>
  <c r="O137" i="2"/>
  <c r="O237" i="2"/>
  <c r="O370" i="2"/>
  <c r="O192" i="2"/>
  <c r="O286" i="2"/>
  <c r="O282" i="2"/>
  <c r="O310" i="2"/>
  <c r="O147" i="2"/>
  <c r="O115" i="2"/>
  <c r="O102" i="2"/>
  <c r="O2" i="2"/>
  <c r="O486" i="2"/>
  <c r="O503" i="2"/>
  <c r="O296" i="2"/>
  <c r="O139" i="2"/>
  <c r="O408" i="2"/>
  <c r="O163" i="2"/>
  <c r="O2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Dusty Corning</author>
  </authors>
  <commentList>
    <comment ref="F2" authorId="0" shapeId="0" xr:uid="{F3214D9D-0309-4B7D-8815-6AC42210EE22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G2" authorId="0" shapeId="0" xr:uid="{7CDED9CB-E964-40F2-B59F-73CAE2B3D8B2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H2" authorId="0" shapeId="0" xr:uid="{29E66487-93C1-46E8-88AD-F254B01435A1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I2" authorId="0" shapeId="0" xr:uid="{0627644B-3729-479E-B57D-3903DEE09DA4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J2" authorId="0" shapeId="0" xr:uid="{EC35B482-646C-420C-B68D-96B7590F8849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K2" authorId="0" shapeId="0" xr:uid="{81E275F7-6807-4273-B484-B370F0B57ED3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L2" authorId="0" shapeId="0" xr:uid="{A7267A9E-827F-440D-B47E-6470E0F0C543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H3" authorId="0" shapeId="0" xr:uid="{8A644CA4-ED3A-4A93-98AD-9200A45D37D0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I3" authorId="0" shapeId="0" xr:uid="{AD1966B9-3671-42F4-B8D7-BE73043B7E37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J3" authorId="0" shapeId="0" xr:uid="{A62D128E-8F1B-472C-AF7D-8A1ADF4DE36B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K3" authorId="0" shapeId="0" xr:uid="{312BF83E-7220-4E01-98FD-BCADAB0FD9D2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L3" authorId="0" shapeId="0" xr:uid="{92B5FC4E-B223-46C6-A3EB-70A68D5F5F4F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H5" authorId="0" shapeId="0" xr:uid="{B2DB0C33-B3F2-40C2-BC16-293FE5E5808C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I5" authorId="0" shapeId="0" xr:uid="{0B318BFA-4FAD-4874-9148-58F95B6F083E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J5" authorId="0" shapeId="0" xr:uid="{AF4D0F46-D61A-41DA-8040-FCA09A79AF10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K5" authorId="0" shapeId="0" xr:uid="{372CE50F-78B1-4B33-A463-0162FBE2D49F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L5" authorId="0" shapeId="0" xr:uid="{67EEAAC2-8AE1-4129-A1BE-2341AB882103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NRR Team for MRR.  This was only for transition period.</t>
        </r>
      </text>
    </comment>
    <comment ref="D12" authorId="0" shapeId="0" xr:uid="{36E3C135-9266-428E-B8A4-12C00CBC6D9D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AE/AM for NRR.  This was only for transition period.
</t>
        </r>
      </text>
    </comment>
    <comment ref="E12" authorId="0" shapeId="0" xr:uid="{01CD202C-3C4B-4274-986A-A0A5AEC901D0}">
      <text>
        <r>
          <rPr>
            <b/>
            <sz val="9"/>
            <color indexed="81"/>
            <rFont val="Tahoma"/>
            <family val="2"/>
          </rPr>
          <t>Dusty Corning:</t>
        </r>
        <r>
          <rPr>
            <sz val="9"/>
            <color indexed="81"/>
            <rFont val="Tahoma"/>
            <family val="2"/>
          </rPr>
          <t xml:space="preserve">
Based on 2023 Plan - 2024 Plan does not commission AE/AM for NRR.  This was only for transition period.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Dusty Corning</author>
  </authors>
  <commentList>
    <comment ref="B344" authorId="0" shapeId="0" xr:uid="{043E9571-706B-4E20-892B-ACE6ED37B7FB}">
      <text>
        <r>
          <rPr>
            <b/>
            <sz val="9"/>
            <color indexed="81"/>
            <rFont val="Tahoma"/>
            <charset val="1"/>
          </rPr>
          <t>Dusty Corning:</t>
        </r>
        <r>
          <rPr>
            <sz val="9"/>
            <color indexed="81"/>
            <rFont val="Tahoma"/>
            <charset val="1"/>
          </rPr>
          <t xml:space="preserve">
Chargeback</t>
        </r>
      </text>
    </comment>
  </commentList>
</comments>
</file>

<file path=xl/sharedStrings.xml><?xml version="1.0" encoding="utf-8"?>
<sst xmlns="http://schemas.openxmlformats.org/spreadsheetml/2006/main" count="10711" uniqueCount="2517">
  <si>
    <t>Approved Opportunities</t>
  </si>
  <si>
    <t>Opportunity Owner</t>
  </si>
  <si>
    <t>Close Date</t>
  </si>
  <si>
    <t>Type</t>
  </si>
  <si>
    <t>Company</t>
  </si>
  <si>
    <t>Opp Name</t>
  </si>
  <si>
    <t>New MRR</t>
  </si>
  <si>
    <t>Renewal MRR</t>
  </si>
  <si>
    <t>Term</t>
  </si>
  <si>
    <t>New MRR Multiplier</t>
  </si>
  <si>
    <t>Renewal Multiplier</t>
  </si>
  <si>
    <t>Commission</t>
  </si>
  <si>
    <t>NRR Commission</t>
  </si>
  <si>
    <t>MRR Commission</t>
  </si>
  <si>
    <t>Opportunity Rec ID</t>
  </si>
  <si>
    <t>Opportunity Name</t>
  </si>
  <si>
    <t>Stage</t>
  </si>
  <si>
    <t>Amount (MRR)</t>
  </si>
  <si>
    <t>SKU</t>
  </si>
  <si>
    <t>Customer Description</t>
  </si>
  <si>
    <t>Product Category</t>
  </si>
  <si>
    <t>Quantity</t>
  </si>
  <si>
    <t>Price - MRR</t>
  </si>
  <si>
    <t>Cost - MRR</t>
  </si>
  <si>
    <t>Discount</t>
  </si>
  <si>
    <t>Ext Price - MRR</t>
  </si>
  <si>
    <t>CW Product Id</t>
  </si>
  <si>
    <t>Product Type</t>
  </si>
  <si>
    <t>Price - NRR</t>
  </si>
  <si>
    <t>Ext Price - NRR</t>
  </si>
  <si>
    <t>Cost - NRR</t>
  </si>
  <si>
    <t>Ext Cost - NRR</t>
  </si>
  <si>
    <t>Individual</t>
  </si>
  <si>
    <t>Title</t>
  </si>
  <si>
    <t>Equipment Commission</t>
  </si>
  <si>
    <t>Prof services</t>
  </si>
  <si>
    <t>Equipment Formula</t>
  </si>
  <si>
    <t>Professional Services Formula</t>
  </si>
  <si>
    <t>WatchGuard T80 and AP225W - Due 2/4/2024</t>
  </si>
  <si>
    <t>Won</t>
  </si>
  <si>
    <t>WGT80351</t>
  </si>
  <si>
    <t>WatchGuard Total Security Suite for Firebox T80 - Renewal</t>
  </si>
  <si>
    <t>IT/LAN Equipment</t>
  </si>
  <si>
    <t>Ron Walker</t>
  </si>
  <si>
    <t>Solution Consultant</t>
  </si>
  <si>
    <t>WGWFC241</t>
  </si>
  <si>
    <t>WatchGuard Secure Suite with 24 x 7 Support License Renewal</t>
  </si>
  <si>
    <t>Michael True</t>
  </si>
  <si>
    <t>Renewal - All Meraki Devices - 2024 EXP 1/8/2024</t>
  </si>
  <si>
    <t>LIC-ENT-1YR</t>
  </si>
  <si>
    <t>Meraki MR Enterprise License 1YR</t>
  </si>
  <si>
    <t>John Sobernheim</t>
  </si>
  <si>
    <t>Row Labels</t>
  </si>
  <si>
    <t>Sum of Commission</t>
  </si>
  <si>
    <t>LIC-MS120-48-1YR</t>
  </si>
  <si>
    <t>Meraki MS120-48 Enterprise License and Support 1 Year</t>
  </si>
  <si>
    <t>Cynthia Newsom</t>
  </si>
  <si>
    <t>LIC-MS120-48LP-1YR</t>
  </si>
  <si>
    <t>Meraki Enterprise + 1 Year Enterprise Support - Subscription License - 1 Switch - 1 Year - MS120-48LP Cloud Managed Switch</t>
  </si>
  <si>
    <t>LIC-MX64-ENT-1YR</t>
  </si>
  <si>
    <t>Meraki MX64 Enterprise License and Support, 1 Year - Meraki MX64 Cloud Managed Security Firewall Appliance -</t>
  </si>
  <si>
    <t>Jackie Moore</t>
  </si>
  <si>
    <t>Renewal Specialist</t>
  </si>
  <si>
    <t>LabelView Renewal - Due 1/10/2024</t>
  </si>
  <si>
    <t>SMALVSNG11YR</t>
  </si>
  <si>
    <t>SMA-LABEL MATRIX SINGLE-USER</t>
  </si>
  <si>
    <t>Jerry Prestridge</t>
  </si>
  <si>
    <t>Clinic Access Control upgrade</t>
  </si>
  <si>
    <t>SW-PRM-P5-3Y</t>
  </si>
  <si>
    <t>Premium: Pack of 5 entries - 3 year</t>
  </si>
  <si>
    <t>Laura Emery</t>
  </si>
  <si>
    <t>Quote Specialist</t>
  </si>
  <si>
    <t>SYS-8ENT-DVE2</t>
  </si>
  <si>
    <t>E2 12/24V 8-Door Smart Hub</t>
  </si>
  <si>
    <t>Brian McShane</t>
  </si>
  <si>
    <t>OP-R2X-MULL</t>
  </si>
  <si>
    <t>Openpath R2X Reader</t>
  </si>
  <si>
    <t>Shaun Kilkenney</t>
  </si>
  <si>
    <t>OP-VID-PRO-INT</t>
  </si>
  <si>
    <t>Openpath Video Intercom Pro Camera</t>
  </si>
  <si>
    <t>Patrick Lakeman</t>
  </si>
  <si>
    <t>AE</t>
  </si>
  <si>
    <t>OP-ACH-10IC</t>
  </si>
  <si>
    <t>Access Control Card -DESFire EV3 2K Solid 10 Pack</t>
  </si>
  <si>
    <t>Steve Croll</t>
  </si>
  <si>
    <t>SW-ALA-ADE-P500</t>
  </si>
  <si>
    <t>Active Directory Identity Provider Pack Of 500 Use</t>
  </si>
  <si>
    <t>Doug Kerzner</t>
  </si>
  <si>
    <t>OP-PI-30W</t>
  </si>
  <si>
    <t>PoE/PoE+ Injector</t>
  </si>
  <si>
    <t>Gary Veselka</t>
  </si>
  <si>
    <t>MPC-3P-CAB</t>
  </si>
  <si>
    <t>Cabling Labor</t>
  </si>
  <si>
    <t>IT/LAN Installation</t>
  </si>
  <si>
    <t>Mike Doucette</t>
  </si>
  <si>
    <t>MPC-PS-T4</t>
  </si>
  <si>
    <t>Meriplex Tier 4 Engineer Labor</t>
  </si>
  <si>
    <t>Jason Delaney</t>
  </si>
  <si>
    <t>SW-PRM-P1-3Y</t>
  </si>
  <si>
    <t>Premium: Pack of 1 entry - 3 year</t>
  </si>
  <si>
    <t>Scott Long</t>
  </si>
  <si>
    <t>8427096 - Add Third Party Patch Deployment</t>
  </si>
  <si>
    <t>MSP-MIT-PD3-WKS=</t>
  </si>
  <si>
    <t>Manage Third Party patch Deployment - Mac OS</t>
  </si>
  <si>
    <t>Managed Services</t>
  </si>
  <si>
    <t>Rick Carlson</t>
  </si>
  <si>
    <t>Manage Third Party patch Deployment - Workstation</t>
  </si>
  <si>
    <t>Mitch Verma</t>
  </si>
  <si>
    <t>MSP-MIT-PD3-SRV=</t>
  </si>
  <si>
    <t>Manage Third Party patch Deployment - Server</t>
  </si>
  <si>
    <t>Matt Bewley</t>
  </si>
  <si>
    <t>Microsoft Office SA Renewal - Due 1-31-2024</t>
  </si>
  <si>
    <t>021-07262</t>
  </si>
  <si>
    <t>Microsoft Office Software Assurance Renewal - Year 1 of 3</t>
  </si>
  <si>
    <t>HPE 2530 24G PoE Switch Renewal - Due 2/03/2024</t>
  </si>
  <si>
    <t>PN-Day1</t>
  </si>
  <si>
    <t>HPE Next Business Day Exchange Warranty. Includes Software Support, Software Updates, and Hardware Replacement.</t>
  </si>
  <si>
    <t>Chris Callahan</t>
  </si>
  <si>
    <t>Cisco Renewal Contract 204565740 204568256</t>
  </si>
  <si>
    <t>CON-SNT-AIRAPIKB</t>
  </si>
  <si>
    <t>SNTC 8X5XNBD</t>
  </si>
  <si>
    <t>Bryon Herpel</t>
  </si>
  <si>
    <t>Scott Turner</t>
  </si>
  <si>
    <t>Proofpoint Renewal - Annual Billing Due 1/01/2024</t>
  </si>
  <si>
    <t>SEC-EMF-PPB-1YA</t>
  </si>
  <si>
    <t>Managed Email Filtering</t>
  </si>
  <si>
    <t>Managed Security Services</t>
  </si>
  <si>
    <t>Misty Norton</t>
  </si>
  <si>
    <t>SD-WAN Two Sites</t>
  </si>
  <si>
    <t>SDW-VCE510=</t>
  </si>
  <si>
    <t>SDWAN Managed Edge 510 Appliance</t>
  </si>
  <si>
    <t>SD-WAN</t>
  </si>
  <si>
    <t>Lathrop Lougheed</t>
  </si>
  <si>
    <t>AM</t>
  </si>
  <si>
    <t>SDW-VCE610=</t>
  </si>
  <si>
    <t>SDWAN Managed Edge 610 Appliance</t>
  </si>
  <si>
    <t>Jonathan Defez</t>
  </si>
  <si>
    <t>Access Control</t>
  </si>
  <si>
    <t>SW-ACTUSER-P500</t>
  </si>
  <si>
    <t>Active User Pack Of 500 Users 3YR</t>
  </si>
  <si>
    <t>Andrew Harp</t>
  </si>
  <si>
    <t>SW-ALA-ADE-P1000</t>
  </si>
  <si>
    <t>Active Directory Identity Provider Pack Of 1000 Users</t>
  </si>
  <si>
    <t>Matthew Digiacomo</t>
  </si>
  <si>
    <t>OP-KFL-10</t>
  </si>
  <si>
    <t>Prox Key Fob, use with low frequency readers</t>
  </si>
  <si>
    <t>Physical Security</t>
  </si>
  <si>
    <t>Erminio Lalli</t>
  </si>
  <si>
    <t>MPC-3P-PS</t>
  </si>
  <si>
    <t>Partner Professional Services</t>
  </si>
  <si>
    <t>Kennon Jayne</t>
  </si>
  <si>
    <t>Brandon Ring</t>
  </si>
  <si>
    <t>MPC-PS-T3</t>
  </si>
  <si>
    <t>Meriplex Tier 3 Engineer Labor</t>
  </si>
  <si>
    <t>MPC-PS-PM</t>
  </si>
  <si>
    <t>Project Management</t>
  </si>
  <si>
    <t>Daniel Tarkowski</t>
  </si>
  <si>
    <t>O365 to M365+ conversion</t>
  </si>
  <si>
    <t>MSP-BU-DO365-1Y</t>
  </si>
  <si>
    <t>Meriplex 365 Cloud Backup</t>
  </si>
  <si>
    <t>Brad Strauss</t>
  </si>
  <si>
    <t>MSP-O365-MGMT</t>
  </si>
  <si>
    <t>Meriplex 365 Management and Support</t>
  </si>
  <si>
    <t>Darek Jackson</t>
  </si>
  <si>
    <t>SEC-SMRR=</t>
  </si>
  <si>
    <t>Meriplex 365 Cloud Security</t>
  </si>
  <si>
    <t>Elmer Mosbey</t>
  </si>
  <si>
    <t>Circuits SDWan</t>
  </si>
  <si>
    <t>Simon Beeny</t>
  </si>
  <si>
    <t>VP</t>
  </si>
  <si>
    <t>9179867 - Adobe License Annual Renewal</t>
  </si>
  <si>
    <t>65304042BA01B12</t>
  </si>
  <si>
    <t>Adobe Creative Cloud for teams - All Apps - Subscription Renewal</t>
  </si>
  <si>
    <t>NRR - Agent Income</t>
  </si>
  <si>
    <t>Brandon Philips</t>
  </si>
  <si>
    <t>-</t>
  </si>
  <si>
    <t>New Server Host Replacement</t>
  </si>
  <si>
    <t>Labor Costs</t>
  </si>
  <si>
    <t>Corey King</t>
  </si>
  <si>
    <t>Dell-CTO</t>
  </si>
  <si>
    <t>Dell PowerEdge R450 Server</t>
  </si>
  <si>
    <t>Greg Brooks</t>
  </si>
  <si>
    <t>DG7GMGF0D5VX:0007</t>
  </si>
  <si>
    <t>Windows Server 2022 - 1 User CAL (NCE COM BAS PER 1TM)</t>
  </si>
  <si>
    <t>Kade Thurman</t>
  </si>
  <si>
    <t>9421011 - FWaaS With FortiClient VPN, DUO and a Hosted Domain Controller</t>
  </si>
  <si>
    <t>SEC-MFA-ENT=</t>
  </si>
  <si>
    <t>Enterprise Multifactor Authentication</t>
  </si>
  <si>
    <t>Judas Schaeffer</t>
  </si>
  <si>
    <t>Deploy Hosted Firewall and Domain Controller with DUO MFA</t>
  </si>
  <si>
    <t>Server Refresh and OS Upgrades</t>
  </si>
  <si>
    <t>DG7GMGF0D5RK:0005</t>
  </si>
  <si>
    <t>Windows Server 2022 Standard - 16 Cores</t>
  </si>
  <si>
    <t>210-BBOP</t>
  </si>
  <si>
    <t>R250 Domain Controller</t>
  </si>
  <si>
    <t>210-AZDS</t>
  </si>
  <si>
    <t>Dell R450 Geographix Server with 480GB Boot/OS RAID 1 Mirror</t>
  </si>
  <si>
    <t>MCL-TR-LABOR</t>
  </si>
  <si>
    <t>Travel Time and Labor</t>
  </si>
  <si>
    <t>Veeam Renewal 2023 EXP 11/30/23</t>
  </si>
  <si>
    <t>V-FDNVUL-0I-SU1AR-00</t>
  </si>
  <si>
    <t>VEEAM DATA PLATFORM FOUNDATION UNIVERSAL SUBSCRIPT S/N: 02918998</t>
  </si>
  <si>
    <t>Renewal Palo Alto - Feb 2024 expiration</t>
  </si>
  <si>
    <t>PAN-PA-220-ATP-R</t>
  </si>
  <si>
    <t>Palo Alto Advanced Threat Prevention - Subscription License (Renewal) - 1 Device - 1 Year</t>
  </si>
  <si>
    <t>PAN-SVC-PREM-220-R</t>
  </si>
  <si>
    <t>Palo Alto Premium Support Program - Extended Service (Renewal) - 1 Year - Service - 24 x 7 x Next Business Day - Service Depot - Exchange - Parts - Electronic and Physical</t>
  </si>
  <si>
    <t>PAN-PA-220-AWF-R</t>
  </si>
  <si>
    <t>Palo Alto Advanced WildFire - Subscription License (Renewal) - 1 License - 1 Year</t>
  </si>
  <si>
    <t>PAN-PA-220-ADVURL-R</t>
  </si>
  <si>
    <t>Palo Alto Advanced Threat Prevention - Subscription License Renewal - 1 Device - 1 Year</t>
  </si>
  <si>
    <t>10162811 - Adobe Annual Nonprofit Subscription License Renewal</t>
  </si>
  <si>
    <t>65297993BB02A12</t>
  </si>
  <si>
    <t>Adobe Acrobat Pro DC for teams all MLP Named Renewal 12 Months Team Subscription Renewal Level 2 Multi-Lingual</t>
  </si>
  <si>
    <t>65272480BB02A12</t>
  </si>
  <si>
    <t>Adobe Creative Cloud CC MLP Named Renewal 12 Month</t>
  </si>
  <si>
    <t>10175286 - Standard SSL Certificate For sslvpn.denverathleticclub.org</t>
  </si>
  <si>
    <t>SSL Certificates:3606-2</t>
  </si>
  <si>
    <t>Single Domain Secure Sockets Layer (SSL) Certificate - Annual</t>
  </si>
  <si>
    <t>Project Labor - Fixed Fee</t>
  </si>
  <si>
    <t>Project Labor - Fixed Fee - Installation and Configuration of the SSL Certificate</t>
  </si>
  <si>
    <t>Meraki Renewal</t>
  </si>
  <si>
    <t>Meraki Enterprise + 1 Year Enterprise Support - Subscription License - 1 Switch - 1 Year - Cloud Managed MS120-48 - Switch - Subscription License 1 Switch - 1 Year License Validation Period</t>
  </si>
  <si>
    <t>LIC-MS120-24P-1YR</t>
  </si>
  <si>
    <t>Meraki Enterprise + 1 Year Enterprise Support - Subscription License - 1 Switch - 1 Year - MS120-24P Cloud Managed Switch - License and Support - 1 Year License Validation Period</t>
  </si>
  <si>
    <t>Meraki MR Enterprise Cloud Controller License, 1 Year - Meraki MR Series Access Point - Subscription License 1 Access Point - 1 Year License Validation Period</t>
  </si>
  <si>
    <t>Security Assessment</t>
  </si>
  <si>
    <t>One-Time Web Application Vulnerability Assessment</t>
  </si>
  <si>
    <t>One-Time SaaS M365 Security Assessment</t>
  </si>
  <si>
    <t>One-Time Internal Security Assessment</t>
  </si>
  <si>
    <t>One-Time External Security Assessment</t>
  </si>
  <si>
    <t>One-Time CIS Controls Assessment</t>
  </si>
  <si>
    <t>One-Time Wireless Penetration Testing - 1 Location</t>
  </si>
  <si>
    <t>10203187 - Adobe License Annual Renewal</t>
  </si>
  <si>
    <t>65324104BA01A12</t>
  </si>
  <si>
    <t>Adobe Acrobat Pro for Teams - Subscription Renewal - 1 User - Price Level 1 (1-9) - Volume - Adobe Value Incentive Plan (VIP) - PC, Mac</t>
  </si>
  <si>
    <t>10203212 - Fortinet Renewal 1-Year 24x7 UTM Renewal For FGT60FTK20049808</t>
  </si>
  <si>
    <t>FC-10-0060F-950-02-12</t>
  </si>
  <si>
    <t>FortiGate-60F 1 Year Unified Threat Protection (UTP) (IPS, Advanced Malware Protection, Application Control, URL, DNS &amp; Video Filtering, Antispam Service, and FortiCare Premium)</t>
  </si>
  <si>
    <t>10203245 - Fortinet Renewal 1-Year 24x7 UTM Renewal For FGT60ETK19061907</t>
  </si>
  <si>
    <t>FC-10-0060E-950-02-12</t>
  </si>
  <si>
    <t>FortiGate-60E 1 Year Unified Threat Protection (UTP) (IPS, Advanced Malware Protection, Application Control, URL, DNS &amp; Video Filtering, Antispam Service, and FortiCare Premium)</t>
  </si>
  <si>
    <t>10203489 - Fortinet Renewal 1-Year 24x7 UTM Renewal For FGT60ETK18063787</t>
  </si>
  <si>
    <t>Hourly Block / 25 hours</t>
  </si>
  <si>
    <t>MPC-BLK-11-25</t>
  </si>
  <si>
    <t>Hourly Support Block (11 - 25 Units)</t>
  </si>
  <si>
    <t>10212111 - Standard SSL Certificate For view2.pelicanpipeline.com</t>
  </si>
  <si>
    <t>Reconfigure Firewall for New Office Location and ISP</t>
  </si>
  <si>
    <t>Additional S1 Licensing</t>
  </si>
  <si>
    <t>SEC-ES-MSEDRP=</t>
  </si>
  <si>
    <t>Meriplex MSSP Platinum Endpoint Protection</t>
  </si>
  <si>
    <t>Datacenter 1/2 Cabinet</t>
  </si>
  <si>
    <t>C-IAH1-CABH=</t>
  </si>
  <si>
    <t>Cabinet - Half Data Center Cabinet</t>
  </si>
  <si>
    <t>Colocation</t>
  </si>
  <si>
    <t>C-IAH1-P20110=</t>
  </si>
  <si>
    <t>Primary Power - 20 Amps 110V AC power</t>
  </si>
  <si>
    <t>C-IAH1-R20110=</t>
  </si>
  <si>
    <t>Redundant Power - 20 Amps 110V AC power</t>
  </si>
  <si>
    <t>Quote #MPS121149 Per Service Ticket # 10257049 - Switch for Fremont</t>
  </si>
  <si>
    <t>MPC-PS-T2</t>
  </si>
  <si>
    <t>Meriplex Tier 2 Engineer Labor - Configuration</t>
  </si>
  <si>
    <t>C1000-16P-2G-L</t>
  </si>
  <si>
    <t>Cisco Catalyst C1000-16P Ethernet Switch - 16 Ports - Manageable - 2 Layer Supported - Modular - 2 SFP Slots - 136.92 W Power Consumption - Twisted Pair, Optical Fiber - Rack-mountable</t>
  </si>
  <si>
    <t>10264262 - Adobe Annual License Renewal</t>
  </si>
  <si>
    <t>65304042BA02C12</t>
  </si>
  <si>
    <t>Adobe 12MO SUB RL CREATIVE CLD TEAMS ALL APS ALL MPLAT L2 10-49</t>
  </si>
  <si>
    <t>65324104BA02A12</t>
  </si>
  <si>
    <t>Adobe Acrobat Pro for teams - Subscription Renewal</t>
  </si>
  <si>
    <t>65304050BA02C12</t>
  </si>
  <si>
    <t>Adobe 12MO SUB RNWL ILLUSTRATOR TEAMS ALL MPLAT L2 10-49</t>
  </si>
  <si>
    <t>65297908BA02A12</t>
  </si>
  <si>
    <t>Adobe Acrobat Standard for teams - Subscription Renewal</t>
  </si>
  <si>
    <t>10270978 - Standard UCC SSL Certificate For mail.umpqua.com</t>
  </si>
  <si>
    <t>SSL Certificates:5726-2</t>
  </si>
  <si>
    <t>Multiple Domain Unified Communications (UCC) Secure Sockets Layer (SSL) Certificate for up to 5 Domains - Annual</t>
  </si>
  <si>
    <t>10271203 - Standard SSL Certificate For vpncloud.bcer.com</t>
  </si>
  <si>
    <t>Complete M365 Setup and Intune Enrollment for Computers</t>
  </si>
  <si>
    <t>Quote #MPS121303 Per Service Ticket #10271717 - Reading Station for Dr. Wadood</t>
  </si>
  <si>
    <t>PC Migration or Installation Services</t>
  </si>
  <si>
    <t>V75M3</t>
  </si>
  <si>
    <t>Dell Precision 3000 3660 Workstation - Intel Core i7 Hexadeca-core (16 Core) i7-13700 13th Gen 2.10 GHz - 32 GB DDR5 SDRAM RAM - 512 GB SSD - Tower - Intel Chip - Windows 11 Pro - NVIDIA RTX A2000 12 GB Graphics - DVD-Writer - Serial ATA Controller - Engl</t>
  </si>
  <si>
    <t>Quote #MPS121356 Per Service Ticket # 10275430 - Network Infrastructure - Ontario Genesis - Rusnak -</t>
  </si>
  <si>
    <t>C9115AXE-B</t>
  </si>
  <si>
    <t>CISCO CATALYST 9115AX SERIES</t>
  </si>
  <si>
    <t>AIR-ANT2524DB-R</t>
  </si>
  <si>
    <t>Cisco Aironet Antenna - 2.4 GHz, 5 GHz - 4 dBiDipole</t>
  </si>
  <si>
    <t>C9115AXI-B</t>
  </si>
  <si>
    <t>Cisco Catalyst C9115I 802.11ax 5.38 Gbit/s Wireless Access Point - 2.40 GHz, 5 GHz - MIMO Technology - 1 x Network (RJ-45) - 2.5 Gigabit Ethernet - Bluetooth 5</t>
  </si>
  <si>
    <t>CON-SNT-C915AXIB</t>
  </si>
  <si>
    <t>Cisco Smart Net Total Care - Extended Service - Service - 8 x 5 x Next Business Day - Exchange - Parts - Physical, Electronic, 3-Years</t>
  </si>
  <si>
    <t>CON-SNT-C9115BXE</t>
  </si>
  <si>
    <t>Cisco Smart Net Total Care - Extended Service - Service - 8 x 5 x Next Business Day - Exchange - Parts - Physical, Electronic</t>
  </si>
  <si>
    <t>Lexicon Bank Assessment</t>
  </si>
  <si>
    <t>10280944 - Change Order 9123536 - New Server Room Setup and Circuit Install - Fiber Optic Cabling</t>
  </si>
  <si>
    <t>MPC-3P-CAB-1</t>
  </si>
  <si>
    <t>Cabling Labor - Hourly</t>
  </si>
  <si>
    <t>MPC-PS-PC</t>
  </si>
  <si>
    <t>Project Coordinator</t>
  </si>
  <si>
    <t>MPC-3P-CAB-HW</t>
  </si>
  <si>
    <t>10' LC UPC to LC UPC Duplex OM4 Multimode PVC (OFNR) 2.0mm Fiber Optic Patch Cable</t>
  </si>
  <si>
    <t>50' LC UPC to LC UPC Duplex OM4 Multimode PVC (OFNR) 2.0mm Fiber Optic Patch Cable</t>
  </si>
  <si>
    <t>Azure IPSec Redesign and NPS for WiFi</t>
  </si>
  <si>
    <t>Meriplex Tier 3 Engineer Labor After Hours</t>
  </si>
  <si>
    <t>MPX LA - New WAP &amp; Switch</t>
  </si>
  <si>
    <t>FS-124F-POE</t>
  </si>
  <si>
    <t>Fortinet 124F FortiSwitch 24-Port Half-POE Ethernet Switch</t>
  </si>
  <si>
    <t>FAP-231F-A</t>
  </si>
  <si>
    <t>Fortinet FortiAP 231F 802.11ax 1.73 Gbit/s Wireless Access Point</t>
  </si>
  <si>
    <t>FC-10-S124P-247-02-12</t>
  </si>
  <si>
    <t>Fortinet FortiCare 24x7 Premium Support - 1 Year</t>
  </si>
  <si>
    <t>FC-10-90AP1-639-02-12</t>
  </si>
  <si>
    <t>FortiLAN Cloud FortiAP Management License - 1 Year</t>
  </si>
  <si>
    <t>Meriplex Tier 2 Engineer Labor</t>
  </si>
  <si>
    <t>BRPC South Auburn Veterinary Hospital MSP MSSP</t>
  </si>
  <si>
    <t>MPC-PS-MSP-OBT</t>
  </si>
  <si>
    <t>Onboarding and Training</t>
  </si>
  <si>
    <t>SEC-ES-MSEDRG=</t>
  </si>
  <si>
    <t>Meriplex MSSP Gold Endpoint Protection</t>
  </si>
  <si>
    <t>10277799 - Adobe Annual Renewal Licenses</t>
  </si>
  <si>
    <t>65304042BA01C12</t>
  </si>
  <si>
    <t>Adobe Creative Cloud for teams - All Apps - Subscription Renewal - 1 user</t>
  </si>
  <si>
    <t>65297908BA01A12</t>
  </si>
  <si>
    <t>Adobe Acrobat Standard DC for Teams - Team Licensing Subscription Renewal - 1 User - 1 Month - Price Level 1 - (1-9) - Volume - Adobe Value Incentive Plan (VIP) - PC</t>
  </si>
  <si>
    <t>Quote #MPS121521 Per Service Ticket # 10271102 - Receptionist Headset</t>
  </si>
  <si>
    <t>27190-01</t>
  </si>
  <si>
    <t>Poly U10-P Quick Disconnect/RJ-9 Audio Cable - 10 ft Quick Disconnect/RJ-9 Audio Cable for Headset, Telephone - Smoke Gray</t>
  </si>
  <si>
    <t>805H7AA#ABA</t>
  </si>
  <si>
    <t>Poly EncorePro HW710 Headset - Mono - USB - Wired - Over-the-head - Monaural - Ear-cup - Noise Cancelling, Omni-directional Microphone - Noise Canceling - Black</t>
  </si>
  <si>
    <t>Managed Cloud Security</t>
  </si>
  <si>
    <t>SEC-CU-DNSE=</t>
  </si>
  <si>
    <t>Loc 0755 - Security Cameras</t>
  </si>
  <si>
    <t>02125-001</t>
  </si>
  <si>
    <t>AXIS M2036-LE Network Camera - Color</t>
  </si>
  <si>
    <t>02764-004</t>
  </si>
  <si>
    <t>AXIS S3008 MK II 2 TB</t>
  </si>
  <si>
    <t>01605-001</t>
  </si>
  <si>
    <t>AXIS M3116-LVE 4 Megapixel Indoor/Outdoor Network Camera - Color - Dome - White - 65.62 ft Infrared Night Vision - H.264, H.264 (MPEG-4 Part 10/AVC), H.264 BP, H.264 (MP), H.264 HP, H.265, H.265 (MPEG-H Part 2/HEVC), H.265 (MP), Motion JPEG - 2688 x 1512</t>
  </si>
  <si>
    <t>Quote #MPS121553 Per Service Ticket #10295789 - UPS Battery Replacement</t>
  </si>
  <si>
    <t>AP9640</t>
  </si>
  <si>
    <t>APC by Schneider Electric UPS Management Adapter - USB</t>
  </si>
  <si>
    <t>SMX1500RM2UC</t>
  </si>
  <si>
    <t>APC by Schneider Electric Smart-UPS SMX 1500VA Tower/Rack Convertible UPS - 2U Rack-mountable - AVR - 3 Hour Recharge - 5 Minute Stand-by - 120 V Input - 120 V AC Output - Sine Wave - Serial Port - 8 x NEMA 5-15R - 8 x Battery/Surge Outlet</t>
  </si>
  <si>
    <t>SWNMC3SU-3Y-DIGI</t>
  </si>
  <si>
    <t>APC by Schneider Electric Digital license - UPS Network Management Cards, 3Y Support Contract License, 1 Smart-UPS device, access new features, enhancements and security updates</t>
  </si>
  <si>
    <t>WBEXTWAR3YR-SP-03</t>
  </si>
  <si>
    <t>APC by Schneider Electric Service Pack - Extended Warranty - 3 Year - Warranty - Technical - Physical</t>
  </si>
  <si>
    <t>Nimble Support Renewal</t>
  </si>
  <si>
    <t>Q8G62B</t>
  </si>
  <si>
    <t>Nimble Storage 3.84 TB Solid State Drive - Internal - Storage System Device Supported - 24 Pack</t>
  </si>
  <si>
    <t>Q8H41A</t>
  </si>
  <si>
    <t>Nimble Storage AF40 All Flash Dual Controller 10GBASE-T 2-port Configure-to-order Base Array - 48 x SSD Supported - 0 x SSD Installed - 2 x Controller - RAID Supported - 48 x Total Bays - 48 x 2.5" Bay - 10 Gigabit Ethernet - Network (RJ-45) - iSCSI - 4U</t>
  </si>
  <si>
    <t>Q8C17B</t>
  </si>
  <si>
    <t>HPE Computer Accessory Kit</t>
  </si>
  <si>
    <t>Q8G61B</t>
  </si>
  <si>
    <t>Nimble Storage 1.92 TB Solid State Drive - Internal - Storage System Device Supported - 24 Pack</t>
  </si>
  <si>
    <t>Quote #MPS121611 Per Service Ticket #10302906 - Cisco SmartNet Renewal</t>
  </si>
  <si>
    <t>CON-SNT-C920024P</t>
  </si>
  <si>
    <t>C9200-24P-E - Cisco Smart Net Total Care - Extended Service - Service - 8 x 5 x Next Business Day - Exchange - Parts - Physical, Electronic</t>
  </si>
  <si>
    <t>CON-SNT-C1008FPG</t>
  </si>
  <si>
    <t>C1000-8FP-2G-L - Cisco Smart Net Total Care - Extended Service - Service - 8 x 5 x Next Business Day - Exchange - Parts</t>
  </si>
  <si>
    <t>CON-SNT-WSC28PCL</t>
  </si>
  <si>
    <t>WS-C2960CX-8PC-L - Cisco SMARTnet - Extended Service - Service - 8 x 5 x Next Business Day - Exchange - Physical</t>
  </si>
  <si>
    <t>CON-SNT-C93004PE</t>
  </si>
  <si>
    <t>C9300-48P-E - Cisco Smart Net Total Care - Service - 8 x 5 x Next Business Day - Exchange - Electronic and Physical</t>
  </si>
  <si>
    <t>CON-SAS-CSACS4.X</t>
  </si>
  <si>
    <t>CSACSE-4.1-SW-K9 - Cisco Software Application Support (SAS) - 1 Year - Service - 24 x 7 - Maintenance</t>
  </si>
  <si>
    <t>CON-SNT-W296X48F</t>
  </si>
  <si>
    <t>WS-C2960XR-48FPD-I - Cisco SMARTnet - Extended Service - 1 Year - Service - 8 x 5 x Next Business Day - Maintenance - Parts - Electronic</t>
  </si>
  <si>
    <t>CON-SNT-WS296X48</t>
  </si>
  <si>
    <t>WS-C2960XR-48TS-I - Cisco SMARTnet - Service - 8 x 5 x Next Business Day - Exchange - Physical</t>
  </si>
  <si>
    <t>CON-SNT-WSC388TE</t>
  </si>
  <si>
    <t>WS-C3850-48T-E - Cisco SMARTnet - Extended Service - Service - 8 x 5 x Next Business Day - Exchange - Physical</t>
  </si>
  <si>
    <t>CON-SNT-WSC312PC</t>
  </si>
  <si>
    <t>WS-C3560CX-12PC-S - Cisco SMARTnet - Extended Service - Service - 8 x 5 x Next Business Day - Exchange - Physical</t>
  </si>
  <si>
    <t>CON-SNT-C20L94XG</t>
  </si>
  <si>
    <t>C9200L-48PXG-4X-E - Cisco Smart Net Total Care - Extended Service - Service - 8 x 5 x Next Business Day - Exchange - Parts - Physical, Electronic</t>
  </si>
  <si>
    <t>CON-SNT-WSC28TCL</t>
  </si>
  <si>
    <t>WS-C2960CX-8TC-L - Cisco SMARTnet - Extended Service - Service - 8 x 5 x Next Business Day - Exchange - Physical</t>
  </si>
  <si>
    <t>CON-SNT-C93002PE</t>
  </si>
  <si>
    <t>C9300-24P-E - Cisco Smart Net Total Care - Service - 8 x 5 x Next Business Day - Exchange - Electronic and Physical</t>
  </si>
  <si>
    <t>MPX LA - Fortigate 80F</t>
  </si>
  <si>
    <t>FC-10-0080F-211-02-12</t>
  </si>
  <si>
    <t>Fortinet FortiCare Premium RMA Courier - Extended Service (Renewal) - 1 Year - Service - 24 x 7 x 4 Hour - Service Depot - Exchange - Parts</t>
  </si>
  <si>
    <t>FC-10-0080F-950-02-12</t>
  </si>
  <si>
    <t>Fortinet FortiCare 80F Bundle - Unified Threat Protection (UTP) (IPS, Advanced Malware Protection, Application Control, URL, DNS &amp; Video Filtering, Antispam Service, and FortiCare Premium) - 1 Year</t>
  </si>
  <si>
    <t>10318607 - Fortinet Renewal 1-Year 24x7 UTM For firewall FG100FTK22016720</t>
  </si>
  <si>
    <t>FC-10-F100F-950-02-12</t>
  </si>
  <si>
    <t>FortiGate-100F 1 Year Unified Threat Protection (UTP) (IPS, Advanced Malware Protection, Application Control, URL, DNS &amp; Video Filtering, Antispam Service, and FortiCare Premium)</t>
  </si>
  <si>
    <t>MPX LA - Fortigate &amp; FortiSwitch Renewals</t>
  </si>
  <si>
    <t>VMS - FC-10-W0300-247-02-12</t>
  </si>
  <si>
    <t>Fortinet FortiCare Premium 24x7 Support - 1 Year</t>
  </si>
  <si>
    <t>Fortinet FortiGate 60F Unified Threat Protection (UTP) (IPS, Advanced Malware Protection, Application Control, URL, DNS &amp; Video Filtering, Antispam Service, and FortiCare Premium) - 1 Year</t>
  </si>
  <si>
    <t>FC-10-W248D-247-02-12</t>
  </si>
  <si>
    <t>Manufacturer support 1YR 24X7 FORTICARE CONTRACT S</t>
  </si>
  <si>
    <t>DII Industries - Remodel Low Voltage and MDF Relocation Bid</t>
  </si>
  <si>
    <t>Meriplex Partner Cabling</t>
  </si>
  <si>
    <t>New ESX Server and Switches</t>
  </si>
  <si>
    <t>MS250-48FP-HW</t>
  </si>
  <si>
    <t>Meraki MS250-48FP Ethernet Switch - 48 Ports - Manageable - Gigabit Ethernet, 10 Gigabit Ethernet - 10/100/1000Base-T, 10GBase-X - 3 Layer Supported - Modular - 874 W Power Consumption - Twisted Pair, Optical Fiber - 1U High - Rack-mountable, Desktop - Li</t>
  </si>
  <si>
    <t>5PS7A67536</t>
  </si>
  <si>
    <t>3YR 24X7X4+YDYD SR630 V2 MLIC</t>
  </si>
  <si>
    <t>MA-SFP-10G-SR-AO</t>
  </si>
  <si>
    <t>Add-On 10G Base SR Multi-Mode - For Data Networkin</t>
  </si>
  <si>
    <t>7Z71TD2000</t>
  </si>
  <si>
    <t>ThinkSystem SR630 V2-3yr Warranty</t>
  </si>
  <si>
    <t>MS425-32-HW</t>
  </si>
  <si>
    <t>Meraki Cloud-Managed 32 port 10GbE Aggregation Switch with 40GbE Uplinks/Stacking - Manageable - 40 Gigabit Ethernet, 10 Gigabit Ethernet - 40GBase-X, 10GBase-X - 3 Layer Supported - Modular - 136 W Power Consumption - Optical Fiber, Twisted Pair - 1U Hig</t>
  </si>
  <si>
    <t>LIC-MS425-32-5YR</t>
  </si>
  <si>
    <t>Meraki Enterprise + 5 Years Enterprise Support - Subscription License - 1 Switch - 5 Year - Cisco Meraki MS425-32 Cloud Managed Switch - Subscription License 1 Switch - 5 Year License Validation Period</t>
  </si>
  <si>
    <t>LIC-MS250-48FP-5YR</t>
  </si>
  <si>
    <t>Meraki Enterprise + 5 Years Enterprise Support - Subscription License - 1 Switch - 5 Year - Cisco Meraki MS250-48FP Cloud Managed Switch - 48 Ports - Subscription License 1 Switch - 5 Year License Validation Period</t>
  </si>
  <si>
    <t>SD-WAN Renewal</t>
  </si>
  <si>
    <t>SP-LTE-CARD-ENH=</t>
  </si>
  <si>
    <t>Managed 5G/LTE Modem</t>
  </si>
  <si>
    <t>Connectivity</t>
  </si>
  <si>
    <t>Ordering a New Laptop + Dock</t>
  </si>
  <si>
    <t>PC Setup Fee</t>
  </si>
  <si>
    <t>wd19ds130sap</t>
  </si>
  <si>
    <t>Dell Dock- WD19S 130w Power Delivery - 180w AC</t>
  </si>
  <si>
    <t>s108l5540usrvp</t>
  </si>
  <si>
    <t>Dell Latitude 5540 - 15.6" Laptop i5, 16GB 512GB 4 year warranty</t>
  </si>
  <si>
    <t>Switch Refresh Block</t>
  </si>
  <si>
    <t>MPC-BLK-50-100</t>
  </si>
  <si>
    <t>Hourly Support Block (51 - 100 Units)</t>
  </si>
  <si>
    <t>#10376048 - Cascade Health Alliance / Solution Redundant ISP Circuit Implementation</t>
  </si>
  <si>
    <t>(BC) SMA and 25 VPN Users</t>
  </si>
  <si>
    <t>01-SSC-2239</t>
  </si>
  <si>
    <t>SonicWALL SMA 200 24X7 SUPPORT FOR UP TO 50 USERS (3 YR) - 24 x 7 - Maintenance - Labor - Electronic and Physical</t>
  </si>
  <si>
    <t>MPSSHIP</t>
  </si>
  <si>
    <t>Inbound Shipping</t>
  </si>
  <si>
    <t>01-SSC-2233</t>
  </si>
  <si>
    <t>SonicWALL SMA 200 ADDITIONAL 10 CONCURRENT USERS - 2 Port - 10/100/1000Base-T - Gigabit Ethernet - RSA, AES (256-bit), MD5, SHA-1, 3DES, SHA-256, SHA-384, ARC4, 3DES (256-bit), 3DES (168-bit) - 2 x RJ-45 - Desktop - TAA Compliant</t>
  </si>
  <si>
    <t>02-SSC-2800</t>
  </si>
  <si>
    <t>SonicWall SMA 210 Network Security/Firewall Appliance - 2 Port - 10/100/1000Base-T - Gigabit Ethernet - 2 x RJ-45 - 1U - Rack-mountable - TAA Compliant</t>
  </si>
  <si>
    <t>(BF) Adobe Illustrator license</t>
  </si>
  <si>
    <t>65304053BA02C12</t>
  </si>
  <si>
    <t>1MO SUB ILLUSTRATOR TEAMS ALL LICS MPLAT L2 10-49</t>
  </si>
  <si>
    <t>Meraki Licenses - 9395432</t>
  </si>
  <si>
    <t>Advanced Security Services</t>
  </si>
  <si>
    <t>MSP Renewal Agreement</t>
  </si>
  <si>
    <t>SEC-WMON-DWID=</t>
  </si>
  <si>
    <t>Dark Web Reporting Tool</t>
  </si>
  <si>
    <t>Ticket #10379533 - Wendi Eden / Provide quote for replacement switch for Yuba City</t>
  </si>
  <si>
    <t>USW-48-POE</t>
  </si>
  <si>
    <t>Ubiquiti UniFi Ethernet Switch - 48 Ports - Manageable - 2 Layer Supported - Modular - 4 SFP Slots - 45 W Power Consumption - 195 W PoE Budget - Twisted Pair, Optical Fiber - PoE Ports - 1U High - Rack-mountable, Desktop - 1 Year Limited Warran</t>
  </si>
  <si>
    <t>Lenovo ThinkPad X1 Yoga Charger Cord</t>
  </si>
  <si>
    <t>4X20M26268</t>
  </si>
  <si>
    <t>Lenovo AC Adapter - 65 W - United States - 120 V AC, 230 V AC Input - 5 V DC/3.25 A, 9 V DC, 15 V DC, 20 V DC Output</t>
  </si>
  <si>
    <t>APC Replacement Battery</t>
  </si>
  <si>
    <t>Advanced Technical Services - Technology Consulting</t>
  </si>
  <si>
    <t>APCRBC140</t>
  </si>
  <si>
    <t>APC by Schneider Electric Replacement Battery cartridge #140 - 192 V DC - Lead Acid - 3 Year Minimum Battery Life - 5 Year Maximum Battery Life</t>
  </si>
  <si>
    <t>Compliance Services</t>
  </si>
  <si>
    <t>#10308500 - T20231016.0227 - Solution Upgrade/Replacement of RSN-DC1</t>
  </si>
  <si>
    <t>MPC-PS-T1</t>
  </si>
  <si>
    <t>Meriplex Tier 1 Technician Labor for Day Zero Support</t>
  </si>
  <si>
    <t>UPS Eaton Power Backups</t>
  </si>
  <si>
    <t>SMART1500LCD</t>
  </si>
  <si>
    <t>Tripp Lite UPS Smart LCD 1500VA 900W 120V Line-Interactive UPS - 8 Outlets USB DB9 2U Rack/Tower - 2U Rack/Tower - 8 Hour Recharge - 3.50 Minute Stand-by - 110 V AC Input - 120 V AC, 120 V AC Output - 8 x NEMA 5-15R</t>
  </si>
  <si>
    <t>10390110 - Meriplex Managed Service Plan - Cloud Option</t>
  </si>
  <si>
    <t>MPC-TAM-STA=</t>
  </si>
  <si>
    <t>Meriplex Senior Technical Advisor</t>
  </si>
  <si>
    <t>DISC-SETUP-CUST</t>
  </si>
  <si>
    <t>Customer Courtesy Discount</t>
  </si>
  <si>
    <t>Quote #MPS121986 Per Service Ticket # 10387794 - 4K Laptop for Alex Casdin</t>
  </si>
  <si>
    <t>XPS1797304K</t>
  </si>
  <si>
    <t>Dell XPS 17 - i9, 32GB RAM, 1 TB SSD, NVIDIA RTX 4070 w/ 8GB, 17 in. UHD+ (3840 x 2400)</t>
  </si>
  <si>
    <t>SaaS Protection Implementation</t>
  </si>
  <si>
    <t>#10311030 - T20220907.0090 - Proactive / Propose server replacement</t>
  </si>
  <si>
    <t>CCOE-Firewall replacement</t>
  </si>
  <si>
    <t>FG-61F-BDL-950-36</t>
  </si>
  <si>
    <t>Fortinet FG-61F Network Security/Firewall Appliance - 10 Port - 10/100/1000Base-T - Gigabit Ethernet - 200 VPN - 10 x RJ-45 - Desktop</t>
  </si>
  <si>
    <t>#10393065 - Christmas Valley Clinic Setup</t>
  </si>
  <si>
    <t>VF78N</t>
  </si>
  <si>
    <t>Dell OptiPlex 7000 7410 All-in-One Computer - Intel Core i5 13th Gen i5-13500T Tetradeca-core (14 Core) 1.60 GHz - 8 GB RAM DDR4 SDRAM - 256 GB M.2 PCI Express NVMe SSD - 23.8" Full HD 1920 x 1080 - Desktop - Dark Gray - Intel Chip - Windows 11 Pro - Inte</t>
  </si>
  <si>
    <t>2Z619F#BGJ</t>
  </si>
  <si>
    <t>HP LaserJet Pro 4101fdw Wireless Laser Multifunction Printer - Monochrome - Copier/Fax/Printer/Scanner - 42 ppm Mono Print - 4800 x 600 dpi Print - Automatic Duplex Print - Up to 80000 Pages Monthly - Color Flatbed Scanner - 1200 dpi Optical Scan - Monoch</t>
  </si>
  <si>
    <t>U6-LR-US</t>
  </si>
  <si>
    <t>Ubiquiti UniFi 6 802.11ax 2.93 Gbit/s Wireless Access Point - 2.40 GHz, 5 GHz - MIMO Technology - 1 x Network (RJ-45) - Gigabit Ethernet - Bluetooth 5 - 16.50 W - Wall Mountable, Ceiling Mountable</t>
  </si>
  <si>
    <t>2Z601F#BGJ</t>
  </si>
  <si>
    <t>HP LaserJet Pro 4001 4001dw Desktop Wireless Laser Printer - Monochrome - 63 ppm Mono - 4800 x 600 dpi Print - Automatic Duplex Print - 350 Sheets Input - Ethernet - Wireless LAN - HP Smart App, Apple AirPrint, Mopria - 80000 Pages Duty Cycle - Plain Pape</t>
  </si>
  <si>
    <t>DELL-E2423HN</t>
  </si>
  <si>
    <t>Dell E2423HN 24" Class Full HD LCD Monitor - 16:9 - Black - 23.8" Viewable - Vertical Alignment (VA) - LED Backlight - 1920 x 1080 - 16.7 Million Colors - 250 Nit - 5 ms - 60 Hz Refresh Rate - HDMI - VGA</t>
  </si>
  <si>
    <t>Meriplex Tier 2 Technician Labor</t>
  </si>
  <si>
    <t>89B69AA#ABA</t>
  </si>
  <si>
    <t>Poly VVX 350 IP Phone - Corded - Corded - Desktop, Wall Mountable - Black - VoIP - 2 x Network (RJ-45) - PoE Ports</t>
  </si>
  <si>
    <t>02-SSC-6821</t>
  </si>
  <si>
    <t>SonicWall TZ370 Network Security/Firewall Appliance - 8 Port - 10/100/1000Base-T - Gigabit Ethernet - DES, 3DES, MD5, SHA-1, AES (128-bit), AES (192-bit), AES (256-bit) - 8 x RJ-45 - 3 Year Secure Upgrade Plus Advanced Edition - Desktop, Rack-mountable -</t>
  </si>
  <si>
    <t>02-SSC-3113</t>
  </si>
  <si>
    <t>SonicWall Rack Mount for Firewall - TAA Compliant</t>
  </si>
  <si>
    <t>GGJ1G</t>
  </si>
  <si>
    <t>Dell OptiPlex 7000 7010 Desktop Computer - Intel Core i5 13th Gen i5-13500 Tetradeca-core (14 Core) 2.50 GHz - 8 GB RAM DDR4 SDRAM - 256 GB M.2 PCI Express NVMe SSD Touchscreen Display - Small Form Factor - Black - Intel Chip - Windows 11 Pro - Intel UHD</t>
  </si>
  <si>
    <t>KM7120W-GY-US</t>
  </si>
  <si>
    <t>Dell KM7120W Keyboard &amp; Mouse - Wireless - Wireless Mouse</t>
  </si>
  <si>
    <t>CP550SLG</t>
  </si>
  <si>
    <t>CyberPower Standby UPS Systems - 550VA/330W, 120 VAC, NEMA 5-15P, Compact, 8 Outlets, PowerPanel® Personal, $100000 CEG, 3YR Warranty</t>
  </si>
  <si>
    <t>3 MR36, 1MR70 from Meraki</t>
  </si>
  <si>
    <t>MR36-HW</t>
  </si>
  <si>
    <t>Meraki MR36 802.11ax 1.70 Gbit/s Wireless Access Point - 2.40 GHz, 5 GHz - MIMO Technology - 1 x Network (RJ-45) - Gigabit Ethernet - Desktop, Ceiling Mountable, Wall Mountable, Rail-mountable</t>
  </si>
  <si>
    <t>MR70-HW</t>
  </si>
  <si>
    <t>Cisco MR70 IEEE 802.11ac 1.30 Gbit/s Wireless Access Point - 5 GHz, 2.40 GHz - MIMO Technology - 1 x Network (RJ-45) - Wall Mountable, Pole-mountable</t>
  </si>
  <si>
    <t>Dial2Teams Expansion for 3 offices</t>
  </si>
  <si>
    <t>UCS-D2T-LOC=</t>
  </si>
  <si>
    <t>Meriplex Dial2Teams - Location</t>
  </si>
  <si>
    <t>UCaaS</t>
  </si>
  <si>
    <t>UCS-D2T-CPO=</t>
  </si>
  <si>
    <t>Meriplex Dial2Teams - Calling Plan Only</t>
  </si>
  <si>
    <t>Voice Services</t>
  </si>
  <si>
    <t>Addendum to MPS120730 - Additional ForensIT Licenses for Server and SharePoint Migration Phase 2</t>
  </si>
  <si>
    <t>Forensit</t>
  </si>
  <si>
    <t>User Profile Wizard for Domain Migrations</t>
  </si>
  <si>
    <t>Ported DID's Houston</t>
  </si>
  <si>
    <t>V-DID-ENH-P=</t>
  </si>
  <si>
    <t>Ported Enhanced DID</t>
  </si>
  <si>
    <t>V-DID-S1-P=</t>
  </si>
  <si>
    <t>Ported Standard Inbound DIDs (Tier 1)</t>
  </si>
  <si>
    <t>Quote #MPS122137 Per Service Ticket #10400733 - SFP Modules</t>
  </si>
  <si>
    <t>PAN-SFP-CG</t>
  </si>
  <si>
    <t>Palo Alto SFP (mini-GBIC) Module - For Data Networking - 1 x RJ-45 1000Base-T LAN - Twisted PairGigabit Ethernet - 1000Base-T - Hot-pluggable</t>
  </si>
  <si>
    <t>GLC-TE=</t>
  </si>
  <si>
    <t>Cisco SFP (mini-GBIC) Transceiver Module - For Data Networking - 1 x RJ-45 1000Base-T LAN - Twisted PairGigabit Ethernet - 1000Base-T</t>
  </si>
  <si>
    <t>Managed Services Offboarding/Transition Proposal</t>
  </si>
  <si>
    <t>Meriplex Offboarding</t>
  </si>
  <si>
    <t>MPX LA - Quote for Fortinet FortiCare renewal</t>
  </si>
  <si>
    <t>FC-10-S108P-247-02-12</t>
  </si>
  <si>
    <t>Fortinet Forticare 24x7 Premium Support - 1 Year</t>
  </si>
  <si>
    <t>Fortinet FortiGate FortiCare Bundle - UTP Subscription &amp; 24x7 Premium Support - 1 Year</t>
  </si>
  <si>
    <t>FC-10-PF432-247-02-12</t>
  </si>
  <si>
    <t>HP Docking Stations</t>
  </si>
  <si>
    <t>5TW10AA#ABA</t>
  </si>
  <si>
    <t>HP USB-C Dock G5 - for Notebook - 100 W - USB Type C - 3 Displays Supported - 4K, QHD, Full HD - 4 x USB Type-A Ports - USB Type-A - USB Type-C - 1 x RJ-45 Ports - Network (RJ-45) - HDMI - DisplayPort - Black - Wired - Ethernet - Windows 11, Windows 10, C</t>
  </si>
  <si>
    <t>Service Ticket #10406659 - New Hire EQUIPMENT - JENNIFER TSAO</t>
  </si>
  <si>
    <t>Shipped</t>
  </si>
  <si>
    <t>PC(s) will be built, updated and configured and then shipped to the client from the Meriplex Office</t>
  </si>
  <si>
    <t>DISPLPORT6L</t>
  </si>
  <si>
    <t>DisplayPort to DisplayPort 6' Cable</t>
  </si>
  <si>
    <t>VX3276-MHD</t>
  </si>
  <si>
    <t>ViewSonic 32 Inch 1080p Widescreen IPS Monitor with Ultra-Thin Bezels, Screen Split Capability HDMI and DisplayPort - - 1080p Widescreen IPS Monitor with HDMI and DisplayPort - 250 cd/m² - 32"</t>
  </si>
  <si>
    <t>KCP556SD8-32</t>
  </si>
  <si>
    <t>Kingston 32GB DDR5 SDRAM Memory Module - For Notebook - 32 GB - DDR5-5600/PC5-44800 DDR5 SDRAM - 5600 MHz Dual-rank Memory - CL46 - 1.10 V - Non-ECC - Unbuffered - 262-pin - SoDIMM - Lifetime Warranty</t>
  </si>
  <si>
    <t>920-004536</t>
  </si>
  <si>
    <t>Logitech Wireless Keyboard and Mouse Combo</t>
  </si>
  <si>
    <t>40B00135US</t>
  </si>
  <si>
    <t>Lenovo ThinkPad Thunderbolt Dock</t>
  </si>
  <si>
    <t>21FV001UUS</t>
  </si>
  <si>
    <t>Lenovo ThinkPad P1 Gen 6 21FV001UUS 16" Mobile Workstation - WQXGA - 2560 x 1600 - Intel Core i9 13th Gen i9-13900H Tetradeca-core (14 Core) 2.60 GHz - 32 GB Total RAM - 1 TB SSD - Black Paint - Intel Chip - Windows 11 Pro - NVIDIA GeForce RTX 4090 with 1</t>
  </si>
  <si>
    <t>7WHI-C5MB</t>
  </si>
  <si>
    <t>7' Cat5E 350Mhz UTP Molded Cable with Boot</t>
  </si>
  <si>
    <t>TLP606</t>
  </si>
  <si>
    <t>Tripp Lite Surge Protector Power Strip 120V 6 Outlets</t>
  </si>
  <si>
    <t>Quote #MPS122177 Per Service Ticket # 10406255 - Palo Alto PA-440 Firewall</t>
  </si>
  <si>
    <t>PAN-PA-440</t>
  </si>
  <si>
    <t>Palo Alto PA-440 Network Security/Firewall Appliance - 8 Port - 10/100/1000Base-T - Gigabit Ethernet - 3DES, AES (128-bit), AES (192-bit), AES (256-bit), MD5, SHA-1, SHA-256, SHA-384, SHA-512 - 8 x RJ-45 - Desktop</t>
  </si>
  <si>
    <t>PAN-PA-440-ATP-3YR</t>
  </si>
  <si>
    <t>Palo Alto Advanced Threat Prevention - Subscription License - 1 Device - 3 Year</t>
  </si>
  <si>
    <t>PAN-SVC-BKLN-440-3YR</t>
  </si>
  <si>
    <t>Palo Alto Networks Partner Enabled Premium Support - Extended Service - 3 Year - Service - Service Depot - Exchange - Parts</t>
  </si>
  <si>
    <t>PAN-PA-400-RACKTRAY</t>
  </si>
  <si>
    <t>Palo Alto Rack Rail - For Firewall - 4 Post - Metal</t>
  </si>
  <si>
    <t>Quote #MPS122206 Per Service Ticket #10292623 - Meraki License Renewal</t>
  </si>
  <si>
    <t>LIC-MX67-ENT-3YR</t>
  </si>
  <si>
    <t>Meraki Enterprise + 3 Years Enterprise Support - Subscription License - 1 Security Appliance - 3 Year - MX67 Cloud Managed Firewall - License and Support - 3 Year License Validation Period</t>
  </si>
  <si>
    <t>Quote #MPS122173 Per Service Ticket #10406131 - Microsoft Agreement V9482970 Year 3 Payment</t>
  </si>
  <si>
    <t>R18-01863</t>
  </si>
  <si>
    <t>Microsoft Windows Server - Software Assurance - 1 User CAL - 1 Year Acquired Year 1, Additional Product - Microsoft Open Value</t>
  </si>
  <si>
    <t>6VC-00705</t>
  </si>
  <si>
    <t>Microsoft Windows Remote Desktop Services - Software Assurance - 1 User CAL - 1 Year Acquired Year 1, Additional Product - Microsoft Open Value - PC</t>
  </si>
  <si>
    <t>269-09061</t>
  </si>
  <si>
    <t>Microsoft Office Professional Edition - Software Assurance - 1 PC - 1 Year Acquired Year 1, Additional Product - Microsoft Open Value - PC</t>
  </si>
  <si>
    <t>312-03040</t>
  </si>
  <si>
    <t>Microsoft Exchange Server Standard Edition - Software Assurance - 1 Server - 1 Year Acquired Year 1, Additional Product - Microsoft Open Value - PC</t>
  </si>
  <si>
    <t>Microsoft Office Standard Edition - Software Assurance - 1 PC - 1 Year Acquired Year 1, Additional Product - Microsoft Open Value - PC</t>
  </si>
  <si>
    <t>381-02265</t>
  </si>
  <si>
    <t>Microsoft Exchange Server - Software Assurance - 1 User CAL - 1 Year Acquired Year 1, Additional Product - Microsoft Open Value - PC</t>
  </si>
  <si>
    <t>9EM-00299</t>
  </si>
  <si>
    <t>Microsoft Windows Server Standard Edition - Software Assurance - 16 Core - Additional Product, 1 Year Acquired Year 1 - Microsoft Open Value - PC</t>
  </si>
  <si>
    <t>Samartnet Renewal</t>
  </si>
  <si>
    <t>L-AC-PLS-1Y-S3</t>
  </si>
  <si>
    <t>Cisco AnyConnect Plus with 1 Year Software Application Support plus Upgrades (SASU) - Subscription License - 1 User - 1 Year - Price Level (250-499) License - Volume - Electronic</t>
  </si>
  <si>
    <t>31 monitors</t>
  </si>
  <si>
    <t>6N6E9AA#ABA</t>
  </si>
  <si>
    <t>HP E24 G5 24" Class Full HD LCD Monitor - 16:9 - Black - 23.8" Viewable - In-plane Switching (IPS) Technology - Edge LED Backlight - 1920 x 1080 - 250 Nit - 5 ms - 75 Hz Refresh Rate - HDMI - DisplayPort - USB Hub</t>
  </si>
  <si>
    <t>Southhaven POTs line</t>
  </si>
  <si>
    <t>V-POTS=</t>
  </si>
  <si>
    <t>Local Exchange Business Line</t>
  </si>
  <si>
    <t>LWB: WatchGuard Total AP Renewal - Due 2/15/2024</t>
  </si>
  <si>
    <t>WGBULKCRT</t>
  </si>
  <si>
    <t>WatchGuard Prorated Renewal for Total Wifi</t>
  </si>
  <si>
    <t>MPX LA - Ethernet Port Setup</t>
  </si>
  <si>
    <t>VMS - FP 2 Port - Ivory</t>
  </si>
  <si>
    <t>Face Plate 2 Port - Electrical Ivory</t>
  </si>
  <si>
    <t>VMS - Patch 5e 3ft Blue</t>
  </si>
  <si>
    <t>3ft Blue Cat5e Patch Cable</t>
  </si>
  <si>
    <t>VMS - VSI-Jack Cat5e - Blue</t>
  </si>
  <si>
    <t>Jack Cat5e - Blue</t>
  </si>
  <si>
    <t>VMS - Patch 5e 7ft Blue</t>
  </si>
  <si>
    <t>7ft Blue Cat5e Patch Cable</t>
  </si>
  <si>
    <t>Meriplex Tier 1 Technician Labor</t>
  </si>
  <si>
    <t>OS Upgrade and Computer Build</t>
  </si>
  <si>
    <t>Pickup</t>
  </si>
  <si>
    <t>PC(s) will be built, updated and configured and then picked up by the client from the Meriplex Office</t>
  </si>
  <si>
    <t>DG7GMGF0D8H4:0002</t>
  </si>
  <si>
    <t>Windows 11 Home to Pro Upgrade for Microsoft 365 Business (NCE COM BAS PER 1TM)</t>
  </si>
  <si>
    <t>Quote #MPS122251 Per Service Ticket # 10410891 - Dell AC Adapter - 130 W</t>
  </si>
  <si>
    <t>450-AHOM</t>
  </si>
  <si>
    <t>Dell AC Adapter - 130 W - 5 V DC Output</t>
  </si>
  <si>
    <t>10413148 - Network Infrastructure and Security Assessment</t>
  </si>
  <si>
    <t>One-Time Infrastructure and Network Assessment</t>
  </si>
  <si>
    <t>One-Time Phishing Email Security Assessment</t>
  </si>
  <si>
    <t>MSP</t>
  </si>
  <si>
    <t>1 Wireless Access Point for Shreveport Store</t>
  </si>
  <si>
    <t>R9B27A</t>
  </si>
  <si>
    <t>Aruba Instant On AP25 Dual Band 802.11ax 5.30 Gbit/s Wireless Access Point - Indoor - 2.40 GHz, 5 GHz - MIMO Technology - 1 x Network (RJ-45) - 2.5 Gigabit Ethernet - 20.10 W - Wall Mountable, Ceiling Mountable, Rail-mountable</t>
  </si>
  <si>
    <t>HP Server Support Renewals</t>
  </si>
  <si>
    <t>SP-SVR-4HO-12</t>
  </si>
  <si>
    <t>Extended Server Warranty - Onsite - 4 Hour Response. DMR Included. Co-Terminate -01/29/2024 to 02/14/2025. SN: 2M20280LZM.</t>
  </si>
  <si>
    <t>Extended Server Warranty - Onsite - 4 Hour Response. DMR Included. 1 Year -02/15/2024 to 02/14/2025.SN: 2M29340286</t>
  </si>
  <si>
    <t>Extended Server Warranty - Onsite - 4 Hour Response. DMR Included. 1 Year -02/15/2024 to 02/14/2025. SN: 2M29340283</t>
  </si>
  <si>
    <t>Extended Server Warranty - Onsite - 4 Hour Response. DMR Included. 1 Year -02/15/2024 to 02/14/2025. SN: 2M29340284</t>
  </si>
  <si>
    <t>Extended Server Warranty - Onsite - 4 Hour Response. DMR Included. 1 Year -02/15/2024 to 02/14/2025.SN: 2M29340285</t>
  </si>
  <si>
    <t>Extended Server Warranty - Onsite - 4 Hour Response. DMR Included. Co-Terminate -01/29/2024 to 02/14/2025. SN: MXQ91500ZD.</t>
  </si>
  <si>
    <t>OP-ACL-10</t>
  </si>
  <si>
    <t>Prox Card, use with low frequency readers</t>
  </si>
  <si>
    <t>SW-BSC-P5-3Y</t>
  </si>
  <si>
    <t>Basic - Pack of 5 entry</t>
  </si>
  <si>
    <t>Quote #MPS122335 Per Service Ticket # 10417154 - SASSI Laptops &amp; Docks</t>
  </si>
  <si>
    <t>21HH001MUS</t>
  </si>
  <si>
    <t>Lenovo ThinkPad T16 Gen 2 16" Touchscreen Notebook - WUXGA - 1920 x 1200 - Intel Core i7 13th Gen i7-1355U Deca-core (10 Core) 1.70 GHz - 16 GB Total RAM - 16 GB On-board Memory - 512 GB SSD - Storm Gray - Intel Chip - Windows 11 Pro - Intel Ir</t>
  </si>
  <si>
    <t>Lenovo - Open Source Docking Station - for Notebook/Monitor - 100 W - USB Type C - 4 Displays Supported - 4K - 3840 x 2160 - 4 x USB Type-A Ports - USB Type-A - 1 x USB Type-C Ports - USB Type-C - 1 x RJ-45 Ports - Network (RJ-45) - HDMI - DisplayPort - T</t>
  </si>
  <si>
    <t>CED15-35</t>
  </si>
  <si>
    <t>E-Waste Recycling Fee</t>
  </si>
  <si>
    <t>10401394 - Upgrade to DS687 Duplex A6 ID Card Scanners (3 units) for Front desk reception</t>
  </si>
  <si>
    <t>DS687-BCS</t>
  </si>
  <si>
    <t>Ambir ImageScan Pro DS687 Card Scanner - Duplex Scanning</t>
  </si>
  <si>
    <t>Quote #MPS122355 Per Service Ticket #10419786 - BNV Switch</t>
  </si>
  <si>
    <t>CON-SNT-C1062G16</t>
  </si>
  <si>
    <t>Cisco Smart Net Total Care - Extended Service - Service - 8 x 5 x Next Business Day - Exchange - Parts - 3-Years</t>
  </si>
  <si>
    <t>GLC-LH-SMD=</t>
  </si>
  <si>
    <t>Cisco SFP (mini-GBIC) Module - 1 x LC/PC Duplex 1000Base-LX/LH Network1</t>
  </si>
  <si>
    <t>MPX LA - New computer</t>
  </si>
  <si>
    <t>T5D-03518</t>
  </si>
  <si>
    <t>Microsoft Office 2021 Home &amp; Business - Box Pack - 1 PC/Mac - Medialess - English - PC, Intel-based Mac</t>
  </si>
  <si>
    <t>83Q60UT#ABA</t>
  </si>
  <si>
    <t>HP Pro Mini 400 G9 Desktop Computer - Intel Core i5 12th Gen i5-12500T Hexa-core (6 Core) 2 GHz - 16 GB RAM DDR4 SDRAM - 256 GB M.2 PCI Express NVMe SSD - Desktop Mini - Black - Intel Q670 Chip - Windows 11 Pro</t>
  </si>
  <si>
    <t>Meriplex Tier 2 Engineer Labor - PSP Platinum</t>
  </si>
  <si>
    <t>VMS - DP2VGA M6ft</t>
  </si>
  <si>
    <t>Video Cable - 6.56 ft 2M Displayport To VGA</t>
  </si>
  <si>
    <t>Quote #MPS122400 Per Service Ticket #10430285 - Dell Post Warranty Renewal</t>
  </si>
  <si>
    <t>4U</t>
  </si>
  <si>
    <t>ProSupport and 4Hr Mission Critical Variable</t>
  </si>
  <si>
    <t>XG</t>
  </si>
  <si>
    <t>Post Standard Support and 4hr On-Site Service After Problem Diagnosis Variable</t>
  </si>
  <si>
    <t>10401491 - New Business Class Laptop for New Foster Care Coordinator - Julie - Starting 1/16</t>
  </si>
  <si>
    <t>Y25FC</t>
  </si>
  <si>
    <t>Dell Latitude 3440 14" Notebook - Full HD - 1920 x 1080 - Intel Core i5 13th Gen i5-1335U Deca-core (10 Core) - 8 GB Total RAM - 256 GB SSD - Soft Charcoal - Intel Chip - Windows 11 Pro - Intel Iris Xe Graphics - In-plane Switching (IPS) Technology -</t>
  </si>
  <si>
    <t>Three New Laptops</t>
  </si>
  <si>
    <t>Travel Time - Hourly</t>
  </si>
  <si>
    <t>21HD002BUS</t>
  </si>
  <si>
    <t>Lenovo ThinkPad T14 Gen 4 14" Notebook - WUXGA - 1920 x 1200 - Intel Core i7 13th Gen i7-1355U Deca-core (10 Core) - 16 GB Total RAM - 16 GB On-board Memory - 512 GB SSD - Storm Gray - Intel Chip - Windows 11 Pro - Intel Iris Xe Graphics - In-p</t>
  </si>
  <si>
    <t>Delivered</t>
  </si>
  <si>
    <t>PC(s) will be built, updated and configured and then delivered and installed by Meriplex</t>
  </si>
  <si>
    <t>Monitors</t>
  </si>
  <si>
    <t>64W41AA#ABA</t>
  </si>
  <si>
    <t>HP P27h G5 27" Class Full HD LCD Monitor - 16:9 - Black - 27" Viewable - In-plane Switching (IPS) Technology - LED Backlight - 1920 x 1080 - 16.7 Million Colors - 250 Nit - 5 ms - 75 Hz Refresh Rate - HDMI - VGA - DisplayPort</t>
  </si>
  <si>
    <t>Shipping Insurance to Site Office</t>
  </si>
  <si>
    <t>MPX LA - New Laptop for Beau</t>
  </si>
  <si>
    <t>B0BH16CM15</t>
  </si>
  <si>
    <t>HP Envy x360 2-in-1 Convertible Business Laptop, 15.6? FHD Touchscreen, AMD Ryzen 5 5625U Up to 4.3GHz, Windows 11 Pro, 16GB RAM, 512GB SSD, WiFi 6, Backlit Keyboard, Nightfall Black</t>
  </si>
  <si>
    <t>MPX LA - SSL Renewal</t>
  </si>
  <si>
    <t>VMS - VSI-SSL Cert Standard</t>
  </si>
  <si>
    <t>Standard SSL Certificate - 1 Year</t>
  </si>
  <si>
    <t>Fiber Modules</t>
  </si>
  <si>
    <t>JF832A-AO</t>
  </si>
  <si>
    <t>AddOn HP JF832A Compatible TAA Compliant 1000Base-LX SFP Transceiver (SMF, 1310nm, 10km, LC) - 100% compatible and guaranteed to work</t>
  </si>
  <si>
    <t>Parker PT Patch Cables</t>
  </si>
  <si>
    <t>N201-S01-BK</t>
  </si>
  <si>
    <t>Tripp Lite by Eaton Cat6 Gigabit Snagless Slim UTP Ethernet Cable (RJ45 M/M) PoE Black 1 ft. (0.31 m) - 1 ft Category 6 Network Cable for Network Device, Printer, Photocopier, Router, Server, Computer, Modem, Switch, Workstation - First End: 1 x RJ-45 Net</t>
  </si>
  <si>
    <t>N201-002-YW</t>
  </si>
  <si>
    <t>Tripp Lite by Eaton Cat6 Gigabit Snagless Molded (UTP) Ethernet Cable (RJ45 M/M) PoE Yellow 2 ft. (0.61 m) - Category 6 for Network Device - 2ft - 1 x RJ-45 Male Network - 1 x RJ-45 Male Network - Yellow</t>
  </si>
  <si>
    <t>N201-001-YW</t>
  </si>
  <si>
    <t>Tripp Lite by Eaton Cat6 Gigabit Snagless Molded (UTP) Ethernet Cable (RJ45 M/M) PoE Yellow 1 ft. (0.31 m) - Category 6 - 1ft - 1 x RJ-45 Male Network - 1 x RJ-45 Male Network - Yellow</t>
  </si>
  <si>
    <t>Docking Station - Dan Baughman</t>
  </si>
  <si>
    <t>wd22tb4sap</t>
  </si>
  <si>
    <t>Dell Thunderbolt Dock ? WD22TB4</t>
  </si>
  <si>
    <t>New Computer Jada Jane Pearl Swendsen</t>
  </si>
  <si>
    <t>40AY0090US</t>
  </si>
  <si>
    <t>Lenovo ThinkPad Universal USB-C Dock</t>
  </si>
  <si>
    <t>21DH000VUS</t>
  </si>
  <si>
    <t>Lenovo ThinkBook 14 G4 IAP 14" Touchscreen Notebook - Full HD - 1920 x 1080 - Intel Core i7 12th Gen i7-1255U Deca-core (10 Core) 1.70 GHz - 16 GB Total RAM - 8 GB On-board Memory - 512 GB SSD - Mineral Gray - Intel Chip - Windows 11 Pro - Inte</t>
  </si>
  <si>
    <t>Visual Studio qty 1</t>
  </si>
  <si>
    <t>DG7GMGF0D3SJ0003COM</t>
  </si>
  <si>
    <t>VISUAL STUDIO PROFESSIONAL 2022MLIC</t>
  </si>
  <si>
    <t>10406558 - VMware Support Renewal</t>
  </si>
  <si>
    <t>VS6-ESSL-SUB-C</t>
  </si>
  <si>
    <t>Subscription VMware vSphere 6 Essentials Kit for 3 hosts (Max 2 processors per host)</t>
  </si>
  <si>
    <t>Quote #MPS122441 Per Service Ticket #10438999 - New Laptops</t>
  </si>
  <si>
    <t>822Q9UT#ABA</t>
  </si>
  <si>
    <t>HP ProBook 440 G10 14" Touchscreen Notebook - Full HD - 1920 x 1080 - Intel Core i7 13th Gen i7-1355U Deca-core (10 Core) 1.70 GHz - 16 GB Total RAM - 512 GB SSD - Pike Silver Plastic - Intel Chip - Windows 11 Pro - Intel UHD Graphics - In-plane Switching</t>
  </si>
  <si>
    <t>CED4-15</t>
  </si>
  <si>
    <t>#10378347 - City of Warrenton / Propose Camera and DVR Overhaul at Community Center</t>
  </si>
  <si>
    <t>UVC-G4-PTZ</t>
  </si>
  <si>
    <t>Ubiquiti UniFi Protect 8 Megapixel HD Network Camera - 328.08 ft - H.264 - 3840 x 2160 Zoom Lens - 22x Optical - 24 fps - CMOS - Wall Mount - Tamper Resistant, Weather Proof</t>
  </si>
  <si>
    <t>UNVR-PRO</t>
  </si>
  <si>
    <t>Ubiquiti UNIFI PROTECT NTWRK VIDEO RECORDER PRO</t>
  </si>
  <si>
    <t>ST6000NT001</t>
  </si>
  <si>
    <t>Seagate IronWolf Pro 6 TB Hard Drive - 3.5" Internal - SATA (SATA/600) - Conventional Magnetic Recording (CMR) Method - Server, Workstation Device Supported - 7200rpm - 5 Year Warranty</t>
  </si>
  <si>
    <t>USW-24-POE</t>
  </si>
  <si>
    <t>Ubiquiti Ethernet Switch - 24 Ports - Manageable - 2 Layer Supported - Modular - 2 SFP Slots - Optical Fiber, Twisted Pair - 1U High - Rack-mountable, Desktop - 1 Year Limited Warranty</t>
  </si>
  <si>
    <t>UACC-OM-MM-10G-D-2</t>
  </si>
  <si>
    <t>Ubiquiti SFP+ Module - For Data Networking, Optical Network - 2 x LC Duplex Network - Optical Fiber - Multi-mode - 10 Gigabit Ethernet</t>
  </si>
  <si>
    <t>UVC-G5-Pro</t>
  </si>
  <si>
    <t>Ubiquiti UniFi 8 Megapixel Indoor/Outdoor 4K Network Camera - Color - Bullet - 82.02 ft Infrared Night Vision - H.264, H.265 - 3840 x 2160 - 4.10 mm- 12.30 mm Varifocal Lens - 3x Optical - 30 fps - CMOS - Fast Ethernet - Wall Mount, Pole Mount</t>
  </si>
  <si>
    <t>Stockmen National Bank of Cotulla Penetration testing</t>
  </si>
  <si>
    <t>Two Surface Pro Laptops</t>
  </si>
  <si>
    <t>QIA-00001</t>
  </si>
  <si>
    <t>Microsoft Surface Pro 9 Tablet - 13" - Core i5 12th Gen i5-1245U Deca-core (10 Core) - 16 GB RAM - 256 GB SSD - Windows 11 Pro 64-bit - Platinum - 2880 x 1920 - PixelSense Display - 15.50 Hours Maximum Battery Run Time</t>
  </si>
  <si>
    <t>8XB-00061</t>
  </si>
  <si>
    <t>Microsoft Signature Keyboard/Cover Case for 13" Microsoft Surface Pro 8, Surface Pro X Tablet - Platinum - Alcantara Exterior Material - 8.9" Height x 11.4" Width x 0.2" Depth - 1 Pack</t>
  </si>
  <si>
    <t>New Computers for Ryan and Jeff - 10439703</t>
  </si>
  <si>
    <t>Dell Dock- WD19S 90w Power Delivery - 130w AC</t>
  </si>
  <si>
    <t>Dell Latitude 9330</t>
  </si>
  <si>
    <t>Dell OptiPlex Small Form Factor (Plus 7010)</t>
  </si>
  <si>
    <t>PC Setup</t>
  </si>
  <si>
    <t>#10430545 - Eddie Gallagher / Two i7 laptop quote request</t>
  </si>
  <si>
    <t>808-3108</t>
  </si>
  <si>
    <t>Dell ProSupport - Upgrade - 3 Year - Service - 24 x 7 x Next Business Day - On-site - Technical - Electronic, Physical</t>
  </si>
  <si>
    <t>R3T1W</t>
  </si>
  <si>
    <t>Dell Latitude 3540 15.6" Notebook - Full HD - 1920 x 1080 - Intel Core i7 13th Gen i7-1355U Deca-core (10 Core) - 16 GB Total RAM - 256 GB SSD - Gray - Intel Chip - Windows 11 Pro - Intel Iris Xe Graphics - In-plane Switching (IPS) Technology - English (U</t>
  </si>
  <si>
    <t>KCP432SD8/16</t>
  </si>
  <si>
    <t>Kingston 16GB DDR4 SDRAM Memory Module - For Noteb</t>
  </si>
  <si>
    <t>New Terminal Server with 5 RDS CAL's</t>
  </si>
  <si>
    <t>DG7GMGF0D7HX:0009</t>
  </si>
  <si>
    <t>Windows Server 2022 RDS - 1 User CAL</t>
  </si>
  <si>
    <t>10439064 - Adobe Annual Renewal Quote</t>
  </si>
  <si>
    <t>CyberPower OR2200LCDRT2U Smart App LCD UPS</t>
  </si>
  <si>
    <t>OR2200LCDRT2U</t>
  </si>
  <si>
    <t>CyberPower OR2200LCDRT2U Smart App LCD UPS Systems - 2000VA/1320W, 120 VAC, NEMA 5-20P, 2U, Rack / Tower, 8 Outlets, LCD, PowerPanel® Business, $300000 CEG, 3YR Warranty</t>
  </si>
  <si>
    <t>Replacement Computer for Megan</t>
  </si>
  <si>
    <t>83R13UT#ABA</t>
  </si>
  <si>
    <t>HP Pro SFF 400 G9 Desktop Computer - Intel Core i5 12th Gen i5-12500 Hexa-core (6 Core) 3 GHz - 16 GB RAM DDR4 SDRAM - 256 GB M.2 PCI Express NVMe SSD - Small Form Factor - Black - Intel Q670 Chip - Windows 11 Pro - Intel UHD Graphics 770 DDR4 SDRAM - Eng</t>
  </si>
  <si>
    <t>Adobe Acrobat license for user Connie Brisnehan</t>
  </si>
  <si>
    <t>65324055BA02A12</t>
  </si>
  <si>
    <t>Adobe Acrobat Pro for teams - Subscription - 1 User - Price Level 2 - (10-49) - Volume - Adobe Value Incentive Plan (VIP) - PC, Mac</t>
  </si>
  <si>
    <t>Quote #MPS122460 Per Service Ticket # 10441635 - Cisco SmartNet - Reno Renewal</t>
  </si>
  <si>
    <t>CON-SNT-ASA556F9</t>
  </si>
  <si>
    <t>Cisco SMARTnet - Extended Service - Service - 8 x 5 x Next Business Day - Exchange - Physical</t>
  </si>
  <si>
    <t>CON-SNT-VG310ICV</t>
  </si>
  <si>
    <t>#10439533 - HVJC: Krystal DeMartino / Headsets - Johnson Creek</t>
  </si>
  <si>
    <t>80R98AA</t>
  </si>
  <si>
    <t>Poly Blackwire 5210 Headset - Mono - USB Type C, USB, Mini-phone (3.5mm) - Wired - 20 Hz - 20 kHz - On-ear - Monaural - Supra-aural - Noise Cancelling Microphone</t>
  </si>
  <si>
    <t>Quote #MPS122463 Per Service Ticket #10441712 - Cisco SmartNet Renewal - Bakersfield</t>
  </si>
  <si>
    <t>FortiGate 81E - Newport Harbor Pathology Medical Group</t>
  </si>
  <si>
    <t>FG-81E-BDL-950-36</t>
  </si>
  <si>
    <t>FGT81ETK20001684 | FORTINET COTERM PRICED PER QUOTE | UTM Protection 24x7 | 1/18/2024-11/14/2026</t>
  </si>
  <si>
    <t>MPX LA - Cisco Umbrella Renewal</t>
  </si>
  <si>
    <t>VMS - ODNS-PRO-1YR-6-99</t>
  </si>
  <si>
    <t>Cisco Umbrella Pro Seat 10-99 Users - 1 Year</t>
  </si>
  <si>
    <t>Quote #MPS122467 Per Service Ticket #10441768 - Cisco SmartNet Renewal - Glendale</t>
  </si>
  <si>
    <t>Quote #MPS122480 Per Service Ticket #10442266 - Cisco SmartNet Renewal - Las Vegas</t>
  </si>
  <si>
    <t>CON-SNT-VG204XM</t>
  </si>
  <si>
    <t>Cisco SMARTnet - Service - 8 x 5 x Next Business Day - Maintenance - Parts - Electronic and Physical</t>
  </si>
  <si>
    <t>Fortinet Renewal</t>
  </si>
  <si>
    <t>FC-10-0050E-950-02-12</t>
  </si>
  <si>
    <t>FortiGate-50E 1 Year Unified Threat Protection (UTP) (IPS, Advanced Malware Protection, Application Control, URL, DNS &amp; Video Filtering, Antispam Service, and FortiCare Premium)</t>
  </si>
  <si>
    <t>Quote #MPS122484 Per Service Ticket #10442397 - Cisco SmartNet Renewal - San Diego</t>
  </si>
  <si>
    <t>HP LaserJet M480f Laser Multifunction Printer-Color</t>
  </si>
  <si>
    <t>3QA55A#BGJ</t>
  </si>
  <si>
    <t>HP LaserJet M480f Laser Multifunction Printer-Color-Copier/Fax/Scanner-27 ppm Mono/27 ppm Color Print-600x600 Print-Automatic Duplex Print-55000 Pages Monthly-300 sheets Input-Color Scanner-600 Optical Scan-Color Fax-Gigabit Ethernet - Copier/Fax/Printer/</t>
  </si>
  <si>
    <t>3 HP Prodesk 600 16GB and 6 HP Elitebook 650 16GB</t>
  </si>
  <si>
    <t>7Z5F3UT#ABA</t>
  </si>
  <si>
    <t>HP EliteBook 650 G10 15.6" Touchscreen Notebook - Full HD - 1920 x 1080 - Intel Core i7 13th Gen i7-1355U Deca-core (10 Core) 1.70 GHz - 16 GB Total RAM - 256 GB SSD - Pike Silver Aluminum - Intel Chip - Windows 11 Pro - Intel Iris Xe Graphics - In-plane</t>
  </si>
  <si>
    <t>6L8G5UC#ABA</t>
  </si>
  <si>
    <t>HP Business Desktop ProDesk 600 G6 Desktop Computer - Intel Core i7 10th Gen i7-10700 - 16 GB RAM DDR4 SDRAM - 512 GB SSD - Desktop Mini</t>
  </si>
  <si>
    <t>Contract Consolidation and 365 Plus</t>
  </si>
  <si>
    <t>Signed</t>
  </si>
  <si>
    <t>SEC-ES-MEDR=</t>
  </si>
  <si>
    <t>Endpoint Security - FortiEDR</t>
  </si>
  <si>
    <t>Scale Renewal</t>
  </si>
  <si>
    <t>HCOS-S-1-8C</t>
  </si>
  <si>
    <t>Scale 1YR LICS AND SW SC//HYPERCORE - 8C STANDARD</t>
  </si>
  <si>
    <t>Quote #MPS122486 Per Service Ticket #10442433 - Cisco SmartNet Renewal - Compton</t>
  </si>
  <si>
    <t>Jan 2024 Dell Laptop</t>
  </si>
  <si>
    <t>8GHCF</t>
  </si>
  <si>
    <t>Dell Latitude 5540 15.6" Notebook - Full HD - 1920 x 1080 - (Intel Core i5 13th Gen i5-1335U Deca-core (10 Core) - 16 GB Total RAM - 256 GB SSD - Titan Gray - Service: 1Y Basic Onsite Service with Hardware Support-Disti SnS - Intel Chip - Windows 11 Pro -</t>
  </si>
  <si>
    <t>1 additional Acrobat Standard license for Mohamma Mirza</t>
  </si>
  <si>
    <t>65297917BA02A12</t>
  </si>
  <si>
    <t>Adobe Acrobat Standard DC for Teams - Team Licensing Subscription - 1 User - 1 Month - Price Level 2 - (10-49) - Volume - Adobe Value Incentive Plan (VIP) - PC</t>
  </si>
  <si>
    <t>#10442783 - Joseph Nicoletti / Procure 1 Lenovo dock for Carly</t>
  </si>
  <si>
    <t>Dell - IBJA</t>
  </si>
  <si>
    <t>8Y7DG73</t>
  </si>
  <si>
    <t>PowerEdge R440 Upgrades and Extensions | ND | Basic Hardware Services: Business Hours (5x10) Next Business Day On Site Hardware Warranty Repair | 1/10/2024-1/9/2025</t>
  </si>
  <si>
    <t>Updated Server Decommission Block of Hours.</t>
  </si>
  <si>
    <t>MPC-BLK-1-10</t>
  </si>
  <si>
    <t>Hourly Support Block (1 - 10 Units)</t>
  </si>
  <si>
    <t>SQL Licenses</t>
  </si>
  <si>
    <t>DG7GMGF0MF3T:0002</t>
  </si>
  <si>
    <t>COMM SQL SERVER 2022 - 1 USER LICS CAL ONETIME</t>
  </si>
  <si>
    <t>New Notebook</t>
  </si>
  <si>
    <t>9C4K8UT#ABA</t>
  </si>
  <si>
    <t>HP ProBook 440 G10 14" Notebook - Full HD - 1920 x 1080 - Intel Core i5 13th Gen i5-1334U Deca-core (10 Core) 1.30 GHz - 16 GB Total RAM - 256 GB SSD - Pike Silver Plastic - Intel Chip - Windows 11 Pro - Intel Iris Xe Graphics - In-plane Switching (IPS) T</t>
  </si>
  <si>
    <t>MPX LA - Quote for Cisco SMARTnet renewal</t>
  </si>
  <si>
    <t>CON-SNT-SMS-1</t>
  </si>
  <si>
    <t>Cisco SMARTnet - Service - 8 x 5 x Next Business Day - Maintenance</t>
  </si>
  <si>
    <t>L-AC-APX-1Y-S1</t>
  </si>
  <si>
    <t>Cisco AnyConnect With 1 Year Software Application Support plus Upgrades (SASU) - Apex Term License - 1 User - 1 Year - Price Level (25-99) License - Volume - Electronic</t>
  </si>
  <si>
    <t>HPE Support Renewal Aruba 2530 SN: TW95FP4F62</t>
  </si>
  <si>
    <t>HPE Hardware Maintenance Onsite Support. HPE Software Technical Unlimited Support.</t>
  </si>
  <si>
    <t>HPE Hardware Maintenance Onsite Support. HPE Hardware Replacement Support.</t>
  </si>
  <si>
    <t>FC-10-PE221-247-02-12</t>
  </si>
  <si>
    <t>Fortinet Forticare Comprehensive 24x7 Support - 1 Year</t>
  </si>
  <si>
    <t>Quote #MPS122499 Per Service Ticket # 10442864 - CORP - Laptop for Jessica Skudlarek</t>
  </si>
  <si>
    <t>21JK0052US</t>
  </si>
  <si>
    <t>Lenovo ThinkPad E14 Gen 5 14" Touchscreen Notebook - WUXGA - 1920 x 1200 - Intel Core i5 13th Gen i5-1335U Deca-core (10 Core) 1.30 GHz - 16 GB Total RAM - 8 GB On-board Memory - 512 GB SSD - Graphite Black - Intel Chip - Windows 11 Pro - Intel</t>
  </si>
  <si>
    <t>L-AC-PLS-LIC=</t>
  </si>
  <si>
    <t>Cisco AnyConnect Plus - 1 License - 1 Year</t>
  </si>
  <si>
    <t>Cisco SMARTnet - Service - 8 x 5 x Next Business Day - Maintenance - 1 Year</t>
  </si>
  <si>
    <t>Laptop for President</t>
  </si>
  <si>
    <t>MDPNX</t>
  </si>
  <si>
    <t>Dell Latitude 3440 14" Notebook - Full HD - 1920 x 1080 - Intel Core i5 13th Gen i5-1335U Deca-core (10 Core) - 16 GB Total RAM - 256 GB SSD - Space Gray - Intel Chip - Windows 11 Pro - Intel Iris Xe Graphics - In-plane Switching (IPS) Technology - Englis</t>
  </si>
  <si>
    <t>Laptops</t>
  </si>
  <si>
    <t>MISCSHE</t>
  </si>
  <si>
    <t>California State EWaste Fee</t>
  </si>
  <si>
    <t>89D74UT#ABA</t>
  </si>
  <si>
    <t>HP EliteBook 860 G10 16" Notebook - WUXGA - 1920 x 1200 - Intel Core i7 13th Gen i7-1360P Dodeca-core (12 Core) - 16 GB Total RAM - 512 GB SSD - Intel Chip - Windows 11 Pro - Intel UHD Graphics - In-plane Switching (IPS) Technology - English Keyboard - Fr</t>
  </si>
  <si>
    <t>MPX LA - Wireless Keyboard and Mouse Combo</t>
  </si>
  <si>
    <t>920-008671</t>
  </si>
  <si>
    <t>Logitech MK540 Advanced Wireless Keyboard and Mouse Combo for Windows, 2.4 GHz Unifying USB-Receiver, Multimedia Hotkeys, 3-Year Battery Life, for PC, Laptop - USB Wireless RF Keyboard - Black - USB Wireless RF Mouse - Optical - 1000 dpi - 3 Button - Scro</t>
  </si>
  <si>
    <t>Quote #MPS122529 Per Service Ticket # 10428443 - KMF - Vertical Monitor Stand</t>
  </si>
  <si>
    <t>MU1006</t>
  </si>
  <si>
    <t>Vertical Dual Monitor Stand for 2 Computer Screen up to 32 Inch, Stacked Monitor Mount, Free-Standing Monitor Desk Stand with Swivel, Tilt, Height Adjustable, VESA Stand 100 x 100</t>
  </si>
  <si>
    <t>Two 48 Port POE Switches</t>
  </si>
  <si>
    <t>USW-PRO-48-POE</t>
  </si>
  <si>
    <t>Ubiquiti Layer 3 Switch - 48 Ports - Manageable - 3 Layer Supported - Modular - 60 W Power Consumption - 600 W PoE Budget - Optical Fiber, Twisted Pair - PoE Ports - 1U High - Rack-mountable - 1 Year Limited Warranty</t>
  </si>
  <si>
    <t>#10381550 - Latitude</t>
  </si>
  <si>
    <t>210-BGBJ</t>
  </si>
  <si>
    <t>Dell Latitude 5340 XCTO Base</t>
  </si>
  <si>
    <t>10458817 - New Workstation Class Draftsmen Computer for AutoCad for Andy Smith</t>
  </si>
  <si>
    <t>4X71K53891-AX</t>
  </si>
  <si>
    <t>Axiom 16GB DDR5 SDRAM Memory Module - For Desktop PC - 16 GB - DDR5-4800/PC5-38400 DDR5 SDRAM - 4800 MHz - CL40 - 1.10 V - TAA Compliant - Unbuffered - 288-pin - DIMM - Lifetime Warranty</t>
  </si>
  <si>
    <t>30FM002VUS</t>
  </si>
  <si>
    <t>Lenovo ThinkStation P360 Workstation - 1 x Intel Core i7 Dodeca-core (12 Core) i7-12700 12th Gen - 16 GB DDR5 SDRAM RAM - 1 TB SSD - Tower - Intel W680 Chip - Windows 11 Pro 64-bit - NVIDIA RTX A2000 12 GB Graphics - Serial ATA/600 Controller -</t>
  </si>
  <si>
    <t>SD-WAN appliance Only Pampa</t>
  </si>
  <si>
    <t>MPX LA - BMW Fortinet Renewals</t>
  </si>
  <si>
    <t>VMS - FC-10-P831F-247-02-12</t>
  </si>
  <si>
    <t>Fortinet FortiCare Comprehensive Support - 1 Year</t>
  </si>
  <si>
    <t>FC-10-P234F-247-02-12</t>
  </si>
  <si>
    <t>MPX LA - Audi Fortinet Renewals</t>
  </si>
  <si>
    <t>Webster Move Connectivity</t>
  </si>
  <si>
    <t>SP-BB=</t>
  </si>
  <si>
    <t>Broadband Internet Access</t>
  </si>
  <si>
    <t>SDW-VCE620=</t>
  </si>
  <si>
    <t>SDWAN Managed Edge 620 Appliance</t>
  </si>
  <si>
    <t>UPS Replacement</t>
  </si>
  <si>
    <t>SMT1500C</t>
  </si>
  <si>
    <t>APC by Schneider Electric Smart-UPS 1500VA LCD 120V with SmartConnect - Tower - 3 Hour Recharge - 7 Minute Stand-by - 120 V Input - 120 V AC Output - Sine Wave - 8 x NEMA 5-15R - 8 x Battery/Surge Outlet</t>
  </si>
  <si>
    <t>Quote In-Stock computer RUSH</t>
  </si>
  <si>
    <t>21H1001SUS</t>
  </si>
  <si>
    <t>Lenovo ThinkPad L14 Gen 4 14" Notebook - Full HD - 1920 x 1080 - Intel Core i5 13th Gen i5-1335U Deca-core (10 Core) - 16 GB Total RAM - 512 GB SSD - Thunder Black - Intel Chip - Windows 11 Pro - Intel Iris Xe Graphics - In-plane Switching (IPS</t>
  </si>
  <si>
    <t>Service Ticket #10444914 - Replacement computer for CARTBARN</t>
  </si>
  <si>
    <t>CT66J</t>
  </si>
  <si>
    <t>Dell OptiPlex 7000 7010 Desktop Computer - Intel Core i5 13th Gen i5-13500T Tetradeca-core (14 Core) 1.60 GHz - 16 GB RAM DDR4 SDRAM - 256 GB M.2 PCI Express NVMe SSD - Micro PC - Intel Chip - Windows 11 Pro - Intel UHD Graphics 770 DDR4 SDRAM - English (</t>
  </si>
  <si>
    <t>808-3177</t>
  </si>
  <si>
    <t>Dell Upgrade from 3Y Next Business Day to 3Y ProSupport</t>
  </si>
  <si>
    <t>#10382301 Optiplex</t>
  </si>
  <si>
    <t>210-BFXF</t>
  </si>
  <si>
    <t>OptiPlex Small Form Factor</t>
  </si>
  <si>
    <t>Change Order Opportunity 36949 - Laptops and Surface Pros</t>
  </si>
  <si>
    <t>Barracuda Load Balancer Renewal</t>
  </si>
  <si>
    <t>BBF440a-h</t>
  </si>
  <si>
    <t>Barracuda Load Balancer Appliance 440 Instant Replacement Subscription SN# 1537888 5-Feb-2024 - 4-Feb-2027</t>
  </si>
  <si>
    <t>Barracuda Load Balancer Appliance 440 Instant Replacement Subscription SN# 1537885 1 Year</t>
  </si>
  <si>
    <t>BBF440a-e</t>
  </si>
  <si>
    <t>Barracuda Load Balancer Appliance 440 Energize Updates Subscription SN# 1537888 5-Feb-2024 - 4-Feb-2027</t>
  </si>
  <si>
    <t>Barracuda Load Balancer Appliance 440 Energize Updates Subscription SN# 1537885 5-Feb-2024 - 4-Feb-2027 1 Year</t>
  </si>
  <si>
    <t>10447820 - Single Domain SSL Certificate for VPN for vpn.somnique.com</t>
  </si>
  <si>
    <t>Milestone Renewal</t>
  </si>
  <si>
    <t>YXPCOBT</t>
  </si>
  <si>
    <t>1 Year Care Plus for XProtect Corporate BL</t>
  </si>
  <si>
    <t>YXPCODL</t>
  </si>
  <si>
    <t>1 Year Care Plus for XProtect Corporate DL</t>
  </si>
  <si>
    <t>NoteBook for Corey Martinez</t>
  </si>
  <si>
    <t>822P4UT#ABA</t>
  </si>
  <si>
    <t>HP ProBook 450 G10 15.6" Notebook - Full HD - 1920 x 1080 - Intel Core i5 13th Gen i5-1335U Deca-core (10 Core) 1.30 GHz - 16 GB Total RAM - 256 GB SSD - Pike Silver Plastic - Intel Chip - Windows 11 Pro - Intel UHD Graphics - In-plane Switching (IPS) Tec</t>
  </si>
  <si>
    <t>MPX LA - Replacement Laptop for Beau</t>
  </si>
  <si>
    <t>B0BZV94W8N</t>
  </si>
  <si>
    <t>HP Envy x360 2 in 1 Convertible Business Laptop, 15.6 Inch FHD Touchscreen, Intel Core evo i7-1255U, 16GB RAM, 512GB SSD, Windows 11 Pro</t>
  </si>
  <si>
    <t>VMS - Shipping</t>
  </si>
  <si>
    <t>2 Day Shipping</t>
  </si>
  <si>
    <t>NCM: 10308476 - Intune Deployment Project</t>
  </si>
  <si>
    <t>Quote #MPS122566 Per Service Ticket # 10396670 - PH - USB Flash Drives</t>
  </si>
  <si>
    <t>DTX/64GB</t>
  </si>
  <si>
    <t>64GB USB3.2 GEN 1 DATATRAVELER EXODIA</t>
  </si>
  <si>
    <t>Webster Move and Cabling</t>
  </si>
  <si>
    <t>Cable Work</t>
  </si>
  <si>
    <t>Webster New Office Labor</t>
  </si>
  <si>
    <t>Miscellaneous Items</t>
  </si>
  <si>
    <t>CAB-PS-PC</t>
  </si>
  <si>
    <t>Cabling Project Coordinator</t>
  </si>
  <si>
    <t>Windows Server License for VM</t>
  </si>
  <si>
    <t>Microsoft Windows Server 2022 Standard - Perpetual License - 16 Core - Commercial - PC</t>
  </si>
  <si>
    <t>Meraki - Inspiration Academy</t>
  </si>
  <si>
    <t>CISCO MERAKI 1YR ENTERPRISE LICS LICS AND SUP</t>
  </si>
  <si>
    <t>LIC-MS320-48FP-1YR</t>
  </si>
  <si>
    <t>CISCO MERAKI 1YR MS320-48FP LICS ENTERPRISE LICS AND SUP</t>
  </si>
  <si>
    <t>Block of Hours</t>
  </si>
  <si>
    <t>PC Replacement for Gini</t>
  </si>
  <si>
    <t>86Y47UT#ABA</t>
  </si>
  <si>
    <t>HP Elite 600 G9 Desktop Computer - Intel Core i7 13th Gen i7-13700 Hexadeca-core (16 Core) - 16 GB RAM DDR5 SDRAM - 256 GB M.2 PCI Express NVMe SSD - Small Form Factor - Intel Q670 Chip - Windows 11 Pro - Intel UHD Graphics 770 DDR5 SDRAM - English Keyboa</t>
  </si>
  <si>
    <t>4M9Y0AT</t>
  </si>
  <si>
    <t>HP 16GB DDR5 SDRAM Memory Module - 16 GB (1 x 16GB) - DDR5-4800/PC5-38400 DDR5 SDRAM - 4800 MHz - Non-ECC - Unbuffered - 288-pin - DIMM - 1 Year Warranty</t>
  </si>
  <si>
    <t>Desktop PC</t>
  </si>
  <si>
    <t>T3TYP</t>
  </si>
  <si>
    <t>Dell OptiPlex 7000 7010 Desktop Computer - Intel Core i3 13th Gen i3-13100T Quad-core (4 Core) 2.50 GHz - 8 GB RAM DDR4 SDRAM - 256 GB M.2 PCI Express NVMe SSD - Micro PC</t>
  </si>
  <si>
    <t>9HB739</t>
  </si>
  <si>
    <t>Dell Memory 8GB</t>
  </si>
  <si>
    <t>#10451179 - AD: Amy Krieger / Procurement Ergonomic Keyboard for Jennifer Sandoval</t>
  </si>
  <si>
    <t>920-002555</t>
  </si>
  <si>
    <t>Logitech MK550 Wireless Wave Keyboard and Mouse Combo, Ergonomic Wave Design, Black - USB Wireless RF 2.40 GHz Keyboard - 117 Key - Black - USB Wireless RF Mouse - Laser - 1000 dpi - Scroll Wheel - Black - Email, Internet Key, Volume Control Hot Key(s) -</t>
  </si>
  <si>
    <t>3 laptops and docks</t>
  </si>
  <si>
    <t>s020l3540usrvp</t>
  </si>
  <si>
    <t>Dell Lattitude 3540, i7, 16gb, 256gb, 4 year warra</t>
  </si>
  <si>
    <t>(blank)</t>
  </si>
  <si>
    <t>SFP Module</t>
  </si>
  <si>
    <t>J4859D</t>
  </si>
  <si>
    <t>Aruba 1G SFP LC LX 10km SMF Transceiver - For Data Networking, Optical Network - 1 x LC 1000Base-LX Network - Optical Fiber - Single-mode - Gigabit Ethernet - 1000Base-LX</t>
  </si>
  <si>
    <t>Grand Total</t>
  </si>
  <si>
    <t>Cisco Meraki Addl QX9286 - Bank of Houston</t>
  </si>
  <si>
    <t>LIC-ENT-5YR</t>
  </si>
  <si>
    <t>QX9286 | CISCO MERAKI 5YR ENTERPRISE SLIC LICS AND SUP</t>
  </si>
  <si>
    <t>10454734 - Change Order 9174482 New Microsoft Academic Tenant</t>
  </si>
  <si>
    <t>MSP-M365-A1-DS</t>
  </si>
  <si>
    <t>Microsoft 365 A1 for Devices for Students - One Time</t>
  </si>
  <si>
    <t>MRR - Agent Income</t>
  </si>
  <si>
    <t>Quote #MPS122612 Per Service Ticket #10454745 - Cisco SFP</t>
  </si>
  <si>
    <t>Firewall Security Suite Renewal 1 yr</t>
  </si>
  <si>
    <t>01-SSC-1435</t>
  </si>
  <si>
    <t>SonicWall Capture Advanced Threat Protection Service - SonicWall 01-SSC-0030, 02-SSC-0601, 02-SSC-0602 - Subscription License 1 Appliance - 1 Year License Validation Period - TAA Compliant</t>
  </si>
  <si>
    <t>MPX LA - Phone, GPU, and CLoud project</t>
  </si>
  <si>
    <t>FS-148F-FPOE</t>
  </si>
  <si>
    <t>Fortinet FortiSwitch 148F Full-Poe Ethernet Switch - 48 Ports - Manageable - 2 Layer Supported - Modular - 895.70 W Power Consumption - 740 W PoE Budget - Optical Fiber, Twisted Pair - PoE Ports - 1U High - Rack-mountable - Lifetime Limited Warranty</t>
  </si>
  <si>
    <t>Meriplex Tier 2 Engineer Labor - PSP Silver</t>
  </si>
  <si>
    <t>RS822+</t>
  </si>
  <si>
    <t>Synology RackStation SAN/NAS Storage System - 1 x AMD Ryzen V1500B Quad-core (4 Core) 2.20 GHz - 4 x HDD Supported - 0 x HDD Installed - 4 x SSD Supported - 0 x SSD Installed - 2 GB RAM DDR4 SDRAM - Serial ATA Controller - RAID Supported - 0, 1, 5,</t>
  </si>
  <si>
    <t>N320-001</t>
  </si>
  <si>
    <t>Tripp Lite 1ft Duplex Multimode 62.5/125 Fiber Optic Patch Cable LC/LC 1' 1ft 0.3 Meter - LC - LC - 1ft - Orange</t>
  </si>
  <si>
    <t>FC-10-148FF-247-02-12</t>
  </si>
  <si>
    <t>Fortinet FortiCare Comprehensive Support - Extended Service (Renewal) - 1 Year - Service - 24 x 7 x Next Business Day - Service Depot - Exchange - Parts</t>
  </si>
  <si>
    <t>5JV89AA</t>
  </si>
  <si>
    <t>HP NVIDIA Quadro RTX 4000 Graphic Card - 8 GB - DisplayPort - 3 x DisplayPort</t>
  </si>
  <si>
    <t>KCP426ND8/32</t>
  </si>
  <si>
    <t>Kingston 32GB DDR4 SDRAM Memory Module - For Desktop PC - 32 GB (1 x 32GB) - DDR4-2666/PC4-21300 DDR4 SDRAM - 2666 MHz - CL19 - 1.20 V - Non-ECC - Unbuffered - 288-pin - DIMM - Lifetime Warranty</t>
  </si>
  <si>
    <t>Meriplex Tier 1 Technician Labor - PSP Silver</t>
  </si>
  <si>
    <t>FN-TRAN-SX</t>
  </si>
  <si>
    <t>Fortinet SFP (mini-GBIC) Module - For Data Networking, Optical Network - 1 x 1000Base-SX Network - Optical FiberGigabit Ethernet - 1000Base-SX</t>
  </si>
  <si>
    <t>011233</t>
  </si>
  <si>
    <t>CyberData SIP Paging Adapter</t>
  </si>
  <si>
    <t>VK-CTG-1A</t>
  </si>
  <si>
    <t>Viking Clock Controlled Tone Generator</t>
  </si>
  <si>
    <t>HAT5310-8T</t>
  </si>
  <si>
    <t>Synology HAT5300 8 TB Hard Drive - 3.5" Internal</t>
  </si>
  <si>
    <t>Meriplex Tier 3 Engineer Labor - PSP Silver</t>
  </si>
  <si>
    <t>New PC for Harley Stavis</t>
  </si>
  <si>
    <t>30HA001NUS</t>
  </si>
  <si>
    <t>Lenovo ThinkStation P3 30HA001NUS Workstation - Intel Core i9 Tetracosa-core (24 Core) i9-13900 13th Gen 2 GHz - 32 GB DDR5 SDRAM RAM - 1 TB SSD - Mini-tower - Intel W680 Chip - Windows 11 Pro - 1 x NVIDIA RTX A2000 12 GB Graphics - NVMe Controller - Engl</t>
  </si>
  <si>
    <t>Dr. Gay Replacement Desktop</t>
  </si>
  <si>
    <t>55VH2</t>
  </si>
  <si>
    <t>Dell OptiPlex 7000 7010 Desktop Computer - Intel Core i5 13th Gen i5-13500 Tetradeca-core (14 Core) 2.50 GHz - 16 GB RAM DDR4 SDRAM - 256 GB M.2 PCI Express NVMe SSD - Small Form Factor - Black - Intel Chip - Windows 11 Pro - Intel UHD Graphics 770 DDR4 S</t>
  </si>
  <si>
    <t>New tower computer</t>
  </si>
  <si>
    <t>xctoosffphusrvp</t>
  </si>
  <si>
    <t>Dell Optiplex 7010, i5-13500 processor, 32GB Memory, 512GB Hard drive, AMD Graphics card + 4 year warranty</t>
  </si>
  <si>
    <t>Two Surface Pros, two Basic Laptops</t>
  </si>
  <si>
    <t>21DH000RUS</t>
  </si>
  <si>
    <t>Lenovo ThinkBook 14 G4 IAP 14" Notebook - Full HD - 1920 x 1080 - Intel Core i5 12th Gen i5-1235U Deca-core (10 Core) 1.30 GHz - 8 GB Total RAM - 8 GB On-board Memory - 256 GB SSD - Mineral Gray - Intel Chip - Windows 11 Pro - Intel UHD Graphic</t>
  </si>
  <si>
    <t>KCP432SS8/8</t>
  </si>
  <si>
    <t>Kingston 8GB DDR4 SDRAM Memory Module - For Notebo</t>
  </si>
  <si>
    <t>New High Speed Laptop</t>
  </si>
  <si>
    <t>21FV001BUS</t>
  </si>
  <si>
    <t>Lenovo ThinkPad P1 Gen 6 16" Mobile Workstation - WQXGA - 2560 x 1600 - Intel Core i7 13th Gen i7-13700H Tetradeca-core (14 Core) 2.40 GHz - 32 GB Total RAM - 1 TB SSD - Black Paint - Intel Chip - Windows 11 Pro - NVIDIA RTX A1000 with 6 GB - I</t>
  </si>
  <si>
    <t>HPE 1YR SN:MXQ44302KK - SPC Retail Display Group (Sam Pievac)</t>
  </si>
  <si>
    <t>H40M3PE</t>
  </si>
  <si>
    <t>HPE 1Y PW TC ESS DL360P GEN8 MLIC SVC PL-96</t>
  </si>
  <si>
    <t>Fortinet FG100E - OrthoSouth</t>
  </si>
  <si>
    <t>FORTICO-TERM</t>
  </si>
  <si>
    <t>FG100ETK20015106 | UTM Protection 24x7 | Easrliest Start Date: 2/25/2024; Co-term End Date: 8/17/2026</t>
  </si>
  <si>
    <t>Upgrade Richmond Road Velo Appliance to 1GB Throughput</t>
  </si>
  <si>
    <t>MPX LA - Forti AP Renewal</t>
  </si>
  <si>
    <t>Fortinet Co-Term Services for FortiSwitch</t>
  </si>
  <si>
    <t>MPX LA - Porsche Fortinet Renewals</t>
  </si>
  <si>
    <t>#10442768 - Brian Crouter\ Quote for Adobe Standard license</t>
  </si>
  <si>
    <t>65311407</t>
  </si>
  <si>
    <t>UNIVERSAL ENGLISH ACROBAT STANDARD 2020 WIN</t>
  </si>
  <si>
    <t>- Returned to sales - No Quote attached. 1 - Desktop with 2 monitors</t>
  </si>
  <si>
    <t>Logitech MK270 Wireless Keyboard and Mouse Combo for Windows, 2.4 GHz Wireless, Compact Mouse, 8 Multimedia and Shortcut Keys, 2-Year Battery Life, for PC, Laptop - USB Wireless RF 2.40 GHz Keyboard - English - Black - USB Wireless RF Mouse - Optical - 3</t>
  </si>
  <si>
    <t>C36TD</t>
  </si>
  <si>
    <t>Dell OptiPlex 7000 7010 Desktop Computer - Intel Core i5 13th Gen i5-13500T Tetradeca-core (14 Core) 1.60 GHz - 16 GB RAM DDR4 SDRAM - 256 GB M.2 PCI Express NVMe SSD - Micro PC - Black - Intel Chip - Windows 11 Pro - Intel UHD Graphics 770 DDR4 SDRAM - E</t>
  </si>
  <si>
    <t>DELL-E2423H</t>
  </si>
  <si>
    <t>Dell E2423H 24" Class Full HD LCD Monitor - 16:9 - Black - 23.8" Viewable - Vertical Alignment (VA) - LED Backlight - 1920 x 1080 - 16.7 Million Colors - 250 Nit - 5 ms - 60 Hz Refresh Rate - VGA - DisplayPort</t>
  </si>
  <si>
    <t>Quote #MPS122631 Per Service Ticket #10455670 - Additional Switches</t>
  </si>
  <si>
    <t>PWR-C5-1KWAC=</t>
  </si>
  <si>
    <t>1KW AC Config 5 Power Supply for C9200L-48P-4X-E</t>
  </si>
  <si>
    <t>C9200L-DNA-E-48-3Y</t>
  </si>
  <si>
    <t>Cisco Digital Network Architecture Essentials - Term License - 48 Port - 3 Year</t>
  </si>
  <si>
    <t>C1000-8FP-2G-L</t>
  </si>
  <si>
    <t>Cisco Catalyst C1000-8FP Ethernet Switch - 8 Ports - Manageable - Gigabit Ethernet - 10/100/1000Base-T, 1000Base-X - 2 Layer Supported - Modular - 2 SFP Slots - 110 W Power Consumption - 120 W PoE Budget - Twisted Pair, Optical Fiber - PoE Ports - Lifetim</t>
  </si>
  <si>
    <t>PWR-C5-1KWAC/2</t>
  </si>
  <si>
    <t>Cisco Power Supply - 1000 W</t>
  </si>
  <si>
    <t>C1000-24FP-4X-L</t>
  </si>
  <si>
    <t>Cisco Catalyst C1000-24FP Ethernet Switch - 24 Ports - Manageable - 2 Layer Supported - Modular - Twisted Pair, Optical Fiber - Rack-mountable</t>
  </si>
  <si>
    <t>C9200L-48P-4X-E</t>
  </si>
  <si>
    <t>Cisco Catalyst 9200 C9200L-48P-4X Layer 3 Switch - 48 Ports - Manageable - Gigabit Ethernet, 10 Gigabit Ethernet - 10/100/1000Base-T, 10GBase-X - 3 Layer Supported - Modular - Twisted Pair, Optical Fiber - PoE Ports - Rack-mountable</t>
  </si>
  <si>
    <t>C9200L-STACK-KIT=</t>
  </si>
  <si>
    <t>Cisco Stack Kit</t>
  </si>
  <si>
    <t>2012 Server Upgrade Project - Phase 1 - Server Builds</t>
  </si>
  <si>
    <t>Meriplex Tier 3 Engineer Labor - 2012 Server Upgrade Project - Phase 1 - Server Builds</t>
  </si>
  <si>
    <t>30 hour block</t>
  </si>
  <si>
    <t>MPC-BLK-25-50</t>
  </si>
  <si>
    <t>Hourly Support Block (26 - 50 Units)</t>
  </si>
  <si>
    <t>FB Financial Holdings | UPS Change Order for Meriplex Sales Order # MPS119272</t>
  </si>
  <si>
    <t>SMX3000LVNCUS</t>
  </si>
  <si>
    <t>APC by Schneider Electric Smart-UPS 2.88kVA Tower/Rack Convertible UPS - 4U Rack-mountable - 3 Hour Recharge - 6.30 Minute Stand-by - 120 V AC Input - 120 V AC Output - Sine Wave - 6 x NEMA 5-15R, 3 x NEMA 5-20R, 1 x NEMA L5-30R - TAA Compli</t>
  </si>
  <si>
    <t>Quote #MPS122664 Per Service Ticket #10457761 - Meraki Cloud License Renewal</t>
  </si>
  <si>
    <t>Meraki MR Enterprise License, 1YR</t>
  </si>
  <si>
    <t>Patch Cables and Switch for Katy store</t>
  </si>
  <si>
    <t>M45PATCH6BL</t>
  </si>
  <si>
    <t>StarTech.com 6 ft Blue Molded Cat5e UTP Patch Cable - Make Fast Ethernet network connections using this high quality Cat5e Cable, with Power-over-Ethernet capability - 6ft Cat5e Patch Cable - 6 ft Cat 5e patch cable - 6' Cat5e Patch Cord - 6ft Molded Patc</t>
  </si>
  <si>
    <t>TL-SG1005P</t>
  </si>
  <si>
    <t>TP-Link - 5-Port Gigabit PoE Switch - 4 PoE+ Ports @65W - Desktop - Plug &amp; Play - Sturdy Metal w/ Shielded Ports - Fanless - QoS &amp; IGMP Snooping</t>
  </si>
  <si>
    <t>FB Azure Project Planning Services Block of Hours</t>
  </si>
  <si>
    <t>Quote #MPS122677 Per Service Ticket #10449390 - Teams Conference Room Solution</t>
  </si>
  <si>
    <t>A30-020</t>
  </si>
  <si>
    <t>Yealink A30 Meeting Bar with CTP18 Touch Panel - For Meeting Room - H.264 High Profile, H.264 SVC, H.264 - 1 x Network (RJ-45)HDMI In - 2 x HDMI Out - USB - Gigabit Ethernet - Wireless LAN - Internal Microphone(s) - Wall Mountable</t>
  </si>
  <si>
    <t>Fortinet 1YR 24x7 - Chasewood Bank</t>
  </si>
  <si>
    <t>FGT60ETK18084312 &amp; FGT60ETK18085442 | FortiGate-60E 1 Year Unified Threat Protection (UTP) | 1/22/2024-1/21/2025</t>
  </si>
  <si>
    <t>Microsoft - Plains State Bank</t>
  </si>
  <si>
    <t>R18-01855</t>
  </si>
  <si>
    <t>MS- OV2.0 ANNUITY OPTION | WIN SVR CAL ENG LICS 1YR ACQ Y1 U CALIC</t>
  </si>
  <si>
    <t>Ruckus For Dubai</t>
  </si>
  <si>
    <t>CLD-ESNT-APSW-REC1</t>
  </si>
  <si>
    <t>R1 ESSENTIALS 1 AP/SW REC 1-YR</t>
  </si>
  <si>
    <t>901-R750-WW00</t>
  </si>
  <si>
    <t>Ruckus Wireless R750 802.11ax 2.34 Gbit/s Wireless Access Point - 2.40 GHz, 5 GHz - MIMO Technology - 2 x Network (RJ-45) - 2.5 Gigabit Ethernet, Gigabit Ethernet - Wall Mountable, Ceiling Mountable, Desktop</t>
  </si>
  <si>
    <t>HP EliteBook 840 G10 Notebook</t>
  </si>
  <si>
    <t>89D95UT#ABA</t>
  </si>
  <si>
    <t>HP EliteBook 840 G10 Notebook - Wolf Pro Security - 14" i7 16 GB 512 GB SSD</t>
  </si>
  <si>
    <t>UC279E</t>
  </si>
  <si>
    <t>HP Care Pack 3 Year Next Business Day Hardware Support with Accidental Damage Protection</t>
  </si>
  <si>
    <t>MPX LA - Justin Vestal new user setup</t>
  </si>
  <si>
    <t>Adobe Renewal</t>
  </si>
  <si>
    <t>Adobe Acrobat Standard DC for Teams - Team Licensing Subscription Renewal - 1 User - Price Level 2 - (10-49) - Volume - Adobe Value Incentive Plan (VIP) - PC</t>
  </si>
  <si>
    <t>65304052BA02C12</t>
  </si>
  <si>
    <t>12MO SUB RNWL ILLUSTRATOR TEAMS ALL MPLAT L2 10-49/ N/A</t>
  </si>
  <si>
    <t>Quote #MPS122683 Per Service Ticket # 10459817 - Fortinet Switch</t>
  </si>
  <si>
    <t>FS-124E-POE</t>
  </si>
  <si>
    <t>Fortinet FortiSwitch 124E-PoE Ethernet Switch - 24 Ports - Manageable - 2 Layer Supported - Modular - 4 SFP Slots - Twisted Pair, Optical Fiber - 1U High - Rack-mountable, Standalone - Lifetime Limited Warranty</t>
  </si>
  <si>
    <t>FC-10-S248P-247-02-12</t>
  </si>
  <si>
    <t>Fortinet FortiCare Comprehensive Support - Extended Service (Renewal) - 1 Year - Service - 24 x 7 x Next Business Day - Service Depot - Exchange - Parts - Physical, Electronic</t>
  </si>
  <si>
    <t>MPX LA - Veeam Renewal</t>
  </si>
  <si>
    <t>V-ESSSTD-VS-P01AR-00</t>
  </si>
  <si>
    <t>Veeam Annual Basic Maintenance Renewal - Veeam Backup Essentials Standard 2 socket bundle for VMware - 12 x 5 - Maintenance - Electronic</t>
  </si>
  <si>
    <t>Install 2nd hard drives - Phase 1</t>
  </si>
  <si>
    <t>SNV2S/1000G</t>
  </si>
  <si>
    <t>Kingston 1 TB Solid State Drive - M.2 2280 Internal - PCI Express NVMe (PCI Express NVMe 4.0 x4) - Desktop PC, Notebook, Motherboard Device Supported - 320 TB TBW - 3500 MB/s Maximum Read Transfer Rate - 3 Year Warranty</t>
  </si>
  <si>
    <t>MPX LA - Replacement APC UPS</t>
  </si>
  <si>
    <t>Shipping</t>
  </si>
  <si>
    <t>APCRBC123-SLA123</t>
  </si>
  <si>
    <t>BTI Replacement Battery RBC123 for APC - UPS Battery - Lead Acid - Compatible with APC UPS SMT750RM2UC SMT750RM2UNC SMT750R2X122 BX1350M</t>
  </si>
  <si>
    <t>MPX LA - Domain renewals</t>
  </si>
  <si>
    <t>Network Solutions</t>
  </si>
  <si>
    <t>Domain Name Renewal - 1 Year</t>
  </si>
  <si>
    <t>SR 250069 Precision 7780 Bundle Desk Phone PO 50167887</t>
  </si>
  <si>
    <t>DELL 580-AJIS</t>
  </si>
  <si>
    <t>Dell KM5221W Wireless Keyboard &amp; Mouse</t>
  </si>
  <si>
    <t>TARGUS CVR217</t>
  </si>
  <si>
    <t>Targus Notebook Case 17</t>
  </si>
  <si>
    <t>TRIPP P580-006</t>
  </si>
  <si>
    <t>DisplayPort to DisplayPort Cable 6'</t>
  </si>
  <si>
    <t>DELL 210-AZBN</t>
  </si>
  <si>
    <t>Dell WD19DCS Dock 210w PD 240W AC</t>
  </si>
  <si>
    <t>CISCO CP-8811-K9=</t>
  </si>
  <si>
    <t>Cisco 8811 Unified IP Phone</t>
  </si>
  <si>
    <t>998-GDXV</t>
  </si>
  <si>
    <t>Dell Mobile Precision 7780 17.3" Intel Core i9-13950HX vPro 64GB 1TB M.2 PCIe NCMe Gen 4 2280 SSD, Windows 11 Pro</t>
  </si>
  <si>
    <t>10453200 - SonicWall Firewall Annual Support Renewal TZ350 SN: 2CB8ED3E4078</t>
  </si>
  <si>
    <t>02-SSC-1773</t>
  </si>
  <si>
    <t>ADVANCED GATEWAY SECURITY SUITE BUNDLE FOR TZ350 SERIES 1YR</t>
  </si>
  <si>
    <t>Quote #MPS122713 Per Service Ticket # 10262762 - Meraki Cloud License Renewal</t>
  </si>
  <si>
    <t>LIC-ENT-3YR</t>
  </si>
  <si>
    <t>Meraki MR Enterprise Cloud Controller License, 3 Years - Meraki MR Series Access Point - Subscription License 1 Access Point - 3 Year License Validation Period</t>
  </si>
  <si>
    <t>#10455457 - GR: Kevin Hudson / Procure Wireless headset (for Samantha Godair)</t>
  </si>
  <si>
    <t>7K2E1AA</t>
  </si>
  <si>
    <t>Poly Voyager 5200 USB-A UC Headset - Google Assistant, Siri - Mono - USB Type A, Micro USB - Wireless - Bluetooth - 98.4 ft - 32 Ohm - 100 Hz - 20 kHz - Over-the-ear, Earbud - Monaural - In-ear - Omni-directional, MEMS Technology, Noise Cancelling Microph</t>
  </si>
  <si>
    <t>Service Ticket #10462666 APC Smart UPS 1500</t>
  </si>
  <si>
    <t>Optional: Special Onsite Visit - Technician to Come Onsite and Assist with Basic Installation and Configuration</t>
  </si>
  <si>
    <t>Travel Time - Hourly - Travel Time</t>
  </si>
  <si>
    <t>5PX1500RTG2</t>
  </si>
  <si>
    <t>Eaton 5PX G2 1440VA 1440W 120V Line-Interactive UPS - 8 NEMA 5-15R Outlets, Cybersecure Network Card Option, Extended Run, 2U Rack/Tower - 5PX G2 1440VA Rack/Tower UPS - 5 Minute Stand</t>
  </si>
  <si>
    <t>Install</t>
  </si>
  <si>
    <t>Optional Onsite Installation</t>
  </si>
  <si>
    <t>New APC UPS's</t>
  </si>
  <si>
    <t>UPS NETWORK MANAGEMENT CARD ACCS WITH POWERCHUTE NETWORK SHUTDOWN</t>
  </si>
  <si>
    <t>AP9567</t>
  </si>
  <si>
    <t>BASIC PDU 120V 15A 0U RM RACK 14X5-15</t>
  </si>
  <si>
    <t>SMX2200RMLV2U</t>
  </si>
  <si>
    <t>SMART UPS X 2200VA RT 100-127V PERP LCD</t>
  </si>
  <si>
    <t>Adobe Acrobat Pro DC for teams all MLP Named Renew</t>
  </si>
  <si>
    <t>65271946BB02A12</t>
  </si>
  <si>
    <t>Adobe Stock Large CC MLP Named Renewal</t>
  </si>
  <si>
    <t>Fortinet HA Pair</t>
  </si>
  <si>
    <t>FG-400F-BDL-950-36</t>
  </si>
  <si>
    <t>FORTIGATE-400F HW PLUS 3YR 24X7 FORTICARE &amp; FORTIGUARD UTP</t>
  </si>
  <si>
    <t>SP-FGPCOR-US</t>
  </si>
  <si>
    <t>POWER CORD ALL SYST</t>
  </si>
  <si>
    <t>SP-FG400F-PS</t>
  </si>
  <si>
    <t>AC POWER SUPPLY F/ FG-400/401F FG-600/601F POWER CABLE</t>
  </si>
  <si>
    <t>03973</t>
  </si>
  <si>
    <t>C2G 2ft (0.6m) Cat6 Snagless Unshielded (UTP) Ethernet Network Patch Cable - Blue - 2 ft Category 6 Network Cable for Network Device - First End: 1 x RJ-45 Network - Male - Second End: 1 x RJ-45 Network - Male - Patch Cable - Standard Non-rated - 24 AWG -</t>
  </si>
  <si>
    <t>JL679A#ABA</t>
  </si>
  <si>
    <t>Aruba 6100 Ethernet Switch - 12 Ports - Manageable - 2 Layer Supported - Modular - 21.90 W Power Consumption - 139 W PoE Budget - Optical Fiber, Twisted Pair - PoE Ports - 1U High - Wall Mountable, Rack-mountable, Surface Mount - Lifetime Limited Warranty</t>
  </si>
  <si>
    <t>HY2R6E</t>
  </si>
  <si>
    <t>HPE Foundation Care Exchange - Extended Service - 3 Year - Service - 9 x 5 x Next Business Day - Service Depot - Exchange</t>
  </si>
  <si>
    <t>Q9Y69AAE</t>
  </si>
  <si>
    <t>Aruba Central Foundation - Subscription License - 1 Switch (12 Ports) - 3 Year - Electronic</t>
  </si>
  <si>
    <t>Meriplex Engineer Labor</t>
  </si>
  <si>
    <t>Quote #MPS122747 Per Service Ticket # 10445556 - SASSI - Monitor</t>
  </si>
  <si>
    <t>DELL-P2422H</t>
  </si>
  <si>
    <t>Dell P2422H 24" Class Full HD LCD Monitor - 16:9 - Black, Silver - 23.8" Viewable - In-plane Switching (IPS) Technology - LED Backlight - 1920 x 1080 - 16.7 Million Colors - 250 Nit Typical - 5 ms - 75 Hz Refresh Rate - HDMI - VGA - DisplayPort</t>
  </si>
  <si>
    <t>SonicWall Upgrade TZ370</t>
  </si>
  <si>
    <t>10466676 - DUO Licenses</t>
  </si>
  <si>
    <t>DUO Enterprise Multifactor Authentication Licenses through June 30th</t>
  </si>
  <si>
    <t>4 New Adobe Pro Licenses</t>
  </si>
  <si>
    <t>6MO SUB LICS TEAMS ACROBAT PRO MLIC NEW CUST ONLY MPLAT L2 10-49</t>
  </si>
  <si>
    <t>AXIS Camera PO S111755</t>
  </si>
  <si>
    <t>02326-001</t>
  </si>
  <si>
    <t>AXIS P3265-V 2 Megapixel Indoor Full HD Network Camera - Color - Dome - White</t>
  </si>
  <si>
    <t>01513-001</t>
  </si>
  <si>
    <t>AXIS T94N01D Ceiling Mount for Network Camera</t>
  </si>
  <si>
    <t>01752-004</t>
  </si>
  <si>
    <t>AXIS Q6075-E 2 Megapixel Outdoor Full HD Network Camera - Color - Dome - White</t>
  </si>
  <si>
    <t>01500-001</t>
  </si>
  <si>
    <t>AXIS P3719-PLE 15 Megapixel Outdoor Network Camera - Color - Dome - White</t>
  </si>
  <si>
    <t>5504-821</t>
  </si>
  <si>
    <t>AXIS T91D61 Camera Mount for Network Camera, Cabinet, Holder, Mounting Bracket - White - 33 lb Load Capacity</t>
  </si>
  <si>
    <t>5505-521</t>
  </si>
  <si>
    <t>AXIS ACI Conduit Adapter 1/2" U-Shape 20mm - Cable Conduit - 5</t>
  </si>
  <si>
    <t>5505-541</t>
  </si>
  <si>
    <t>AXIS Mounting Adapter for Network Camera - White - 2</t>
  </si>
  <si>
    <t>02398-001</t>
  </si>
  <si>
    <t>TQ6809 HARD COATED CLEAR DOME</t>
  </si>
  <si>
    <t>01981-001</t>
  </si>
  <si>
    <t>AXIS Q6010-E 60 Hz 5 Megapixel Outdoor Network Camera - Color - Dome - White</t>
  </si>
  <si>
    <t>desktops and monitors</t>
  </si>
  <si>
    <t>DELL-E2723H</t>
  </si>
  <si>
    <t>Dell E2723H 27" Class Full HD LCD Monitor - 16:9 - Black - 27" Viewable - Vertical Alignment (VA) - LED Backlight - 1920 x 1080 - 16.7 Million Colors - 300 Nit - 5 ms - VGA - DisplayPort</t>
  </si>
  <si>
    <t>Quote #MPS122768 Per Service Ticket # 10427413 - Replacement Server Drive</t>
  </si>
  <si>
    <t>870759-B21</t>
  </si>
  <si>
    <t>HP 900 GB Hard Drive - 2.5" Internal - SAS - 15000rpm</t>
  </si>
  <si>
    <t>SJ + Ont Firewall renewals</t>
  </si>
  <si>
    <t>01-SSC-0638</t>
  </si>
  <si>
    <t>SonicWall Comprehensive Gateway Security Suite for TZ 300 - SonicWALL TZ300 Network Security Firewall - Subscription License 1 Appliance - 1 Year License Validation Period - TAA Compliant</t>
  </si>
  <si>
    <t>Quote #MPS122723 Per Service Ticket # 10454171 - Laptop for Sara</t>
  </si>
  <si>
    <t>21HF000AUS</t>
  </si>
  <si>
    <t>Lenovo ThinkPad P14s Gen 4 14" Mobile Workstation - WUXGA - 1920 x 1200 - Intel Core i7 13th Gen i7-1360P Dodeca-core (12 Core) - 16 GB Total RAM - 16 GB On-board Memory - 512 GB SSD - Villi Black - Intel Chip - Windows 11 Pro - Intel Iris Xe G</t>
  </si>
  <si>
    <t>10467281 - Laptop and Two Docking Stations - Client Will Call</t>
  </si>
  <si>
    <t>21DH00DAUS</t>
  </si>
  <si>
    <t>Lenovo ThinkBook 14 G4 IAP 14" Notebook - Full HD - 1920 x 1080 - Intel Core i5 12th Gen i5-1235U Deca-core (10 Core) 1.30 GHz - 8 GB Total RAM - 8 GB On-board Memory - 256 GB SSD - Mineral Gray - Intel Chip - Windows 11 - Intel Iris Xe Graphic</t>
  </si>
  <si>
    <t>10465508 - New Touchscreen Laptop for Existing Employee Christie Hooper</t>
  </si>
  <si>
    <t>21DH0075US</t>
  </si>
  <si>
    <t>Lenovo ThinkBook 14 G4 IAP 14" Touchscreen Notebook - Full HD - 1920 x 1080 - Intel Core i5 12th Gen i5-1240P - 16 GB Total RAM - 512 GB SSD - Intel Chip - Windows 11 Pro - Intel Iris Xe Graphics - Front Camera/Webcam - IEEE 802.11ax Wireless L</t>
  </si>
  <si>
    <t>SR 247731 Latitude 5540 Bundle PO 50168367</t>
  </si>
  <si>
    <t>210-BGBM</t>
  </si>
  <si>
    <t>Dell Latitude 5540 Core i7-1365U 13th Gen 16GB 512GB M.2 Windows 11, 15.6" FHD IR Camera WLAN Backlit Keyboard with Numeric Keypad Intel Wi-Fi 6E AX211, 2x2, 802.11ax, Bluetooth 3 Year ProSupport</t>
  </si>
  <si>
    <t>DELL 210-AZBM</t>
  </si>
  <si>
    <t>Dell WD19S Dock 130w PD 180W AC</t>
  </si>
  <si>
    <t>SR 247853 Latitude 5540 Bundle Monitors PO 50168372</t>
  </si>
  <si>
    <t>DELL 460-BDKI</t>
  </si>
  <si>
    <t>Dell EcoLoop Pro Briefcase</t>
  </si>
  <si>
    <t>210-BGPK</t>
  </si>
  <si>
    <t>Dell E2424HS 24" LED LCD</t>
  </si>
  <si>
    <t>Hardware</t>
  </si>
  <si>
    <t>AP7800B</t>
  </si>
  <si>
    <t>APC by Schneider Electric Rack PDU, Metered, 1U, 15A, 100/120V, (8) 5-15 - Metered - NEMA 5-15P - 8 x NEMA 5-15R - 100 V, 120 V - 12 ft Cord Length - 1U - Rack-mountable</t>
  </si>
  <si>
    <t>SMT2200RM2UC</t>
  </si>
  <si>
    <t>APC by Schneider Electric Smart-UPS 2200VA LCD RM 2U 120V with SmartConnect - 2U Rack-mountable - 3 Hour Recharge - 6.60 Minute Stand-by - 120 V Input - 120 V AC Output - Sine Wave - 2 x NEMA 5-20R, 6 x NEMA 5-15R - 8 x Battery/Surge Outlet</t>
  </si>
  <si>
    <t>FAP-221E-E</t>
  </si>
  <si>
    <t>Fortinet FortiAP 221E IEEE 802.11ac 1.14 Gbit/s Wireless Access Point - 5 GHz, 2.40 GHz - MIMO Technology - 1 x Network (RJ-45) - Gigabit Ethernet - Ceiling Mountable, Wall Mountable, Rail-mountable</t>
  </si>
  <si>
    <t>B021-000-19-HD</t>
  </si>
  <si>
    <t>Tripp Lite by Eaton Rack Console KVM w/ 19" LCD, DVI or VGA Adapter 1U - 1 Computer(s) - 19" LCD - 1366 x 768 - 1 x USB - 1 x DVI"</t>
  </si>
  <si>
    <t>SMC1500-2UC</t>
  </si>
  <si>
    <t>APC by Schneider Electric Smart-UPS C 1500VA RM 2U 120V with SmartConnect - 2U Rack-mountable - 3 Hour Recharge - 10.10 Minute Stand-by - 120 V Input - 120 V AC Output - Sine Wave - 6 x NEMA 5-15R - 6 x Battery/Surge Outlet</t>
  </si>
  <si>
    <t>SR 247913 Monitor PO 20066220</t>
  </si>
  <si>
    <t>SR 247940 Acrobat Pro PO 50168379</t>
  </si>
  <si>
    <t>65324394AD01A00</t>
  </si>
  <si>
    <t>Adobe Acrobat Pro 2020</t>
  </si>
  <si>
    <t>10456804 - UCC SSL Renwal For mail.lakewoodcountryclub.net</t>
  </si>
  <si>
    <t>SR 248015 Latitude 5540 Bundle PO 3003864</t>
  </si>
  <si>
    <t>SR 248034 OptiPlex 7010 Monitor PO 50168387</t>
  </si>
  <si>
    <t>338-CHBX</t>
  </si>
  <si>
    <t>Dell OptiPlex 7010 Micro i5-13500T (6+8 Cores/24MB/20T/1.6GHz to 4.6GHz/35W), 16GB (1x16GB) DDR4, 512GB SSD, Windows 11</t>
  </si>
  <si>
    <t>10437521 - 1-Year SSL Certificate Renewal for remote.coltmidstream.com</t>
  </si>
  <si>
    <t>SR 248045 Acrobat Pro PO 962640</t>
  </si>
  <si>
    <t>SR 248052 Latitude 5540 Bundle PO 3003865</t>
  </si>
  <si>
    <t>10424729 - 1-Year 24/7 UTM Coterminous Renewal for Multiple Firewalls</t>
  </si>
  <si>
    <t>Fortinet Co-Term Services for Multiple Firewalls - Coterm End Date 2025-03-20</t>
  </si>
  <si>
    <t>SR 248059 Latitude 5540 Bundle Monitors PO 32271</t>
  </si>
  <si>
    <t>SR 248053 OptiPlex 7010 Monitors PO 50168399</t>
  </si>
  <si>
    <t>10419785 - SFPs and Fiber Cables - Ship to Weatherford</t>
  </si>
  <si>
    <t>GLC-LX-SM-RGD-AO</t>
  </si>
  <si>
    <t>AddOn Cisco GLC-LX-SM-RGD Compatible TAA Compliant 1000Base-LX SFP Transceiver (SMF, 1310nm, 10km, LC, DOM, Rugged) - 100% compatible and guaranteed to work</t>
  </si>
  <si>
    <t>N368-01M</t>
  </si>
  <si>
    <t>Tripp Lite by Eaton 1M Duplex Singlemode 9/125 Fiber Optic Patch Cable LC/ST 3' 3ft 1 Meter - LC Male - ST Male - 3.28ft - Yellow</t>
  </si>
  <si>
    <t>SR 246668 OptiPlex 3000 Thin Client Monitor PO 50168370</t>
  </si>
  <si>
    <t>210-BCIJ</t>
  </si>
  <si>
    <t>Dell OptiPlex 3000 Thin Client Celeron N5105 32GB Flash 4GB RAM</t>
  </si>
  <si>
    <t>SR 247378 Latitude 5540 Bundle PO 50168400</t>
  </si>
  <si>
    <t>Knowbe4 Implementation</t>
  </si>
  <si>
    <t>FB Teams Dial2Teams Solutions - Austin</t>
  </si>
  <si>
    <t>UCS-D2T-CPP=</t>
  </si>
  <si>
    <t>Meriplex Dial2Teams - Calling Plan with Phone System Licensing</t>
  </si>
  <si>
    <t>SR 247942 Acrobat Pro PO 50168402</t>
  </si>
  <si>
    <t>10405235 - Renew Warranty on Lenovo SR250 Server BCERMLB S/N# J100VWNN</t>
  </si>
  <si>
    <t>Extended Server Warranty - Onsite - 4 Hour Response</t>
  </si>
  <si>
    <t>MPX LA - Fortinet FortiCare renewal</t>
  </si>
  <si>
    <t>FC-10-0060F-585-02-12</t>
  </si>
  <si>
    <t>FortiGate-60F 1 Year FortiAnalyzer Cloud: cloud-Based central logging &amp; analytics. Include All FortiGate log types, IOC Service, Security Automation Service and FortiGuard Outbreak Detection Service.</t>
  </si>
  <si>
    <t>FC-10-PF231-247-02-12</t>
  </si>
  <si>
    <t>FortiAP-231F 1 Year FortiCare Premium Support</t>
  </si>
  <si>
    <t>FC-10-WP12E-247-02-12</t>
  </si>
  <si>
    <t>FortiSwitch-124E 1 Year FortiCare Premium Support</t>
  </si>
  <si>
    <t>MPX LA - Cisco Catalyst Switch SMARTnet renewal</t>
  </si>
  <si>
    <t>CON-SNTP-WSC3851S</t>
  </si>
  <si>
    <t>Cisco SMARTnet Premium - Extended Service - Service - 24 x 7 x 4 Hour - Exchange - Physical</t>
  </si>
  <si>
    <t>SR 248048 Precision 7780 Bundle PO 962641</t>
  </si>
  <si>
    <t>10470421 - Under Counter UPS' for Each Site</t>
  </si>
  <si>
    <t>AVR900U</t>
  </si>
  <si>
    <t>UPS 900VA 480W Line-Interactive UPS - 12 NEMA 5-15R Outlets AVR 120V 50/60 Hz USB Desktop/Wall Mount - Ultra-compact Desktop/Tower/Wall Mount - AVR - 8 Hour Recharge - 2.70 Minute Stand-by - 120 V AC Input - 110 V AC, 115 V AC, 120 V A</t>
  </si>
  <si>
    <t>10304289 - Adobe Annual License Renewal</t>
  </si>
  <si>
    <t>65304041BA01C12</t>
  </si>
  <si>
    <t>12-Month Renewal Adobe Photoshop</t>
  </si>
  <si>
    <t>12-Month Renewal Adobe Acrobat Pro</t>
  </si>
  <si>
    <t>SR 248006 Precision 7780 Bundle PO 50168382</t>
  </si>
  <si>
    <t>SR 248041 Precision 7780 Bundle PO 962639</t>
  </si>
  <si>
    <t>10468370 - Monitoring Alert / NorthShore Medical Group Certificate Expiration for access.northshore</t>
  </si>
  <si>
    <t>SR 248049 Precision 7780 Bundle PO 50168420</t>
  </si>
  <si>
    <t>10435042 - Monitoring Alert / NW Renal Clinic Certificate Expiration for *.nwrc.com</t>
  </si>
  <si>
    <t>MPX LA - Cisco 110 Series 8-Port Unmanaged Gigabit Desktop Switch</t>
  </si>
  <si>
    <t>SE3008</t>
  </si>
  <si>
    <t>Linksys 8-Port Gigabit Ethernet Switch - 8 Ports - Gigabit Ethernet - 10/100/1000Base-T - 2 Layer Supported - Twisted Pair - Wall Mountable - 1 Year Limited Warranty</t>
  </si>
  <si>
    <t>Quote #MPS122843 Per Service Ticket # 10469434 - Windows 11 Home to Pro Upgrade for Microsoft 365 Bu</t>
  </si>
  <si>
    <t>Windows 11 Home to Pro Upgrade for Microsoft 365 B</t>
  </si>
  <si>
    <t>#10402809 - Yamhill Community Care Organization - Other SonicWALL TotalSecure Securit</t>
  </si>
  <si>
    <t>01-SSC-1440</t>
  </si>
  <si>
    <t>SonicWall Advanced Gateway Security Suite For TZ 400 - Subscription License - 1 License - 1 Year - TAA Compliant</t>
  </si>
  <si>
    <t>#10470849 - Edward Brooks / Computer replacement request</t>
  </si>
  <si>
    <t>819-9625</t>
  </si>
  <si>
    <t>W1JF2</t>
  </si>
  <si>
    <t>Dell OptiPlex 7000 7010 Desktop Computer - Intel Core i7 13th Gen i7-13700 Hexadeca-core (16 Core) 2.10 GHz - 32 GB RAM DDR5 SDRAM - 512 GB M.2 PCI Express NVMe SSD - Black - Intel Chip - Windows 11 Pro - Intel UHD Graphics 770 DDR5 SDRAM - DVD-Writer - E</t>
  </si>
  <si>
    <t>Quote #MPS122851 Per Service Ticket #10462722 - UPS Replacement</t>
  </si>
  <si>
    <t>SMT1500RM2UCNC</t>
  </si>
  <si>
    <t>APC by Schneider Electric Smart-UPS 1500VA Rack-Mountable UPS - 2U Rack-mountable - AVR - 3 Hour Recharge - 7.15 Minute Stand-by - 120 V Input - 120 V AC Output - Pure Sine Wave - USB - LCD Display - 6 x NEMA 5-15R</t>
  </si>
  <si>
    <t>Meraki wifi renewal</t>
  </si>
  <si>
    <t>VMS - Domain Reg/Renewal</t>
  </si>
  <si>
    <t>Domain Registration/Renewal</t>
  </si>
  <si>
    <t>Quote #MPS122862 Per Service Ticket #10477232 - Cisco SmartNet Renewal - San Antonio</t>
  </si>
  <si>
    <t>Domain Name Renewal - Per Year</t>
  </si>
  <si>
    <t>MPX LA - SSL Certificate renewal</t>
  </si>
  <si>
    <t>Adobe - Arden Eng</t>
  </si>
  <si>
    <t>65304050BA03C12</t>
  </si>
  <si>
    <t>12MO SUB REAL INDESIGN FOR LICS TEAMS MPLAT L3 5099</t>
  </si>
  <si>
    <t>65297908BA03A12</t>
  </si>
  <si>
    <t>12MO SUB RNWL ACROBAT STANDARD MLIC DC FOR TEAM ALL WIN L3 50-99</t>
  </si>
  <si>
    <t>65304052BA03C12</t>
  </si>
  <si>
    <t>12MO SUB RENEWAL ILLUSTRATOR LICS FOR TEAMS ALL MPLAT L3 50-99</t>
  </si>
  <si>
    <t>65304041BA03C12</t>
  </si>
  <si>
    <t>12MO SUB REAL PHOTOSHOP FOR LICS TEAMS MPLAT L3 5099</t>
  </si>
  <si>
    <t>65324104BA03A12</t>
  </si>
  <si>
    <t>12MO SUB LICS TEAMS ACROBAT PROMLIC CUST ONLY RNWL MPLAT L3 50-99</t>
  </si>
  <si>
    <t>MPX LA - Quote for Cisco Small Business Switch</t>
  </si>
  <si>
    <t>Amendment to MPS119994 adding Professional Services Labor</t>
  </si>
  <si>
    <t>MPX LA - Website Hosting</t>
  </si>
  <si>
    <t>VMS - VSI-Web Hosting</t>
  </si>
  <si>
    <t>Website Hosting - mtsusa.net - 1 Year</t>
  </si>
  <si>
    <t>10478348 - Change Order--Ticket # 10162811 - Adobe Annual Nonprofit Subscription License Renewal</t>
  </si>
  <si>
    <t>65272451BB02A10</t>
  </si>
  <si>
    <t>Adobe Creative Cloud CC MLP Named Renewal 10 Month</t>
  </si>
  <si>
    <t>10196469 - Adobe Nonprofit Subscriptions - Annual Renewal - VIP # A1B1E6C24CA69868680A</t>
  </si>
  <si>
    <t>Adobe Acrobat Pro DC for teams Annual Renewal</t>
  </si>
  <si>
    <t>AO- Jan 15, 3 laptops</t>
  </si>
  <si>
    <t>808-3105</t>
  </si>
  <si>
    <t>Upgrade from 1Y Next Business Day to 3Y Next Business Day</t>
  </si>
  <si>
    <t>Quote #MPS122902 Per Service Ticket #10478901 - Cisco SmartNet Renewal - Westborough</t>
  </si>
  <si>
    <t>Colt Midstream-Surface Pro</t>
  </si>
  <si>
    <t>QIY-00001</t>
  </si>
  <si>
    <t>Microsoft Surface Pro 9 Tablet - 13" - Core i7 12th Gen i7-1265U Deca-core (10 Core) - 16 GB RAM - 512 GB SSD - Windows 11 Pro 64-bit - Platinum - 2880 x 1920 - PixelSense Display - 15.50 Hours Maximum Battery Run Time</t>
  </si>
  <si>
    <t>ProSupport LIC#: APM00200206517 - EH National Bank</t>
  </si>
  <si>
    <t>D4BD6C25F</t>
  </si>
  <si>
    <t>UNITY 380 DPE 25 X 2.5 DELL FLD RCK| Recertification Health Check Midrange | 1/6/2024-1/6/2024</t>
  </si>
  <si>
    <t>D4-2S10-1800U</t>
  </si>
  <si>
    <t>D4 1.8TB 10K SAS 25X2.5 DRIVE UPG | PROSUPPORT PLUS 4HR/MC HARDWARE SUPPORT | 1/7/2023-12/31/2024</t>
  </si>
  <si>
    <t>UNITY 380 DPE 25 X 2.5 DELL FLD RCK | PROSUPPORT PLUS 4HR/MC HARDWARE SUPPORT | 1/7/2023-12/31/2024</t>
  </si>
  <si>
    <t>D4SP-4X1800-10K</t>
  </si>
  <si>
    <t>D4 SYSPACK 4X1.8TGB 10K SAS 25X2.5 | PROSUPPORT PLUS 4HR/MC HARDWARE SUPPORT | 1/7/2023-12/31/2024</t>
  </si>
  <si>
    <t>D4-2S10-1800</t>
  </si>
  <si>
    <t>D4 1.8TB 10K SAS 25X2.5 DRIVE | PROSUPPORT PLUS 4HR/MC HARDWARE SUPPORT | 1/7/2023-12/31/2024</t>
  </si>
  <si>
    <t>New Location - Midland - LTE, SDWAN, Switch, and WAP + Install</t>
  </si>
  <si>
    <t>FS-224D-FPOE</t>
  </si>
  <si>
    <t>Fortinet FortiSwitch 224D-FPOE Ethernet Switch - 24 Ports - Manageable - Gigabit Ethernet - 1000Base-X, 1000Base-T - 3 Layer Supported - 2 SFP Slots - Twisted Pair, Optical Fiber - 1U High - Rack-mountable - Lifetime Limited Warranty</t>
  </si>
  <si>
    <t>FC-10-W0226-247-02-36</t>
  </si>
  <si>
    <t>Fortinet 3 Year 24X7 Services</t>
  </si>
  <si>
    <t>AO- SonicWall support renewal for Lowry and Lincoln</t>
  </si>
  <si>
    <t>01-SSC-1451</t>
  </si>
  <si>
    <t>SonicWall Advanced Gateway Security Suite for TZ500, TZ500 High Availability, TZ500W - Subscription License - 1 License - 2 Year - TAA Compliant</t>
  </si>
  <si>
    <t>New Laptop for Dan</t>
  </si>
  <si>
    <t>xctol7430usrvp</t>
  </si>
  <si>
    <t>Dell Latitude 7430, 14" screen, i7, 16GB Memory, 5</t>
  </si>
  <si>
    <t>Sophos - Kenney Mfg</t>
  </si>
  <si>
    <t>MDRS0S13BCRCAA</t>
  </si>
  <si>
    <t>SOPHOS MM ENT NON UTM | Central Managed Detection and Response Essentials Server | 2/18/2024-3/17/2025</t>
  </si>
  <si>
    <t>MDRE0U13AFRCAA</t>
  </si>
  <si>
    <t>SOPHOS MM ENT NON UTM | Central Managed Detection and Response Essentials | 2/18/2024-3/17/2025</t>
  </si>
  <si>
    <t>MPX LA - Change order for Sales Order #10626</t>
  </si>
  <si>
    <t>SMT3000RM2UNC</t>
  </si>
  <si>
    <t>APC by Schneider Electric Smart-UPS 3000VA LCD RM 2U 120V with Network Card - 2U Tower - 3 Hour Recharge - 120 V Input - 120 V AC Output - Sine Wave - 2 x NEMA 5-20R, 6 x NEMA 5-15R - 8 x Battery/Surge Outlet</t>
  </si>
  <si>
    <t>APC Smart-UPS 2200VA LCD RM 2U 120V with SmartConnect - 2U Rack-mountable - 3 Hour Recharge - 6.60 Minute Stand-by - 120 V Input - 120 V AC Output - Sine Wave - 6 x NEMA 5-15R, 2 x NEMA 5-20R - 8 x Battery/Surge Outlet</t>
  </si>
  <si>
    <t>10426949 - Renewal Cisco AnyConnect License for ASA S/N# JAD2421010A Qty 25</t>
  </si>
  <si>
    <t>L-AC-PLS-1Y-S1</t>
  </si>
  <si>
    <t>Cisco AnyConnect Plus for Blackford County Sheriff's Department</t>
  </si>
  <si>
    <t>8 New desktop computers</t>
  </si>
  <si>
    <t>Meriplex Tier 3 Engineer Labor - PC Set-up Cost</t>
  </si>
  <si>
    <t>V1CT9</t>
  </si>
  <si>
    <t>PRECISION 3460 SFF I7 13-13700 SYST 32GB 2DIMMS 512GB W11</t>
  </si>
  <si>
    <t>Need ELS on 3 DID's</t>
  </si>
  <si>
    <t>V-DID-ENH=</t>
  </si>
  <si>
    <t>New or Existing Enhanced DID</t>
  </si>
  <si>
    <t>10468369 - Monitoring Alert / Evos Smart Tools Certificate Expiration for ftp.evossmarttools.net</t>
  </si>
  <si>
    <t>Talpa 13</t>
  </si>
  <si>
    <t>UCS-LOC=</t>
  </si>
  <si>
    <t>UCaaS Location</t>
  </si>
  <si>
    <t>UCS-PS-WG=</t>
  </si>
  <si>
    <t>UCaaS Implementation Per Site</t>
  </si>
  <si>
    <t>UCS-US=</t>
  </si>
  <si>
    <t>UCaaS: Standard User</t>
  </si>
  <si>
    <t>Spray Clinic Setup</t>
  </si>
  <si>
    <t>45-230-216</t>
  </si>
  <si>
    <t>Ergotron 200 Telescoping Combo Arm - 18 lb - White</t>
  </si>
  <si>
    <t>Laptop and Monitors</t>
  </si>
  <si>
    <t>210-BFZV</t>
  </si>
  <si>
    <t>Dell Latitude 5440</t>
  </si>
  <si>
    <t>Computer Setups</t>
  </si>
  <si>
    <t>MPC-TNM</t>
  </si>
  <si>
    <t>Time and Materials Professional Services: Estimated 3 hours onsite setup/config labor for 17 desktop computers.</t>
  </si>
  <si>
    <t>Equipment Quote</t>
  </si>
  <si>
    <t>86Y59UT#ABA</t>
  </si>
  <si>
    <t>HP Elite Mini 800 G9 Desktop Computer - Intel Core i7 13th Gen i7-13700T Hexadeca-core (16 Core) - 16 GB RAM DDR5 SDRAM - 512 GB M.2 PCI Express NVMe SSD - Mini PC - Intel Q670 Chip - Windows 11 Pro - Intel UHD Graphics 770 DDR5 SDRAM - English Keyboard -</t>
  </si>
  <si>
    <t>7PS84A#BGJ</t>
  </si>
  <si>
    <t>HP LaserJet Enterprise M611dn Desktop Laser Printer - Monochrome - 61 ppm Mono - 1200 x 1200 dpi Print - Automatic Duplex Print - 650 Sheets Input - Ethernet - 275000 Pages Duty Cycle - Plain Paper Print - Gigabit Ethernet - USB</t>
  </si>
  <si>
    <t>L0H17A</t>
  </si>
  <si>
    <t>HP LaserJet 550-Sheet Paper Tray - Plain Paper</t>
  </si>
  <si>
    <t>7Z5F2UT#ABA</t>
  </si>
  <si>
    <t>HP EliteBook 650 G10 15.6" Touchscreen Notebook - Full HD - 1920 x 1080 - Intel Core i7 13th Gen i7-1355U Deca-core (10 Core) - 16 GB Total RAM - 512 GB SSD - Pike Silver Aluminum - Intel Chip - Windows 11 Pro - Intel Iris Xe Graphics - In-plane Switching</t>
  </si>
  <si>
    <t>4J0A2AA#ABA</t>
  </si>
  <si>
    <t>HP Thunderbolt Dock 120W G4 - for Notebook/Desktop PC - 120 W - Thunderbolt 4 - 4 Displays Supported - 4K - 3840 x 2160 - 5 x USB Ports - USB Type-C - 1 x RJ-45 Ports - Network (RJ-45) - 1 x HDMI Ports - HDMI - 2 x DisplayPorts - DisplayPort - Black - Thu</t>
  </si>
  <si>
    <t>54401</t>
  </si>
  <si>
    <t>C2G 6ft Ultra High Definition DisplayPort Cable with Latches</t>
  </si>
  <si>
    <t>Cabling Services</t>
  </si>
  <si>
    <t>Twyla Vittetoe / Quote out replacement pc</t>
  </si>
  <si>
    <t>TV2DP</t>
  </si>
  <si>
    <t>Dell Precision 3000 3260 Workstation - Intel Core i7 Hexadeca-core (16 Core) i7-13700 13th Gen 2.10 GHz - 32 GB DDR5 SDRAM RAM - 512 GB SSD - Ultra Small - Intel Chip - Windows 11 Pro - NVIDIA T1000 8 GB Graphics - Serial ATA/600 Controller - English (US)</t>
  </si>
  <si>
    <t>808-3307</t>
  </si>
  <si>
    <t>Laptop - Bella McKernan</t>
  </si>
  <si>
    <t>s115l5540usrvp</t>
  </si>
  <si>
    <t>Dell Lattitude 5540, 15.6" laptop, i7-1355u, 512GB, 16GB, 4 year warranty</t>
  </si>
  <si>
    <t>Barracuda renewal</t>
  </si>
  <si>
    <t>BSF300a-e</t>
  </si>
  <si>
    <t>Barracuda Energize Updates - Subscription License - 1 License - 1 Month</t>
  </si>
  <si>
    <t>BSF300a-h</t>
  </si>
  <si>
    <t>Barracuda Instant Replacement - Extended Service - 1 Month - Service - Service Depot - Exchange</t>
  </si>
  <si>
    <t>#10485312 - KnowBe4 Quote</t>
  </si>
  <si>
    <t>Reno firewall security services expiration</t>
  </si>
  <si>
    <t>FortiGate FG-101F - Pearland State Bank</t>
  </si>
  <si>
    <t>FC-10-F101F-950-02-36</t>
  </si>
  <si>
    <t>FG101FTK20005906 | FortiGate-101F 3 Year Unified Threat Protection (UTP) (IPS, Advanced Malware Protection, Application Control, URL, DNS &amp; Video Filtering, Antispam Service, and FortiCare Premium) | 7/6/2024-7/6/2027</t>
  </si>
  <si>
    <t>SR 248101 Monitor PO 962701</t>
  </si>
  <si>
    <t>#10485929 - Robin Moody / Procure New computer requested for Anna</t>
  </si>
  <si>
    <t>4MRP5</t>
  </si>
  <si>
    <t>Dell Latitude 3540 15.6" Notebook - Full HD - 1920 x 1080 - Intel Core i5 13th Gen i5-1335U Deca-core (10 Core) - 16 GB Total RAM - 256 GB SSD - Gray - Intel Chip - Windows 11 Pro - Intel Iris Xe Graphics - In-plane Switching (IPS) Technology - English (U</t>
  </si>
  <si>
    <t>New Cisco Firewall (Fannin)</t>
  </si>
  <si>
    <t>CON-ECMU-SFFMCK9V</t>
  </si>
  <si>
    <t>NEW RNW SWSS UPGRADES FIREPOWERSVCS MANAGEMENT CENTER VMWA</t>
  </si>
  <si>
    <t>CON-3SNT-FRP11209</t>
  </si>
  <si>
    <t>CCW 3YR SNTC NBD 8X5 FIREPOWER DOWN 1120 NGFW APPL 1U</t>
  </si>
  <si>
    <t>FPR1120-NGFW-K9</t>
  </si>
  <si>
    <t>FIREPOWER 1120 NGFW APPL 1U PERP</t>
  </si>
  <si>
    <t>L-FPR1120T-TMC-3Y</t>
  </si>
  <si>
    <t>3YR SUB FPR1120 THREAT DEFENSE SVCS THREAT MALWARE AND URL</t>
  </si>
  <si>
    <t>SF-FMC-VMW-10-K9</t>
  </si>
  <si>
    <t>FIREPOWER MGMT CENTER FOR 10 LICS DEVICES</t>
  </si>
  <si>
    <t>SR 248105 Cisco 8811 Phones PO 32283</t>
  </si>
  <si>
    <t>SR 248122 Acrobat Std PO 20066239</t>
  </si>
  <si>
    <t>65324347AD01A00</t>
  </si>
  <si>
    <t>Adobe Acrobat Standard 2020</t>
  </si>
  <si>
    <t>SR 248144 Latitude 5540 Bundle Monitors PO 3003873</t>
  </si>
  <si>
    <t>Datto- Array Drive Needed for S3E24000 - SN: 1C1B0DB213</t>
  </si>
  <si>
    <t>MISCSHW</t>
  </si>
  <si>
    <t>MG06ACA600E-COMP: Datto 6TB Rot HDD MG06ACA600E</t>
  </si>
  <si>
    <t>Server Warranty Quote</t>
  </si>
  <si>
    <t>Lenovo - ZU5C3A</t>
  </si>
  <si>
    <t>Premier Support</t>
  </si>
  <si>
    <t>Essential YourDriveYourData</t>
  </si>
  <si>
    <t>Essential - Post Wty 24x7 4Hr Response</t>
  </si>
  <si>
    <t>5 docking stations</t>
  </si>
  <si>
    <t>DELL-WD22TB4</t>
  </si>
  <si>
    <t>Dell Thunderbolt Dock - WD22TB4 - for Notebook - 180 W - Thunderbolt 4 - 2 Displays Supported - 4K - 5120 x 2880, 3840 x 2160 - 3 x USB Type-A Ports - USB Type-A - 3 x USB Type-C Ports - USB Type-C - 1 x RJ-45 Ports - Network (RJ-45) - 1 x HDMI Ports - HD</t>
  </si>
  <si>
    <t>WellBiz-Five Dell Laptops</t>
  </si>
  <si>
    <t>9268W</t>
  </si>
  <si>
    <t>Dell Latitude 3440 14" Touchscreen Notebook - Full HD - 1920 x 1080 - Intel Core i7 13th Gen i7-1355U Deca-core (10 Core) - 16 GB Total RAM - 512 GB SSD - Space Gray - Intel Chip - Windows 11 Pro - Intel Iris Xe Graphics - In-plane Switching (IPS) Technol</t>
  </si>
  <si>
    <t>DELL-WD19S130W</t>
  </si>
  <si>
    <t>Dell Dock- WD19S 90w Power Delivery - 130w AC - for Notebook - 130 W - USB Type C - 3.0 Displays Supported - 4K, Full HD, QHD - 3840 x 2160 - 6 x USB Ports - USB Type-A - USB Type-C - 1 x HDMI Ports - HDMI - 2 x DisplayPorts - DisplayPort - Gigabit Ethern</t>
  </si>
  <si>
    <t>HP Adapters</t>
  </si>
  <si>
    <t>671R2AA#ABA</t>
  </si>
  <si>
    <t>HPI SOURCING - NEW USB-C 65W Laptop Charger - 1 Pack - 65 W - United States - 5.91 ft Cable - 5 V DC, 9 V DC, 12 V DC, 15 V DC, 20 V DC Output - Black</t>
  </si>
  <si>
    <t>10485783 - New Plotter Set Up - Wednesday 1/24 - Need onsite - Requested by Colin Brown</t>
  </si>
  <si>
    <t>HPE Aruba - Arden Eng</t>
  </si>
  <si>
    <t>H5EC9PE</t>
  </si>
  <si>
    <t>CNJ4JSS4KG, CNJ4JSS4JY | 1YR NBD RNWL ARUBA FOUNDATION CARE SVCS NBD EXCHANGE IAP 305 SVC PL-VR</t>
  </si>
  <si>
    <t>SR 248325 Curved Monitor PO 3003868</t>
  </si>
  <si>
    <t>GWRXB1A</t>
  </si>
  <si>
    <t>Dell 34" Curved USB-C Hub Monitor - P3421WM</t>
  </si>
  <si>
    <t>SR 248403 Monitors PO 20066240</t>
  </si>
  <si>
    <t>SR 248491 Jabra Evolve2 PO 50168763</t>
  </si>
  <si>
    <t>26599-989-999</t>
  </si>
  <si>
    <t>Jabra Evolve2 65 Headset - Stereo - USB Type A - Wireless - Bluetooth - Over-the-head - Binaural - Supra-aural - Black</t>
  </si>
  <si>
    <t>SR 248412 Standard Dock PO 50168762</t>
  </si>
  <si>
    <t>StorageCraft - SPC Retail Display Group (Sam Pievac)</t>
  </si>
  <si>
    <t>XSXW00USMS011YZZZ</t>
  </si>
  <si>
    <t>StorageCraft SP SPX Srvr(Wndws)-Maint-1Y-Qty 1-9 Reg | A8F7-D6B7-7029-F316</t>
  </si>
  <si>
    <t>SR 248493 Acrobat Std PO 20066242</t>
  </si>
  <si>
    <t>SR 248496 Latitude 5540 Bundle PO 962702</t>
  </si>
  <si>
    <t>SR 248494 Precision 7780 Bundle PO 50168764</t>
  </si>
  <si>
    <t>SR 248581 Precision 7780 Bundle Monitors Desk Phone Acrobat Std PO 20066245</t>
  </si>
  <si>
    <t>SR 248587 Precision 7780 Bundle PO 20066246</t>
  </si>
  <si>
    <t>10489822 - New Computer for Programming Director - Matthew Kepler</t>
  </si>
  <si>
    <t>21KG000FUS</t>
  </si>
  <si>
    <t>Lenovo ThinkBook 14 G6 IRL 14" Touchscreen Notebook - WUXGA - 1920 x 1200 - Intel Core i7 13th Gen i7-1355U Deca-core (10 Core) 1.70 GHz - 16 GB Total RAM - 512 GB SSD - Arctic Gray - Intel Chip - Windows 11 Pro - Intel Iris Xe Graphics - In-pl</t>
  </si>
  <si>
    <t>SR 248589 Precisiojn 7780 Bundle PO 20066249</t>
  </si>
  <si>
    <t>SR 248588 Precision 7780 Bundle PO 20066247</t>
  </si>
  <si>
    <t>SR 248634 Latitude 5540 Bundle PO 20066250</t>
  </si>
  <si>
    <t>10486554 - Prep Three Computers for Deployment</t>
  </si>
  <si>
    <t>SR 248645 Latitude 5540 Bundle Monitors Desk Phone PO 50168784</t>
  </si>
  <si>
    <t>SR 248651 Latitude 5540 Bundle PO 3003869</t>
  </si>
  <si>
    <t>HPE 1YR PW - Centeno Schultz</t>
  </si>
  <si>
    <t>H6PA9PE</t>
  </si>
  <si>
    <t>1YR NBD - CN7AK3Q214 | HPE 1YR REN FOUNDATION CARE SVCS NBD EXCH 1920S 24G SWCHSVC PL-LS</t>
  </si>
  <si>
    <t>H6PM4PE</t>
  </si>
  <si>
    <t>1YR NBD - CN7AK3R05B, CN7AK3R08T | 1YR RNWL FOUNDATION CARE NBD SVCS EXCH 1920S 48GSWCH SVC PL-LS</t>
  </si>
  <si>
    <t>SR 248988 Latitude 5540 Bundle PO 13964518</t>
  </si>
  <si>
    <t>SR 248976 Precision 7780 Bundle PO 50168767</t>
  </si>
  <si>
    <t>10490450 - 2012 Server Upgrade Project - Phase 2 - App Installs, Data Migration, Testing</t>
  </si>
  <si>
    <t>Lebco - Cabling for Shreveport Store</t>
  </si>
  <si>
    <t>3rd Party Cabling</t>
  </si>
  <si>
    <t>POTS line for Atoka PT Clinic</t>
  </si>
  <si>
    <t>10486782 - Fortinet Renewal 1-Year 24x7 UTM Renewal For multiple firewalls and devices</t>
  </si>
  <si>
    <t>FORTINET COTERM PRICED PER QUOTE</t>
  </si>
  <si>
    <t>MPX LA - Two Computers</t>
  </si>
  <si>
    <t>HP Pro Mini Pro Mini 400 G9 Desktop Computer - Intel Core i5 12th Gen i5-12500T Hexa-core (6 Core) 2 GHz - 16 GB RAM DDR4 SDRAM - 256 GB M.2 PCI Express NVMe SSD - Desktop Mini - Black - Intel Q670 Chip - Windows 11 Pro - Intel UHD Graphics 770 DDR4 SDRAM</t>
  </si>
  <si>
    <t>F2B56UT</t>
  </si>
  <si>
    <t>HP DVD-Writer - External - DVD-R/RW Support - USB</t>
  </si>
  <si>
    <t>10424731 - Digium Titanium Renewal</t>
  </si>
  <si>
    <t>1SWXTSUB1R2</t>
  </si>
  <si>
    <t>Digium 2 Year Switchvox Titanium Support and Maint</t>
  </si>
  <si>
    <t>MPX LA - SSL Certificate renewals</t>
  </si>
  <si>
    <t>MPX LA - Barracuda Cloud Archiving Service Renewal</t>
  </si>
  <si>
    <t>EP-CAS-Usr-1M</t>
  </si>
  <si>
    <t>Email Protection, 274 Users, Cloud Archiving Service, per User, 1 Month SN# 891938 22-Mar-2024 - 21-Mar-2025</t>
  </si>
  <si>
    <t>Parker PT Workstation</t>
  </si>
  <si>
    <t>MWP91</t>
  </si>
  <si>
    <t>Dell OptiPlex Desktop Computer - Intel Core i5 13th Gen i5-13500T Tetradeca-core (14 Core) 1.60 GHz - 8 GB RAM DDR4 SDRAM - 256 GB M.2 PCI Express NVMe SSD - Micro PC - Black - Intel Chip - Windows 11 Pro - Intel UHD Graphics 770 DDR4 SDRAM - English (US)</t>
  </si>
  <si>
    <t>N201-06N-BK</t>
  </si>
  <si>
    <t>Tripp Lite Cat6 Gigabit Snagless Molded (UTP) Ethernet Cable (RJ45 M/M) PoE Black 6-in. (15.24 cm) - Category 6 for Network Device, Network Adapter, Router, Server, Modem, Hub, Switch - 128 MB/s - Patch Cable - 5.91" - 1 x RJ-45 Male Network - 1 x RJ-45 M</t>
  </si>
  <si>
    <t>Quote #MPS123082 Microsoft NCE - All Valley Washer - Additions</t>
  </si>
  <si>
    <t>CPI-NCE-Y-MSTeamsSharedDev</t>
  </si>
  <si>
    <t>Microsoft Teams Shared Devices</t>
  </si>
  <si>
    <t>CPI-NCE-Y-MSTeamsPhoneWCalling</t>
  </si>
  <si>
    <t>Microsoft Teams Phone with Calling Plan - A cloud-based calling solution that enables users to make and receive PSTN calls in Microsoft Teams. It includes a phone system and domestic calling plan.</t>
  </si>
  <si>
    <t>20 Dell monitors for Epic Deployment</t>
  </si>
  <si>
    <t>Dell P2422H 24" Class Full HD LCD Monitor - 16:9 - Black, Silver - 23.8" Viewable - In-plane Switching (IPS) Technology - LED Backlight - 1920 x 1080 - 16.7 Million Colors - 250 Nit Typical - 5 ms GTG (Fast) - 75 Hz Refresh Rate - HDMI - VGA - DisplayPort</t>
  </si>
  <si>
    <t>HPE Support ML110 Gen10 SN: 2M2018051P</t>
  </si>
  <si>
    <t>SP-SVR-4HO-36</t>
  </si>
  <si>
    <t>Extended Server Warranty - Onsite - 4 Hour Response. 36 Months.</t>
  </si>
  <si>
    <t>Quote #MPS123092 Per Service Ticket #10419362 - South Bay BMW UPS Replacement</t>
  </si>
  <si>
    <t>Quote #MPS123068 Microsoft NCE - ACR Trust - Power Automate Premium Addition</t>
  </si>
  <si>
    <t>CPI-NCE-M-PowerAutomatePrem</t>
  </si>
  <si>
    <t>Power Automate Premium - Monthly</t>
  </si>
  <si>
    <t>Quote #MPS123083 Per Service Ticket # 10481868 - Dock for Sara Mariniello</t>
  </si>
  <si>
    <t>Pufahl Gee Insurance Agencies- NetManage and NetSecure</t>
  </si>
  <si>
    <t>NMCU001</t>
  </si>
  <si>
    <t>Unlimited Support with ticketing for a single user running a current version of Windows or Mac OS X. Includes Server and Workstation Patching, Supporting Infrastructure (Servers, Switches, Firewalls, Routers, Storage Appliances, Wireless) and Monitoring,</t>
  </si>
  <si>
    <t>Smart-UPS C1500 replacement battery</t>
  </si>
  <si>
    <t>RBC6</t>
  </si>
  <si>
    <t>APC by Schneider Electric Replacement Battery Cartridge #6 - 12 V DC - Lead Acid - Hot Swappable - 3 Year Minimum Battery Life - 5 Year Maximum Battery Life</t>
  </si>
  <si>
    <t>Aruba - OrthoSouth</t>
  </si>
  <si>
    <t>Q9Y59AAE</t>
  </si>
  <si>
    <t>3YR SUB ARUBA CENTRAL AP FND LICS E-STU PL-L5</t>
  </si>
  <si>
    <t>FortiAP231F 1YR - 174 Power Global Corp</t>
  </si>
  <si>
    <t>FP231FTF21030361 | 1YR 24X7 FORTIAP-231F FORTICARE CONTRACT | 2/9/2024-2/8/2025</t>
  </si>
  <si>
    <t>Godaddy Domain Renewal</t>
  </si>
  <si>
    <t>FB Teams Dial2Teams Solutions - NYC Temporary Office</t>
  </si>
  <si>
    <t>Windows 2022 Server License</t>
  </si>
  <si>
    <t>MPX LA - Three small switches for training day</t>
  </si>
  <si>
    <t>MPX LA - APC Battery Backup replacement</t>
  </si>
  <si>
    <t>SMT1500RM2UC</t>
  </si>
  <si>
    <t>APC by Schneider Electric Smart-UPS 1500VA LCD RM 2U 120V with SmartConnect - 2U Rack-mountable - 3 Hour Recharge - 120 V Input - 120 V AC Output - Sine Wave - Serial Port - 6 x NEMA 5-15R - 6 x Battery/Surge Outlet</t>
  </si>
  <si>
    <t>MPX LA - 16 Port Non-PoE FortiSwitch</t>
  </si>
  <si>
    <t>FS-124E</t>
  </si>
  <si>
    <t>Fortinet FortiSwitch Ethernet Switch - 24 Ports - Manageable - Gigabit Ethernet - 1000Base-X, 10/100/1000Base-T - 2 Layer Supported - Modular - 4 SFP Slots - 17.79 W Power Consumption - Optical Fiber, Twisted Pair - 1U High - Rack-mountable - Life</t>
  </si>
  <si>
    <t>Fortinet FortiCare Comprehensive Support - Extended Service (Renewal) - 1 Year - Service - 24 x 7 - Service Depot - Exchange - Parts - Physical, Electronic</t>
  </si>
  <si>
    <t>Meriplex Tier 2 Engineer Labor: Install Config FortiSwitch</t>
  </si>
  <si>
    <t>Quote #MPS123137 Per Service Ticket # 10503279 - Thunderbolt 3 Dock</t>
  </si>
  <si>
    <t>40AN0135US</t>
  </si>
  <si>
    <t>THUNDERBOLT 3 DOCK GEN 2 USB-C EXCESS NEW NO MFG REBATE Lenovo - Open Source ThinkPad Thunderbolt 3 Dock Gen 2 - US - for Notebook - 135 W - USB Type C - USB Type-C - Network (RJ-45) - HDMI - Thunderbolt - Wired</t>
  </si>
  <si>
    <t>Sterling Ranch CAB--Three Adobe Pro Licenses</t>
  </si>
  <si>
    <t>Everwest--Change Order Opportunity 38473 - Three New Laptops</t>
  </si>
  <si>
    <t>Quote #MPS122584 Per Service Ticket #10449744 - Cisco SmartNet Renewal</t>
  </si>
  <si>
    <t>CON-SNTP-ISR4331V</t>
  </si>
  <si>
    <t>Laptop battery for Dr. Emmerich</t>
  </si>
  <si>
    <t>451-BBZT</t>
  </si>
  <si>
    <t>Dell 51 WHr 3-Cell Primary Lithium-Ion Battery - For Notebook - Battery Rechargeable - 1</t>
  </si>
  <si>
    <t>Fortinet Renewal 1-Year 24x7 UTM For multiple firewalls FG60EPTK18004187 &amp; FG100ETK18018217</t>
  </si>
  <si>
    <t>FC-10-FG60P-950-02-12</t>
  </si>
  <si>
    <t>FortiGate-60E-POE 1 Year Unified Threat Protection (UTP) (IPS, Advanced Malware Protection, Application Control, URL, DNS &amp; Video Filtering, Antispam Service, and FortiCare Premium)</t>
  </si>
  <si>
    <t>FC-10-FG1HE-950-02-12</t>
  </si>
  <si>
    <t>FortiGate-100E 1 Year Unified Threat Protection (UTP) (IPS, Advanced Malware Protection, Application Control, URL, DNS &amp; Video Filtering, Antispam Service, and FortiCare Premium)</t>
  </si>
  <si>
    <t>10505145 - Fortinet Renewal 1-Year 24x7 UTM For firewall FGT60ETK18075838</t>
  </si>
  <si>
    <t>10505175 - Fortinet Renewal 1-Year 24x7 UTM For firewall FGT60FTK20069738</t>
  </si>
  <si>
    <t>MPX LA - Lift to repair wireless access point</t>
  </si>
  <si>
    <t>CAB-LIFT-1</t>
  </si>
  <si>
    <t>Lift Rental (1 Day)</t>
  </si>
  <si>
    <t>10505197 - Fortinet Renewal 1-Year 24x7 UTM For firewall FGT30E5620002876 - Tustin</t>
  </si>
  <si>
    <t>FC-10-0030E-950-02-12</t>
  </si>
  <si>
    <t>FortiGate-30E 1 Year Unified Threat Protection (UTP) (IPS, Advanced Malware Protection, Application Control, URL, DNS &amp; Video Filtering, Antispam Service, and FortiCare Premium)</t>
  </si>
  <si>
    <t>10526239 - Fortinet Renewal 1-Year 24x7 UTM for FGT60E4Q16043952 Prime West Denver 60E</t>
  </si>
  <si>
    <t>FortiGate-60E 1 Year Unified Threat Protection (UTP) (IPS, Advanced Malware Protection, Application Control, URL, DNS &amp; Video Filtering, Antispam Service, and FortiCare Premium) Prime West Denver 60E</t>
  </si>
  <si>
    <t>FC-10-0040F-950-02-12</t>
  </si>
  <si>
    <t>FortiGate-40F 1 Year Unified Threat Protection (UTP) (IPS, Advanced Malware Protection, Application Control, URL, DNS &amp; Video Filtering, Antispam Service, and FortiCare Premium) Prime West - Layton St Location</t>
  </si>
  <si>
    <t>10505249 - Fortinet Renewal 1-Year 24x7 UTM For multiple firewalls FG100E4Q17030026 &amp; FG100E4Q170293</t>
  </si>
  <si>
    <t>10212010 - Annual VMware SnS Subscription Renewal - Contract # 382874199</t>
  </si>
  <si>
    <t>VS8-ESSL-SUB-C</t>
  </si>
  <si>
    <t>Subscription VMware vSphere 8 Essentials Kit for 3 hosts (Max 2 processors per host)</t>
  </si>
  <si>
    <t>Block Time</t>
  </si>
  <si>
    <t>MPC-BLK-DISC</t>
  </si>
  <si>
    <t>Discount for Hourly Support Block</t>
  </si>
  <si>
    <t>3 docking stations</t>
  </si>
  <si>
    <t>12ft (3.7m) Cat6a Snagless Unshielded (UTP) Ethernet Network Patch Cable - Blue</t>
  </si>
  <si>
    <t>00699</t>
  </si>
  <si>
    <t>C2G 12ft Cat6a Snagless Unshielded (UTP) Ethernet Cable - Cat6a Network Patch Cable - PoE - Blue - Category 6a for Network Device - RJ-45 Male - RJ-45 Male - 10GBase-T - 12ft - Blue</t>
  </si>
  <si>
    <t>Durango Lenovo Laptops</t>
  </si>
  <si>
    <t>Lenovo ThinkPad Universal USB-C Dock - for Notebook - 90 W - USB Type C - 3 Displays Supported - 3840 x 2160 - 6 x USB Ports - 2 x USB 2.0 - USB Type-C - 1 x RJ-45 Ports - Network (RJ-45) - 1 x HDMI Ports - HDMI - 2 x DisplayPorts - DisplayPort - Thunderb</t>
  </si>
  <si>
    <t>Durango-Dell Rugged Laptops</t>
  </si>
  <si>
    <t>M7WND</t>
  </si>
  <si>
    <t>Dell Latitude 5000 5430 14" Rugged Notebook - Full HD - 1920 x 1080 - Intel Core i5 11th Gen i5-1145G7 Quad-core (4 Core) 2.60 GHz - 16 GB Total RAM - 512 GB SSD - Black - Intel Chip - Windows 10 Pro - Intel Iris Xe Graphics - English (US) Keyboard - Fron</t>
  </si>
  <si>
    <t>Quote #MPS123170 Per Service Ticket #10506511 - Desktop Replacement for SJOFFICE-07</t>
  </si>
  <si>
    <t>DINION IP starlight 7000 1080p INTELLIGE</t>
  </si>
  <si>
    <t>BOS-NBN75023BA NBN-75023-BA</t>
  </si>
  <si>
    <t>Wireless Meraki License Renewal</t>
  </si>
  <si>
    <t>QX9284</t>
  </si>
  <si>
    <t>Meraki MR Series Access Point - Subscription Licen</t>
  </si>
  <si>
    <t>Replacement PC per Service Ticket #10501067 - Warranty</t>
  </si>
  <si>
    <t>7R3MP</t>
  </si>
  <si>
    <t>Dell OptiPlex 7000 7010 Desktop Computer - Intel Core i5 13th Gen i5-13500T Tetradeca-core (14 Core) 1.60 GHz - 16 GB RAM DDR4 SDRAM - 512 GB M.2 PCI Express NVMe SSD - Micro PC - Black - Intel Chip - Windows 11 Pro - Intel UHD Graphics 770 DDR4 SDRAM - E</t>
  </si>
  <si>
    <t>MPX LA - Curved Monitor</t>
  </si>
  <si>
    <t>21Y56AA#ABA</t>
  </si>
  <si>
    <t>HP P34HC G4 34" Class WQHD Curved Screen LCD Monitor - 21:9 - Black - 34" Viewable - Vertical Alignment (VA) - Edge LED Backlight - 3440 x 1440 - 250 Nit - 5 ms GTG (OD) - 100 Hz Refresh Rate - HDMI - DisplayPort - USB Hub, KVM Switch</t>
  </si>
  <si>
    <t>Quote #MPS123135 Per Service Ticket # 10428182 - KMHS iPads</t>
  </si>
  <si>
    <t>MQGH2AM/A</t>
  </si>
  <si>
    <t>Apple USB-C to Lightning Cable (2 m) - 6.56 ft Lightning/USB-C Data Transfer Cable for iPhone, iPad, iPad Pro, iPad Air, iPad mini, MacBook Air, MacBook Pro, iMac, iMac Pro, iPod touch, iPod nano, ... - First End: 1 x USB Type C - Male - Second End: 1 x L</t>
  </si>
  <si>
    <t>MNXP3LL/A</t>
  </si>
  <si>
    <t>Apple iPad Pro (6th generation) A2436 Tablet - 12.9" - Octa-core) - 8 GB RAM - 128 GB Storage - iPadOS 16 - Space Gray - Apple M2 SoC - 2732 x 2048 - Liquid Retina XDR Display, In-plane Switching (IPS) Technology, True Tone Technology Display - 12 Megapix</t>
  </si>
  <si>
    <t>B08864JV84</t>
  </si>
  <si>
    <t>iPad Pro 12.9 inch Case for 6th/5th/4th Generation, 2022/2021/2020 with Screen Protector Pencil Holder | Herize | Full Body Shockproof Rugged Protective Durable Rubber Case W/Stand Strap</t>
  </si>
  <si>
    <t>Quote #MPS123185 Per Service Ticket # 10489008 - Desktop</t>
  </si>
  <si>
    <t>APC 1YR EW - American Continental Bank</t>
  </si>
  <si>
    <t>WEXTWAR1YR-SP-03</t>
  </si>
  <si>
    <t>APC by Schneider Electric Warranty/Support - Extended Warranty (Renewal) - 1 Year | SN:3S1934X11359 | 02/19/2024-02/18/2025</t>
  </si>
  <si>
    <t>MPX LA - Change order for Sales Order #11695</t>
  </si>
  <si>
    <t>V-ESSSTD-VS-PB1AR-00</t>
  </si>
  <si>
    <t>1 ADDITIONAL YEAR OF BASIC MAINTENANCE PREPAID FOR VEEAM DATA PLATFORM ESSENTIALS STANDARD. FOR CUSTOMERS WHO OWN VEEAM DATA PLATFORM ESSENTIALS STAND</t>
  </si>
  <si>
    <t>MPX LA - Replacement APC UPS from Nov 23</t>
  </si>
  <si>
    <t>SMT1000RM2UC</t>
  </si>
  <si>
    <t>APC by Schneider Electric Smart-UPS 1000VA Rack-mountable UPS - 2U Rack-mountable - 3 Hour Recharge - 120 V Input - 120 V AC Output - Sine Wave - 6 x NEMA 5-15R - 6 x Battery/Surge Outlet</t>
  </si>
  <si>
    <t>Quote #MPS123180 Per Service Ticket # 10500611 - KPF - Desktop</t>
  </si>
  <si>
    <t>OptiPlex MFF</t>
  </si>
  <si>
    <t>OptiPlex Micro Form Factor CTO</t>
  </si>
  <si>
    <t>Rackmount 1500 VA UPS</t>
  </si>
  <si>
    <t>06HD04</t>
  </si>
  <si>
    <t>APC SMART-UPS 1500VA LCD RM 2U PERP 120V W/SMARTCONNECT PORT NTWK CAR</t>
  </si>
  <si>
    <t>D77674</t>
  </si>
  <si>
    <t>2POST MOUNTING KIT FOR ACCS SMART-UPS SYMMETRA</t>
  </si>
  <si>
    <t>Quote #MPS123220 Per Service Ticket # 10510517 - Cisco SmartNet Renewal - Ventura</t>
  </si>
  <si>
    <t>CON-SNTP-ASA556F9</t>
  </si>
  <si>
    <t>Cisco SMARTnet - Extended Service - Service - 24 x 7 x 4 Hour - Exchange - Parts - Electronic and Physical</t>
  </si>
  <si>
    <t>CON-SNT-ISR4331V</t>
  </si>
  <si>
    <t>10502061 - Veeam Data Platform Essentials Universal - Annual Support Renewal Contract # 02989954</t>
  </si>
  <si>
    <t>V-ESSVUL-0I-PP1AR-00</t>
  </si>
  <si>
    <t>Veeam Data Platform Essentials Universal - ESS VUL PERPET 1Y 24/7 MAINT-CE RNWL PREPAID</t>
  </si>
  <si>
    <t>Urgent laptop for new staff member Chris Ortolano</t>
  </si>
  <si>
    <t>VA2756-MHD</t>
  </si>
  <si>
    <t>27" Full HD LCD Monitor with DisplayPort, HDMI, VGA</t>
  </si>
  <si>
    <t>21HM000JUS</t>
  </si>
  <si>
    <t>Lenovo ThinkPad X1 Carbon Gen 11 14" Touchscreen Ultrabook - WUXGA - 1920 x 1200 - Intel Core i7 13th Gen i7-1355U Deca-core (10 Core) - Intel Evo Platform - 16 GB Total RAM - 16 GB On-board Memory - 512 GB SSD - Deep Black - Intel Chip - Windo</t>
  </si>
  <si>
    <t>4X30M39458</t>
  </si>
  <si>
    <t>Lenovo - Open Source Essential Wireless Keyboard and Mouse Combo - US English 103P - USB Wireless RF - English (US) - USB Wireless RF - Optical - 1200 dpi - Scroll Wheel - Symmetrical - Compatible with Windows</t>
  </si>
  <si>
    <t>40B20135US</t>
  </si>
  <si>
    <t>Lenovo ThinkPad Universal USB-C Smart Dock - for Notebook/Desktop PC - 96 W - USB Type C - 4K - 3840 x 2160 - 2 x USB 2.0 - USB Type-C - Network (RJ-45) - 1 x HDMI Ports - HDMI - 2 x DisplayPorts - DisplayPort - Wired - Gigabit Ethernet - Windows</t>
  </si>
  <si>
    <t>960-001257</t>
  </si>
  <si>
    <t>Logitech C920S Webcam - 2.1 Megapixel - 30 fps - USB 3.1 - 1 Pack(s) - 1920 x 1080 Video - Auto-focus - 78° Angle - 1.2x Digital Zoom - Microphone - Notebook, Monitor</t>
  </si>
  <si>
    <t>Admin facility move</t>
  </si>
  <si>
    <t>Vendor Coordination (faxing/isp/EHR/print/facility)</t>
  </si>
  <si>
    <t>Firewall Configuration</t>
  </si>
  <si>
    <t>Site-to-site configuration</t>
  </si>
  <si>
    <t>Documentation</t>
  </si>
  <si>
    <t>Post deployment support</t>
  </si>
  <si>
    <t>HPE 1YR - IBJA</t>
  </si>
  <si>
    <t>639829-005</t>
  </si>
  <si>
    <t>HPE Remote Tech Support | HP DL380G7 E5649 SFF US Svr/S-Buy | 2M213300E9 | 02/01/2024-01/31/2025</t>
  </si>
  <si>
    <t>HPE Hardware Tech Support | HP DL380G7 E5649 SFF US Svr/S-Buy | 2M213300E9 | 02/01/2024-01/31/2025</t>
  </si>
  <si>
    <t>Quote #MPS123231 Per Service Ticket # 10511074 - CORP - KMCH - Monitor</t>
  </si>
  <si>
    <t>Replacement Micro form factor pc</t>
  </si>
  <si>
    <t>Quote #MPS123234 Per Service Ticket # 10257049 - Patch Cables for Fremont</t>
  </si>
  <si>
    <t>PC6001BESLIM</t>
  </si>
  <si>
    <t>1FT CAT6 SLIM PATCH CRD BLUE 28AWG SLIM LINE W/CLEAR BOOT</t>
  </si>
  <si>
    <t>PC6006BESLIM</t>
  </si>
  <si>
    <t>6 FT CAT6 PATCH CORD BLUE 28AWG SLIM LINE W/CLEAR BOOT</t>
  </si>
  <si>
    <t>PC6003BESLIM</t>
  </si>
  <si>
    <t>3 FT CAT6 PATCH CORD BLUE 28AWG SLIM LINE W/CLEAR BOOT</t>
  </si>
  <si>
    <t>PC6015BESLIM</t>
  </si>
  <si>
    <t>15FT CAT6 PATCH CORD BLUE 28AWG SLIM LINE W/CLEAR BOOT</t>
  </si>
  <si>
    <t>PC6010BESLIM</t>
  </si>
  <si>
    <t>10FT CAT6 PATCH CORD BLUE 28AWG SLIM LINE W/CLEAR BOOT</t>
  </si>
  <si>
    <t>Quote #MPS123235 Per Service Ticket # 10505811 - KMCH - Headset for Jenni Kendall</t>
  </si>
  <si>
    <t>76J21AA</t>
  </si>
  <si>
    <t>Poly Blackwire 3325-M Headset - Stereo - USB Type A, Mini-phone (3.5mm) - Wired - 32 Ohm - 20 Hz - 20 kHz - On-ear - Binaural - Open - 7.05 ft Cable</t>
  </si>
  <si>
    <t>10513943 - Sterling Ranch Replace Failed FortiNet Firewall - RUSH</t>
  </si>
  <si>
    <t>FG-60F-BDL-950-36</t>
  </si>
  <si>
    <t>Fortinet FortiGate FG-60F Network Security/Firewall Appliance with 3-Years of FortiCare/FortiGuard Service and Support</t>
  </si>
  <si>
    <t>MPX LA - 5 Desktops</t>
  </si>
  <si>
    <t>6N4F1AA#ABA</t>
  </si>
  <si>
    <t>HP E24q G5 24" Class WQHD LCD Monitor - 16:9 - Black, Silver - 23.8" Viewable - In-plane Switching (IPS) Technology - 2560 x 1440 - 16.7 Million Colors - 300 Nit - 5 ms - 75 Hz Refresh Rate - HDMI - DisplayPort - USB Hub</t>
  </si>
  <si>
    <t>763U8AA</t>
  </si>
  <si>
    <t>HP B560 Mounting Bracket for Monitor, Computer</t>
  </si>
  <si>
    <t>Spare Aruba Switch</t>
  </si>
  <si>
    <t>JL815A#ABA</t>
  </si>
  <si>
    <t>Aruba Instant On 1830 48G 24p Class4 PoE 4SFP 370W Switch - 48 Ports - Manageable - Gigabit Ethernet - 1000Base-T, 1000Base-X - 2 Layer Supported - Modular - 4 SFP Slots - 462.50 W Power Consumption - 370 W PoE Budget - Optical Fiber, Twisted Pair - PoE P</t>
  </si>
  <si>
    <t>MPX LA - New Office Setup</t>
  </si>
  <si>
    <t>C9120AXI-B</t>
  </si>
  <si>
    <t>Cisco Catalyst 9120AXI Dual Band 802.11ax 5.38 Gbit/s Wireless Access Point - Indoor - 2.40 GHz, 5 GHz - Internal - MIMO Technology - 1 x Network (RJ-45) - 2.5 Gigabit Ethernet - Bluetooth 5</t>
  </si>
  <si>
    <t>CON-SSSNT-C9120BIX</t>
  </si>
  <si>
    <t>Cisco Solution Support - Extended Service - Service - 8 x 5 x Next Business Day - Exchange - Parts - Physical, Electronic</t>
  </si>
  <si>
    <t>AIR-DNA-E-3Y</t>
  </si>
  <si>
    <t>Cisco Digital Network Architecture Essentials - Term License - 1 License - 3 Year</t>
  </si>
  <si>
    <t>CON-SSTCM-AIRDNAE</t>
  </si>
  <si>
    <t>Cisco Solution Support - 1 Year - Service - Technical</t>
  </si>
  <si>
    <t>IMC1GSFP</t>
  </si>
  <si>
    <t>StarTech.com Industrial Fiber to Ethernet Media Converter - 1Gbps SFP to RJ45/CAT6 - SM/MM Fiber to Copper Gigabit Network IP-30 12V Input - Fiber to Ethernet Media Converter extends networks &amp; converts optical fiber to RJ45 Copper/CAT6 - Industrial Harde</t>
  </si>
  <si>
    <t>10052-ST</t>
  </si>
  <si>
    <t>StarTech.com Extreme Networks 10052 Compatible SFP Module - 1000BASE-LX - 1GE SFP 1GbE Single Mode Fiber SMF Optic Transceiver - 10km DDM - Extreme Networks 10052 Compatible SFP - 1000BASE-LX 1Gbps - 1GbE Module - 1GE Gigabit Ethernet SFP 1310nm Single Mo</t>
  </si>
  <si>
    <t>SQL License</t>
  </si>
  <si>
    <t>DG7GMGF0M80J:0002</t>
  </si>
  <si>
    <t>SQL SVR 2022 STD ED PERP 1 SVR LICS LC</t>
  </si>
  <si>
    <t>#10513855 - Monitoring Alert / Redmond Medical Clinic Certificate Expiration for remo</t>
  </si>
  <si>
    <t>MPX LA - Veeam Renewal 2024</t>
  </si>
  <si>
    <t>Subscription License. Includes Enterprise Plus Edition features. 1 Year Renewal Subscription Upfront Billing &amp; Production (24/7) Support. 10 instance pack. Veeam Data Platform Foundation Universal</t>
  </si>
  <si>
    <t>SR 250659 Adobe CC Teams PO 962937</t>
  </si>
  <si>
    <t>65304043BA 03C12</t>
  </si>
  <si>
    <t>Adobe CC All Apps Teams - 7 months</t>
  </si>
  <si>
    <t>Network Module Credit and Block of Hours</t>
  </si>
  <si>
    <t>C9200-NM-4X=</t>
  </si>
  <si>
    <t>Cisco 4 x 1G/10G Network Module - For Data Networking10 Gigabit Ethernet - 10GBase-X - 4 x Expansion Slots</t>
  </si>
  <si>
    <t>MPC-BLK-100+</t>
  </si>
  <si>
    <t>Hourly Support Block (100+ Units)</t>
  </si>
  <si>
    <t>Quote #MPS123086 Per Service Ticket # 10493564 - Desktops for Volvo Service Advisors</t>
  </si>
  <si>
    <t>10518531 - Windows 11 Home to Pro Upgrade for Microsoft 365 Business</t>
  </si>
  <si>
    <t>SR 239973 OptiPlex 7010 Micro PO 50171015</t>
  </si>
  <si>
    <t>Server Support Renewal</t>
  </si>
  <si>
    <t>XH</t>
  </si>
  <si>
    <t>Custom Post Standard Support Next Business Day On-Site Service</t>
  </si>
  <si>
    <t>Dedicated Resource</t>
  </si>
  <si>
    <t>XF</t>
  </si>
  <si>
    <t>Post Standard Support and Next Business Day On-Site Service After Problem Diagnosis Variable</t>
  </si>
  <si>
    <t>XJ</t>
  </si>
  <si>
    <t>Custom Post Standard Support 7x24 Technical Support</t>
  </si>
  <si>
    <t>SR 247786 Latitude 5540 Bundle Monitors PO 50171014</t>
  </si>
  <si>
    <t>SR 244176 OptiPlex 3000 Thin Client PO 2469867</t>
  </si>
  <si>
    <t>SR 247928 Latitude 5540 Bundle PO 13983180</t>
  </si>
  <si>
    <t>SR 247921 Latitude 5540 Bundle PO 30061357</t>
  </si>
  <si>
    <t>SR 245733 Poly S7210 Headset PO 13983178</t>
  </si>
  <si>
    <t>PLANT 38350-13</t>
  </si>
  <si>
    <t>Poly EHS Cable APC-43 Cisco</t>
  </si>
  <si>
    <t>POLY 213010-01</t>
  </si>
  <si>
    <t>Poly Savi S7210 Headset</t>
  </si>
  <si>
    <t>SR 248655 Latitude 5540 Bundle PO 50169504</t>
  </si>
  <si>
    <t>SR 248560 Engineering Dock PO 50169503</t>
  </si>
  <si>
    <t>SR 248557 Monitors Desk Phone PO 50169502</t>
  </si>
  <si>
    <t>SR 248040 Precision 7780 Bundle PO 962789</t>
  </si>
  <si>
    <t>SR 250319 Backwire 5220 Headset PO 3003882</t>
  </si>
  <si>
    <t>POLY 207576-01</t>
  </si>
  <si>
    <t>Poly Blackwire 5220 USB Headset Stereo USB-A</t>
  </si>
  <si>
    <t>Replace Hard Drive with SSD on Randy Reid's Laptop</t>
  </si>
  <si>
    <t>MZ-77E500E</t>
  </si>
  <si>
    <t>Samsung 870 EVO 500 GB Solid State Drive - 2.5" Internal - SATA (SATA/600) - Desktop PC, Notebook, Storage System Device Supported - 560 MB/s Maximum Read Transfer Rate - 256-bit Encryption Standard - 5 Year Warranty</t>
  </si>
  <si>
    <t>Quote #MPS123311 Per Service Ticket # 10515049 - SASSI - Monitors</t>
  </si>
  <si>
    <t>MPX LA - Patch Cables</t>
  </si>
  <si>
    <t>15188</t>
  </si>
  <si>
    <t>C2G 5ft Cat5e Ethernet Cable - Snagless Unshielded (UTP) - Blue - Category 5e for Network Device - RJ-45 Male - RJ-45 Male - 5ft - Blue</t>
  </si>
  <si>
    <t>SR 249445 HP Color LaserJet Pro PO 13983258</t>
  </si>
  <si>
    <t>HP 7KW75A#BGJ</t>
  </si>
  <si>
    <t>HP Color LaserJet Pro MFP M283fdw 22ppm</t>
  </si>
  <si>
    <t>OCC Cornerstone Laptops and Workstation quote</t>
  </si>
  <si>
    <t>XGY4R</t>
  </si>
  <si>
    <t>Dell Latitude 3340 13.3" Touchscreen Convertible 2 in 1 Notebook - Full HD - 1920 x 1080 - Intel Core i5 13th Gen i5-1335U Deca-core (10 Core) - 8 GB Total RAM - 8 GB On-board Memory - 256 GB SSD - Titan Gray - Intel Chip - Windows 11 Pro - Intel Iris Xe</t>
  </si>
  <si>
    <t>808-3123</t>
  </si>
  <si>
    <t>Need replace UPS ASAP</t>
  </si>
  <si>
    <t>SMC1500C</t>
  </si>
  <si>
    <t>APC by Schneider Electric Smart-UPS 1500VA Desktop UPS - Tower - 3 Hour Recharge - 7.80 Minute Stand-by - 120 V Input - 120 V AC Output - Sine Wave - 8 x NEMA 5-15R - 8 x Battery/Surge Outlet</t>
  </si>
  <si>
    <t>Ticket #10519027 Quote Business Premium and Audio conferencing license</t>
  </si>
  <si>
    <t>F1-M365BusPrem COM 1YR-MTH</t>
  </si>
  <si>
    <t>Best for businesses that need all the apps and services included in Business Standard plus advanced cyber threat protection and device management. For businesses with up to 300 employees.</t>
  </si>
  <si>
    <t>F1-M365AudioConf COM 1YR-MTH</t>
  </si>
  <si>
    <t>Enables users to dial-in a number to join meetings, or dial-out to bring participants into the meeting. There are base pre-requisites required to purchase this offering.</t>
  </si>
  <si>
    <t>Lebco - UPS for Baybrook Store</t>
  </si>
  <si>
    <t>BX1000M</t>
  </si>
  <si>
    <t>APC by Schneider Electric Back UPS Pro , Compact Tower, 1000VA, AVR, LCD, 120V - Tower - AVR - 12 Hour Recharge - 4.30 Minute Stand-by - 120 V Input - 120 V AC Output - Stepped Approximated Sine Wave - 4 x NEMA 5-15R Surge, 4 x NEMA 5-15R - 8 x Bat</t>
  </si>
  <si>
    <t>Block Hours</t>
  </si>
  <si>
    <t>CO - MPS122903</t>
  </si>
  <si>
    <t>Veeam Support Maintenance Renewal</t>
  </si>
  <si>
    <t>V-ESSVUL-40-PS1AA-4S</t>
  </si>
  <si>
    <t>VEEAM DATA PLATFORM ESSENTIALS UNIVERSAL SUBSCRIPTION LICENSE. INCLUDES ENTERPRISE PLUS EDITION FEATURES.-1 YEAR RENEWAL SUBSCRIPTION UPFRONT BILLING</t>
  </si>
  <si>
    <t>10526246 - Please quote 1-Year UTM 24x7 Renewal for FGT60FTK19012686 - Partners Group 60F</t>
  </si>
  <si>
    <t>Fortinet FortiCare Bundle - Extended Service (Renewal) - 1 Year - Service - 24 x 7 x Next Business Day - Service Depot - Exchange - Parts</t>
  </si>
  <si>
    <t>Two New PC's for Glendora</t>
  </si>
  <si>
    <t>89M64UT#ABA</t>
  </si>
  <si>
    <t>HP Pro Mini 400 G9 Desktop Computer - Intel Core i5 13th Gen i5-13500T Tetradeca-core (14 Core) - 16 GB RAM DDR4 SDRAM - 256 GB M.2 PCI Express NVMe SSD - Mini PC - Intel Q670 Chip - Windows 11 Pro - Intel UHD Graphics 770 DDR4 SDRAM - English Keyboard -</t>
  </si>
  <si>
    <t>#10526618 - Laptops</t>
  </si>
  <si>
    <t>Dell Latitude 5000 5540</t>
  </si>
  <si>
    <t>M365 standard licenses (5) and Windows Server 2019 Standard (1).</t>
  </si>
  <si>
    <t>New tower desktop</t>
  </si>
  <si>
    <t>10505228 - Fortinet Renewal 1-Year 24x7 UTM for FGT40FTK20024359 - Layton St Location</t>
  </si>
  <si>
    <t>10519118 - Renewal - Palo Alto Networks Service and Support - SAP IDs 0022631132 and 0022631136</t>
  </si>
  <si>
    <t>PAN-PA-820-DNS-HA2-R</t>
  </si>
  <si>
    <t>DNS Security subscription renewal for devices in HA pair, PA-820</t>
  </si>
  <si>
    <t>PAN-PA-440-BND-CORESEC-R</t>
  </si>
  <si>
    <t>PA-440, Core Security Subscription Renewal Bundle (Advanced Threat Prevention, Advanced URL Filtering, Advanced Wildfire, DNS Security and SD-WAN), 1 years (12 months) term</t>
  </si>
  <si>
    <t>PAN-SVC-BKLN-440-R</t>
  </si>
  <si>
    <t>PA-440 Partner enabled premium support 1 year (12 months) term renewal.</t>
  </si>
  <si>
    <t>PAN-SVC-PREM-820-R</t>
  </si>
  <si>
    <t>Premium support year 1 renewal, PA-820</t>
  </si>
  <si>
    <t>PAN-SVC-BKLN-450-R</t>
  </si>
  <si>
    <t>PA-450 Partner enabled premium support 1 year (12 months) term renewal.</t>
  </si>
  <si>
    <t>PAN-SVC-PREM-PRA-25-R</t>
  </si>
  <si>
    <t>Premium support renewal, Panorama 25 devices</t>
  </si>
  <si>
    <t>PAN-PA-820-AWF-HA2-R</t>
  </si>
  <si>
    <t>Advanced WildFire subscription renewal for devices in HA pair, PA-820</t>
  </si>
  <si>
    <t>PAN-PA-820-ADVURL-HA2-R</t>
  </si>
  <si>
    <t>Subscription Advanced URL Filtering, 1-year, PA-820, HA Pair Renewal</t>
  </si>
  <si>
    <t>PAN-PA-820-ATP-HA2-R</t>
  </si>
  <si>
    <t>Advanced Threat Prevention subscription renewal for devices in HA pair, PA-820</t>
  </si>
  <si>
    <t>PAN-PA-450-BND-CORESEC-R</t>
  </si>
  <si>
    <t>PA-450, Core Security Subscription Renewal Bundle (Advanced Threat Prevention, Advanced URL Filtering, Advanced Wildfire, DNS Security and SD-WAN), 1 years (12 months) term</t>
  </si>
  <si>
    <t>MPX LA - 25" - 27" Monitor</t>
  </si>
  <si>
    <t>64X69AA#ABA</t>
  </si>
  <si>
    <t>HP P27 G5 27" Class Full HD LCD Monitor - 16:9 - Black - 27" Viewable - In-plane Switching (IPS) Technology - 1920 x 1080 - 16.7 Million Colors - 250 Nit - 5 ms - 75 Hz Refresh Rate - HDMI - VGA - DisplayPort</t>
  </si>
  <si>
    <t>Quote #MPS123370 Per Service Ticket # 10503074 - Patch Cables</t>
  </si>
  <si>
    <t>PC6006BKSLIM</t>
  </si>
  <si>
    <t>6 FT CAT6 SLIMLINE BLACK 28AWG SLIM LINE W/CLEAR BOOT</t>
  </si>
  <si>
    <t>PC6015BKSLIM</t>
  </si>
  <si>
    <t>15 FT CAT6 PATCH CORD BLACK 28AWG SLIM LINE W/CLEAR BOOT</t>
  </si>
  <si>
    <t>PC6010BKSLIM</t>
  </si>
  <si>
    <t>10FT CAT6 PATCH CORD BLACK 28AWG SLIM LINE W/CLEAR BOOT</t>
  </si>
  <si>
    <t>10527732 - New Staff Member Request(s) - Jacob Welk</t>
  </si>
  <si>
    <t>24" Monitor for My Spine Cocs</t>
  </si>
  <si>
    <t>VA2459-SMH</t>
  </si>
  <si>
    <t>ViewSonic VA2459-SMH 24 Inch IPS 1080p LED Monitor with 100Hz, HDMI and VGA Inputs - VA2459-SMH - IPS 1080p LED Monitor with 100Hz, HDMI and VGA - 250 cd/m² - 24"</t>
  </si>
  <si>
    <t>SRs 250909 250910 Precision 7780 Bundle Monitors Phones PO 20066398</t>
  </si>
  <si>
    <t>IASLC-Adobe Pro License</t>
  </si>
  <si>
    <t>65297999BB02A10</t>
  </si>
  <si>
    <t>Acrobat Pro 10 Months Team Subscription New Level 2</t>
  </si>
  <si>
    <t>Veeam Backup for Office 365 1 Year Sub w/support</t>
  </si>
  <si>
    <t>V-VBO365-0U-SU1YP-00</t>
  </si>
  <si>
    <t>Veeam Backup for Microsoft Office 365 + Production Support - Upfront Billing License - 1 User - 1 Year - PC</t>
  </si>
  <si>
    <t>MPX LA - Small APC UPS</t>
  </si>
  <si>
    <t>BR1000MS</t>
  </si>
  <si>
    <t>APC by Schneider Electric Back-UPS Pro 1.0KVA Tower UPS - Tower - 16 Hour Recharge - 3.70 Minute Stand-by - 120 V Input - 120 V AC Output - Sine Wave - 4 x NEMA 5-15R Surge, 6 x NEMA 5-15R - 10 x Battery/Surge Outlet</t>
  </si>
  <si>
    <t>Quote desktop PC for new MBS employee Candy Edwards</t>
  </si>
  <si>
    <t>F1-Labor-PS-L1</t>
  </si>
  <si>
    <t>Service - Analyst Labor</t>
  </si>
  <si>
    <t>F1-M365BusStd COM 1YR-MTH</t>
  </si>
  <si>
    <t>Microsoft 365 Business Standard (NCE COM MTH)</t>
  </si>
  <si>
    <t>F1-Computer Desktop:Dell3000SFF</t>
  </si>
  <si>
    <t>Dell OptiPlex 3000 Small Form Factor BTX Intel Core i5-12500 (6-Core, 18MB/12T Cache, 3.2GHz to 4.6GHz, 65W) Windows 11 Pro, English, French, Spanish 8GB (1x8GB) DDR4 Non-ECC Memory M.2 2230 256GB PCIe NVMe Class 35 Solid State Drive 8x DVD+/-RW 9.5mm Sli</t>
  </si>
  <si>
    <t>F1-EIDP1 COM MTH</t>
  </si>
  <si>
    <t>Azure Active Directory Premium P1 aka Entra ID P1</t>
  </si>
  <si>
    <t>F1-AIP1 COM 1YR-MTH</t>
  </si>
  <si>
    <t>Azure Information Protection Premium P1 (NCE COM MTH)</t>
  </si>
  <si>
    <t>F1-SNP9CXF2C/8G- Workstation</t>
  </si>
  <si>
    <t>Manufacturer part SNP9CXF2C/8G Dell part AB371021 Dell Memory Upgrade - 8GB - 1Rx16 DDR4 UDIMM 3200MHz</t>
  </si>
  <si>
    <t>Upgrade GCC High E3 licenses to E5</t>
  </si>
  <si>
    <t>AAD-98828</t>
  </si>
  <si>
    <t>M365 G5 FUSL GCCH SU M365 G3 Sub Per User This is for 10 months prorated. Annual price is 400.80</t>
  </si>
  <si>
    <t>GCC High</t>
  </si>
  <si>
    <t>Add Teams Phone Standard Licenses</t>
  </si>
  <si>
    <t>RFT-00001</t>
  </si>
  <si>
    <t>Teams Phone Standard GCCH Sub Per User</t>
  </si>
  <si>
    <t>#10528395 - Laptop</t>
  </si>
  <si>
    <t>Ricoh Scanner</t>
  </si>
  <si>
    <t>PA03810-B075</t>
  </si>
  <si>
    <t>Ricoh fi-8170 ADF/Manual Feed Scanner - 600 dpi Optical - TAA Compliant - 24-bit Color - 8-bit Grayscale - 70 ppm (Mono) - 70 ppm (Color) - Duplex Scanning - USB</t>
  </si>
  <si>
    <t>MPX LA - Replacement Cradlepoint</t>
  </si>
  <si>
    <t>BF01-3000C18B-GN</t>
  </si>
  <si>
    <t>CradlePoint E3000-C18B Wi-Fi 6 IEEE 802.11ax 2 SIM Ethernet, Cellular Modem/Wireless Router - 4G - LTE Advanced Pro, UMTS, HSPA+ - 2.40 GHz ISM Band - 5 GHz UNII Band - 4 x Antenna(4 x External) - 143.50 MB/s Wireless Speed - 9 x Network Port - 1 x Broadb</t>
  </si>
  <si>
    <t>10531251 - laptop</t>
  </si>
  <si>
    <t>Quote #MPS123411 Per Service Ticket # 10531572 - Cisco SFP Transceiver</t>
  </si>
  <si>
    <t>MGBSX1</t>
  </si>
  <si>
    <t>Gigabit Ethernet SX Mini-GBIC SFP Transceiver</t>
  </si>
  <si>
    <t>KLI : #10531695 - Maks Gahan \ Server Offline - need two drives asap</t>
  </si>
  <si>
    <t>Dell HV1TD 300GB 15K 2.5" SAS 6Gbps Hot-Plug HDD</t>
  </si>
  <si>
    <t>MPCSHIP</t>
  </si>
  <si>
    <t>Expedited Shipping/Insurance -Next Day Service for orders in by 11:00am Pacific Time.</t>
  </si>
  <si>
    <t>10534278 - Standard SSL Certificate For data.bdimonitoring.com</t>
  </si>
  <si>
    <t>10535055 - Cisco Meraki Renewal</t>
  </si>
  <si>
    <t>LIC-MS210-48FP-1YR</t>
  </si>
  <si>
    <t>Cisco-Meraki Usa Meraki Enterprise + 1 Year Enterprise Support - Subscription License - 1 Switch - 1 Year - MS210-48FP Cloud Managed Gigabit Switch - Subscription License 1 Switch - 1 Year License Validation Period</t>
  </si>
  <si>
    <t>LIC-MS225-48LP-1YR</t>
  </si>
  <si>
    <t>Cisco-Meraki Usa Meraki Enterprise + 1 Year Enterprise Support - Subscription License - 1 Switch - 1 Year - Cisco Meraki Cloud Managed MS225-48LP - Switch - 48 Ports - Subscription License 1 Switch - 1 Year License Validation Period</t>
  </si>
  <si>
    <t>Cisco-Meraki Usa Meraki MR Enterprise Cloud Controller License, 1 Year - Meraki MR Series Access Point - Subscription License 1 Access Point - 1 Year License Validation Period</t>
  </si>
  <si>
    <t>4 Monitors, 2 Speaker Bars</t>
  </si>
  <si>
    <t>Switch replacement</t>
  </si>
  <si>
    <t>JL686B#ABA</t>
  </si>
  <si>
    <t>Aruba Instant On 1930 48G Class4 PoE 4SFP/SFP+ 370W Switch - 48 Ports - Manageable - Gigabit Ethernet, 10 Gigabit Ethernet - 10/100/1000Base-T, 10GBase-X - 4 Layer Supported - Modular - 520 W Power Consumption - 370 W PoE Budget - Optical Fiber, Twisted P</t>
  </si>
  <si>
    <t>Quote #006696 2023 Q4 Vulnerability Scan Remediation Project</t>
  </si>
  <si>
    <t>F1-Labor-PS-L2</t>
  </si>
  <si>
    <t>Service - Administrator Labor</t>
  </si>
  <si>
    <t>GCC High Renewal</t>
  </si>
  <si>
    <t>AAD-99035</t>
  </si>
  <si>
    <t>M365 G5 FUSL GCCH Sub Per User</t>
  </si>
  <si>
    <t>DTM-00001</t>
  </si>
  <si>
    <t>O365GCCHighE1 ShrdSvr ALNG SubsVL MVL PerUsr</t>
  </si>
  <si>
    <t>6UB-00004</t>
  </si>
  <si>
    <t>Power BI Premium USL GCCH Sub Per User</t>
  </si>
  <si>
    <t>DZL-00001</t>
  </si>
  <si>
    <t>Power BI Pro GCCH Sub Per User</t>
  </si>
  <si>
    <t>IJL-00001</t>
  </si>
  <si>
    <t>Teams Rooms Stand GCCH Sub Per Device</t>
  </si>
  <si>
    <t>ISE</t>
  </si>
  <si>
    <t>Start Date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</si>
  <si>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</si>
  <si>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</si>
  <si>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</si>
  <si>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</si>
  <si>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</si>
  <si>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</si>
  <si>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</si>
  <si>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</si>
  <si>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</si>
  <si>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</si>
  <si>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</si>
  <si>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</si>
  <si>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</si>
  <si>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Quota</t>
  </si>
  <si>
    <t>Quota Achived</t>
  </si>
  <si>
    <t>Bonus</t>
  </si>
  <si>
    <t>Doug Tesler</t>
  </si>
  <si>
    <t>David Pinyon</t>
  </si>
  <si>
    <t>Curtis Hinton</t>
  </si>
  <si>
    <t>Buffered Quota</t>
  </si>
  <si>
    <t>Renewals</t>
  </si>
  <si>
    <t>Jonathan DeFez</t>
  </si>
  <si>
    <t/>
  </si>
  <si>
    <t>~</t>
  </si>
  <si>
    <t>2. Up-sell / X-sell</t>
  </si>
  <si>
    <t>5. Change Order</t>
  </si>
  <si>
    <t>4. Renewal - MRR</t>
  </si>
  <si>
    <t>1. New Logo</t>
  </si>
  <si>
    <t>3. NRR - Renewal</t>
  </si>
  <si>
    <t>River Oaks Baptist School</t>
  </si>
  <si>
    <t>Gulf Coast Office Products Inc</t>
  </si>
  <si>
    <t>Life Storage 8007 (Balis Dr)</t>
  </si>
  <si>
    <t>Brookwood Management</t>
  </si>
  <si>
    <t>OCC MSO, LLC</t>
  </si>
  <si>
    <t>California Pacific Homes</t>
  </si>
  <si>
    <t>Yedla Management Company</t>
  </si>
  <si>
    <t>Kraft Masonry</t>
  </si>
  <si>
    <t>Centers for Advanced Orthopaedics</t>
  </si>
  <si>
    <t>ACF West</t>
  </si>
  <si>
    <t>AIV, L.P.</t>
  </si>
  <si>
    <t>Circle-S Energy</t>
  </si>
  <si>
    <t>Industrial Parts Specialties LLC</t>
  </si>
  <si>
    <t>Richard D Bankston Attorney at Law</t>
  </si>
  <si>
    <t>Innovative Sleep Centers</t>
  </si>
  <si>
    <t>Dana Kepner</t>
  </si>
  <si>
    <t>Lebco Industries, LP</t>
  </si>
  <si>
    <t>City of Warrenton</t>
  </si>
  <si>
    <t>Regenexx</t>
  </si>
  <si>
    <t>Watson CPA</t>
  </si>
  <si>
    <t>Yamhill Community Care Organization</t>
  </si>
  <si>
    <t>Sterling Ranch Community Authority Board</t>
  </si>
  <si>
    <t>E.L. Supermarket Distributor, Inc.</t>
  </si>
  <si>
    <t>FB Financial Holdings</t>
  </si>
  <si>
    <t>Agility Bank N.A.</t>
  </si>
  <si>
    <t>Southwest Accountable Comm of Health</t>
  </si>
  <si>
    <t>Air Conditioning &amp; Refrigeration Ind.</t>
  </si>
  <si>
    <t>MedVanta</t>
  </si>
  <si>
    <t>All Valley Washer Service Inc</t>
  </si>
  <si>
    <t>OrthoSouth</t>
  </si>
  <si>
    <t>Cornerstone Programs Den</t>
  </si>
  <si>
    <t>Financial Synergistics Group, Inc.</t>
  </si>
  <si>
    <t>DII Industries, LLC Asbestos PI Trust</t>
  </si>
  <si>
    <t>Starwest Botanicals, Inc.</t>
  </si>
  <si>
    <t>Beardsley Building Development</t>
  </si>
  <si>
    <t>GEX Corporation</t>
  </si>
  <si>
    <t>Wave Electronics</t>
  </si>
  <si>
    <t>Graco Oilfield Services</t>
  </si>
  <si>
    <t>St. Honore Bakery</t>
  </si>
  <si>
    <t>Asher Community Health Center</t>
  </si>
  <si>
    <t>SCI Shared Resources, LLC</t>
  </si>
  <si>
    <t>18th JDC District Attorney?s Office</t>
  </si>
  <si>
    <t>Kuenzi &amp; Company</t>
  </si>
  <si>
    <t>Oregon City Family Practice Clinic, PC</t>
  </si>
  <si>
    <t>Redmond Medical Clinic</t>
  </si>
  <si>
    <t>BCER Group</t>
  </si>
  <si>
    <t>The Orthopaedic Center Huntsville</t>
  </si>
  <si>
    <t>Blackford</t>
  </si>
  <si>
    <t>Golden State Bank</t>
  </si>
  <si>
    <t>HCN Bank</t>
  </si>
  <si>
    <t>Loren D. Stark Co., Inc.</t>
  </si>
  <si>
    <t>BoulderCentre for Orthopedics &amp; Spine</t>
  </si>
  <si>
    <t>Houston Metro Urology</t>
  </si>
  <si>
    <t>Allied Power</t>
  </si>
  <si>
    <t>Palo Duro Midstream, LLC</t>
  </si>
  <si>
    <t>Fabre Automotive - Baton Rouge</t>
  </si>
  <si>
    <t>Citizens State Bank - Woodville</t>
  </si>
  <si>
    <t>State Bank of Dekalb</t>
  </si>
  <si>
    <t>Star International</t>
  </si>
  <si>
    <t>Archdiocese of Denver Mgmt Corp</t>
  </si>
  <si>
    <t>City Heights Asset Mgmt Inc</t>
  </si>
  <si>
    <t>PMQ Group, LLC dba Avita</t>
  </si>
  <si>
    <t>The Challenger Group</t>
  </si>
  <si>
    <t>TTB Financial Corporation</t>
  </si>
  <si>
    <t>M&amp;M Glass Company</t>
  </si>
  <si>
    <t>The Catholic Foundation of Northern Colo</t>
  </si>
  <si>
    <t>Willamette View</t>
  </si>
  <si>
    <t>Chariot Energy</t>
  </si>
  <si>
    <t>174 Power Global Corp</t>
  </si>
  <si>
    <t>Loadstar Product Handling Services LLC</t>
  </si>
  <si>
    <t>Miller Co Prosecuting Atty's Ofc</t>
  </si>
  <si>
    <t>Centeno Schultz</t>
  </si>
  <si>
    <t>Panorama Orthopedics &amp; Spine Center</t>
  </si>
  <si>
    <t>UBank</t>
  </si>
  <si>
    <t>Legacy Community Health Services</t>
  </si>
  <si>
    <t>National Endowment for Financial Ed</t>
  </si>
  <si>
    <t>Jackson Properties</t>
  </si>
  <si>
    <t>RL Liquidators</t>
  </si>
  <si>
    <t>Scott's Liquid Gold Inc</t>
  </si>
  <si>
    <t>Rocky Mountain Recycling Inc</t>
  </si>
  <si>
    <t>Evelyn Rubenstein Jewish Community Center</t>
  </si>
  <si>
    <t>Brown &amp; Gay Engineers, Inc.</t>
  </si>
  <si>
    <t>Blue River Pet Care</t>
  </si>
  <si>
    <t>United Community Credit Union</t>
  </si>
  <si>
    <t>Maddox &amp; Associates</t>
  </si>
  <si>
    <t>Silverado Homes</t>
  </si>
  <si>
    <t>MK Battery</t>
  </si>
  <si>
    <t>Whitehall Township</t>
  </si>
  <si>
    <t>Luthercare</t>
  </si>
  <si>
    <t>Bank of Houston</t>
  </si>
  <si>
    <t>WellBiz Brands, Inc.</t>
  </si>
  <si>
    <t>Metropolitan Pediatrics</t>
  </si>
  <si>
    <t>Alesia Engineering, LLC</t>
  </si>
  <si>
    <t>Stratolaunch</t>
  </si>
  <si>
    <t>Melvin, Bibb, &amp; Segars CPA</t>
  </si>
  <si>
    <t>Boulder Comm Musculoskeletal Surgery</t>
  </si>
  <si>
    <t>Plains State Bank</t>
  </si>
  <si>
    <t>Cooper Machinery Services</t>
  </si>
  <si>
    <t>Bridge Diagnostics Inc</t>
  </si>
  <si>
    <t>Key Laser Institute</t>
  </si>
  <si>
    <t>ROE Visual US, Inc</t>
  </si>
  <si>
    <t>Far Western</t>
  </si>
  <si>
    <t>Life Storage 8028 (S Sherwood)</t>
  </si>
  <si>
    <t>Sentar Incorporated</t>
  </si>
  <si>
    <t>International Assn for the Study of Lung Cancer</t>
  </si>
  <si>
    <t>Overhead Door Corporation</t>
  </si>
  <si>
    <t>American Orthopedic Partners, LLC</t>
  </si>
  <si>
    <t>Blue Sky Insurance</t>
  </si>
  <si>
    <t>Holistic Health Care Services</t>
  </si>
  <si>
    <t>Commonwealth Engineers, Inc.</t>
  </si>
  <si>
    <t>Wildlands</t>
  </si>
  <si>
    <t>Socotra Capital</t>
  </si>
  <si>
    <t>Seidner's Collision Centers</t>
  </si>
  <si>
    <t>Prime West</t>
  </si>
  <si>
    <t>Legacy Senior Communities</t>
  </si>
  <si>
    <t>Pediatric Associates of Gresham</t>
  </si>
  <si>
    <t>Sunroad Enterprises</t>
  </si>
  <si>
    <t>Texas Baptist Men</t>
  </si>
  <si>
    <t>Excess Telecom</t>
  </si>
  <si>
    <t>McKenna Motor Company, Inc.</t>
  </si>
  <si>
    <t>Weaver Popcorn</t>
  </si>
  <si>
    <t>CORE Health Networks LLC (Venyu B.R)</t>
  </si>
  <si>
    <t>Mission Bank</t>
  </si>
  <si>
    <t>CORE LLC (Port Isabel)</t>
  </si>
  <si>
    <t>CORE LLC</t>
  </si>
  <si>
    <t>BLT Enterprises Inc.</t>
  </si>
  <si>
    <t>AIM Health</t>
  </si>
  <si>
    <t>Stages Northwest</t>
  </si>
  <si>
    <t>Aurora Behavioral Health Care</t>
  </si>
  <si>
    <t>Manchac Consulting Group Inc</t>
  </si>
  <si>
    <t>American Continental Bank</t>
  </si>
  <si>
    <t>Enterprise Plumbing</t>
  </si>
  <si>
    <t>Cunningham Engineering Corporation</t>
  </si>
  <si>
    <t>Nucor Building Systems - Yamato Steel</t>
  </si>
  <si>
    <t>CC Wellness</t>
  </si>
  <si>
    <t>Blue Bell Creameries LP</t>
  </si>
  <si>
    <t>EverWest Real Estate Investors LLC</t>
  </si>
  <si>
    <t>Brian Harris Porsche</t>
  </si>
  <si>
    <t>Hackstaff SnowAtkinson&amp;Griess</t>
  </si>
  <si>
    <t>Durango Investment Holdings LLC</t>
  </si>
  <si>
    <t>Jensen Design &amp; Survey Inc</t>
  </si>
  <si>
    <t>Marcello Distributors</t>
  </si>
  <si>
    <t>Shows Cali &amp; Walsh LLP</t>
  </si>
  <si>
    <t>Center for Urology</t>
  </si>
  <si>
    <t>De Groote Financial</t>
  </si>
  <si>
    <t>Industrial Consulting &amp; Supply Corp</t>
  </si>
  <si>
    <t>Law Offices of Brett R. Wishart</t>
  </si>
  <si>
    <t>Tulsa Bone &amp; Joint Associates</t>
  </si>
  <si>
    <t>Party Time Inc</t>
  </si>
  <si>
    <t>Rosehill Construction LLC</t>
  </si>
  <si>
    <t>Lighting Etc. Inc.</t>
  </si>
  <si>
    <t>Marrero Wealth Management LLC</t>
  </si>
  <si>
    <t>Bowen Miclette and Britt</t>
  </si>
  <si>
    <t>Mountain States Commercial Credit</t>
  </si>
  <si>
    <t>Big City Mountaineers</t>
  </si>
  <si>
    <t>SPC Retail Display Group (Sam Pievac)</t>
  </si>
  <si>
    <t>Arden Engineering Constructors, LLC</t>
  </si>
  <si>
    <t>Global Trim Sales Inc.</t>
  </si>
  <si>
    <t>Colorado Ballet</t>
  </si>
  <si>
    <t>Overland, Pacific &amp; Cutler, LLC</t>
  </si>
  <si>
    <t>Kinetica Partners, LLC</t>
  </si>
  <si>
    <t>Dental3</t>
  </si>
  <si>
    <t>Pearland State Bank</t>
  </si>
  <si>
    <t>Vasko Electric Inc.</t>
  </si>
  <si>
    <t>Nielsen, Merksamer, Parriniello, Gross</t>
  </si>
  <si>
    <t>Frisbey, Carter &amp; Associates Inc.</t>
  </si>
  <si>
    <t>Evos Smart Tools</t>
  </si>
  <si>
    <t>Harris &amp; Sloan</t>
  </si>
  <si>
    <t>Reliable Amusement</t>
  </si>
  <si>
    <t>EH National Bank</t>
  </si>
  <si>
    <t>Senior Housing Options</t>
  </si>
  <si>
    <t>AmSpec Group</t>
  </si>
  <si>
    <t>Illinois Bone and Joint Institute</t>
  </si>
  <si>
    <t>Life Storage 8051 (Denham/Rushing Rd)</t>
  </si>
  <si>
    <t>Life Storage 8054 (Turner/Jefferson)</t>
  </si>
  <si>
    <t>Iris Domestic Violence Center</t>
  </si>
  <si>
    <t>St James Place of Baton Rouge</t>
  </si>
  <si>
    <t>Descote Inc</t>
  </si>
  <si>
    <t>Bennett Engineering Services Inc.</t>
  </si>
  <si>
    <t>Jaffe &amp; Associates, Inc.</t>
  </si>
  <si>
    <t>Vektor Medical, Inc</t>
  </si>
  <si>
    <t>Life Storage 8014 (Oak Villa Blvd)</t>
  </si>
  <si>
    <t>NW Renal Clinic</t>
  </si>
  <si>
    <t>NorthShore Medical Group</t>
  </si>
  <si>
    <t>Bethesda Holdings</t>
  </si>
  <si>
    <t>Rocky Mountain Air</t>
  </si>
  <si>
    <t>Colt Midstream LLC</t>
  </si>
  <si>
    <t>Lakewood Country Club</t>
  </si>
  <si>
    <t>Estrella Home Health Care Inc</t>
  </si>
  <si>
    <t>Miyamoto International</t>
  </si>
  <si>
    <t>Freska Produce</t>
  </si>
  <si>
    <t>Tarrant County College District</t>
  </si>
  <si>
    <t>Cook Engineering, Inc.</t>
  </si>
  <si>
    <t>Annunciation Orthodox School</t>
  </si>
  <si>
    <t>Baptist Sunday School Cmte</t>
  </si>
  <si>
    <t>Slawson Companies</t>
  </si>
  <si>
    <t>ProDoc - Kytel</t>
  </si>
  <si>
    <t>Brian Harris Auto Group</t>
  </si>
  <si>
    <t>Treads &amp; Care Tire Company</t>
  </si>
  <si>
    <t>Intech Mechanical</t>
  </si>
  <si>
    <t>Grady Crawford Construction Company</t>
  </si>
  <si>
    <t>Johanson Technology</t>
  </si>
  <si>
    <t>JH Operating Company LLC</t>
  </si>
  <si>
    <t>Texas Roof Management Inc</t>
  </si>
  <si>
    <t>Chasewood Bank</t>
  </si>
  <si>
    <t>Search Dog Foundation</t>
  </si>
  <si>
    <t>Vortech Engineering LLC</t>
  </si>
  <si>
    <t>Community Medical Services - CMS</t>
  </si>
  <si>
    <t>Oaks Christian School</t>
  </si>
  <si>
    <t>Alianza of New Mexico</t>
  </si>
  <si>
    <t>Owen Biosciences Inc</t>
  </si>
  <si>
    <t>Ascentris</t>
  </si>
  <si>
    <t>Lifescape</t>
  </si>
  <si>
    <t>Columbia Gorge Family Medicine</t>
  </si>
  <si>
    <t>ValueTronics International Inc</t>
  </si>
  <si>
    <t>Cascadia Women's Clinic</t>
  </si>
  <si>
    <t>The Warren Center</t>
  </si>
  <si>
    <t>Huggins Insurance</t>
  </si>
  <si>
    <t>First National Bank of Eagle Lake</t>
  </si>
  <si>
    <t>Northside Capital Management</t>
  </si>
  <si>
    <t>Blackbuck Petroleum LLC</t>
  </si>
  <si>
    <t>Signature Party Rentals</t>
  </si>
  <si>
    <t>DC Architects</t>
  </si>
  <si>
    <t>Brian Harris Audi</t>
  </si>
  <si>
    <t>Brian Harris BMW</t>
  </si>
  <si>
    <t>AGR Partners</t>
  </si>
  <si>
    <t>Radiology Specialists of the Northwest</t>
  </si>
  <si>
    <t>Envoc - Hammond</t>
  </si>
  <si>
    <t>John Kennedy for US Senate</t>
  </si>
  <si>
    <t>Methods Technology Solutions Inc</t>
  </si>
  <si>
    <t>Thunder Basin Resources LLC</t>
  </si>
  <si>
    <t>Project Access NOW</t>
  </si>
  <si>
    <t>It's Never 2 Late</t>
  </si>
  <si>
    <t>Aqua Beverage</t>
  </si>
  <si>
    <t>GridSource, Inc</t>
  </si>
  <si>
    <t>Newport Harbor Pathology Medical Group</t>
  </si>
  <si>
    <t>Sterling Roof Systems</t>
  </si>
  <si>
    <t>Dominion Water and Sanitation</t>
  </si>
  <si>
    <t>Winn Marion Companies</t>
  </si>
  <si>
    <t>Steve Clark &amp; Associates</t>
  </si>
  <si>
    <t>Interface Children Family Services</t>
  </si>
  <si>
    <t>Arion Blue</t>
  </si>
  <si>
    <t>Integrity Bank</t>
  </si>
  <si>
    <t>DKB Household USA Corp.</t>
  </si>
  <si>
    <t>Quality Management Resources Inc</t>
  </si>
  <si>
    <t>The Thornhill Companies</t>
  </si>
  <si>
    <t>Action Property Management, Inc.</t>
  </si>
  <si>
    <t>First Auto Group</t>
  </si>
  <si>
    <t>Asphalt Coatings Company</t>
  </si>
  <si>
    <t>First State Bank of Livingston</t>
  </si>
  <si>
    <t>Tilson Homes Corporation</t>
  </si>
  <si>
    <t>SHANLEY, a Professional Corporation</t>
  </si>
  <si>
    <t>Jewish Community Foundation</t>
  </si>
  <si>
    <t>Louisiana Sugar Refining, LLC</t>
  </si>
  <si>
    <t>Architectural Heritage Center</t>
  </si>
  <si>
    <t>Southern California Orthopedic Institute</t>
  </si>
  <si>
    <t>Talsco Manufacturing</t>
  </si>
  <si>
    <t>Epirium Bio</t>
  </si>
  <si>
    <t>Alliance Inspection Management</t>
  </si>
  <si>
    <t>Sterling Ranch Development Company</t>
  </si>
  <si>
    <t>Laser &amp; Skin Surgery Center</t>
  </si>
  <si>
    <t>Cascade Health Alliance LLC</t>
  </si>
  <si>
    <t>Ronald McDonald House Charities</t>
  </si>
  <si>
    <t>Logix Federal Credit Union</t>
  </si>
  <si>
    <t>Calcon Constructors Inc</t>
  </si>
  <si>
    <t>Rusnak Auto Group</t>
  </si>
  <si>
    <t>HALO Centers</t>
  </si>
  <si>
    <t>PropFlow</t>
  </si>
  <si>
    <t>Umpqua</t>
  </si>
  <si>
    <t>Modern Mortgage, LLC</t>
  </si>
  <si>
    <t>Town Hall Arts Center</t>
  </si>
  <si>
    <t>Decision Logic</t>
  </si>
  <si>
    <t>Denver Athletic Club</t>
  </si>
  <si>
    <t>The Health Foundation of Greater Indianapolis</t>
  </si>
  <si>
    <t>DGP Intelsius</t>
  </si>
  <si>
    <t>Sherman-Loehr Custom Tile Inc</t>
  </si>
  <si>
    <t>St Pius X Elementary School</t>
  </si>
  <si>
    <t>Perryman Chaney Russell LLP</t>
  </si>
  <si>
    <t>Hayata LTD</t>
  </si>
  <si>
    <t>Spectrum Management Group, Inc.</t>
  </si>
  <si>
    <t>Edwards &amp; Associates</t>
  </si>
  <si>
    <t>Pure Cycle Corporation</t>
  </si>
  <si>
    <t>Driving Safety Services</t>
  </si>
  <si>
    <t>C.I. Partners Direct</t>
  </si>
  <si>
    <t>Somnique Health Center</t>
  </si>
  <si>
    <t>Stockmens National Bank</t>
  </si>
  <si>
    <t>The Office of James Burnett</t>
  </si>
  <si>
    <t>Wheatley Immigration Law LLC</t>
  </si>
  <si>
    <t>ADCO Companies Ltd</t>
  </si>
  <si>
    <t>Lexicon</t>
  </si>
  <si>
    <t>Thomas James Homes</t>
  </si>
  <si>
    <t>Nelson &amp; Frankenberger</t>
  </si>
  <si>
    <t>Reliable Production Svc. (Livonia)</t>
  </si>
  <si>
    <t>The Leaders Rheum, LLC</t>
  </si>
  <si>
    <t>Incubator Finance</t>
  </si>
  <si>
    <t>Align Precision Manufacturing</t>
  </si>
  <si>
    <t>State Bank of Lizton</t>
  </si>
  <si>
    <t>Fletcher Technical Community College</t>
  </si>
  <si>
    <t>Bill Penney Motor Company Inc</t>
  </si>
  <si>
    <t>Carlson Engineering and Manufacturing Inc</t>
  </si>
  <si>
    <t>Peck and Hiller</t>
  </si>
  <si>
    <t>Kenney Manufacturing</t>
  </si>
  <si>
    <t>Hanwha Ocean Houston</t>
  </si>
  <si>
    <t>4Front Engineered Solutions</t>
  </si>
  <si>
    <t>Microsoft ATP</t>
  </si>
  <si>
    <t>MPX LA - MS 365 Exchange Online Licenses</t>
  </si>
  <si>
    <t>MPX LA - Microsoft 365 Business Standard license</t>
  </si>
  <si>
    <t>O365 Licenses true up</t>
  </si>
  <si>
    <t>Add MS365 Defender to all remaining users</t>
  </si>
  <si>
    <t>Jan 26 Microsoft Licensing</t>
  </si>
  <si>
    <t>Upgrade all e3 and business standard licenses to business premium</t>
  </si>
  <si>
    <t>Quote #MPS123287 Business Premium Licenses</t>
  </si>
  <si>
    <t>Circle S_DIA</t>
  </si>
  <si>
    <t>MPX LA - Additional Storage for their Cloud Server</t>
  </si>
  <si>
    <t>MPX LA - MS 365 Business Standard License</t>
  </si>
  <si>
    <t>ISC #10502917 - Wendi Eden / Procure 1 EOP P1 for Kassandra Williams</t>
  </si>
  <si>
    <t>Time and Materials Agreement**</t>
  </si>
  <si>
    <t>1 O365 Business Standard License</t>
  </si>
  <si>
    <t>COW : #10509332 - Esther Moberg / Provision teams add on for 7 staff members</t>
  </si>
  <si>
    <t>Microsoft Licensing</t>
  </si>
  <si>
    <t>10504763 - Need to increase space on C drive on Hosted Virtual RDS Server</t>
  </si>
  <si>
    <t>MS365 Defender for Remaining Users</t>
  </si>
  <si>
    <t>Sterling Ranch CAB Time and Materials Agreement**</t>
  </si>
  <si>
    <t>E.L. Supermarket_RDP licenses</t>
  </si>
  <si>
    <t>Zorus and Deslock licenses</t>
  </si>
  <si>
    <t>10485666 - Project Plan 3 License for Eddie Gallagher</t>
  </si>
  <si>
    <t>Jan 19 Microsoft licensing</t>
  </si>
  <si>
    <t>10469556 - Increase Storage on Virtual Server RDS2 from 325GB to 512GB</t>
  </si>
  <si>
    <t>10473802 - Add Storage to Virtual Server SQL1 Due to Alert</t>
  </si>
  <si>
    <t>1 Business Standard License</t>
  </si>
  <si>
    <t>DII Trust Kaseya Datto BaaS Month-to-Month</t>
  </si>
  <si>
    <t>#10481939 - Tom Carrollo /email box full for John Beardsley + annual renewal for orga</t>
  </si>
  <si>
    <t>10482688 - Microsoft Copilot for Microsoft 365 License for Jon Rambo</t>
  </si>
  <si>
    <t>Remove Entra ID p1 license</t>
  </si>
  <si>
    <t>#10478175 - Susan Moore/Quote on Office 365 E3 license</t>
  </si>
  <si>
    <t>Loc. 7304 - St. Laurent Funeral Home - Voice</t>
  </si>
  <si>
    <t>Jan 15 Microsoft licensing</t>
  </si>
  <si>
    <t>Ticket #10433776 - Kuenzi &amp; Company - Other Stellr Microsoft NCE Subscriptions Various will</t>
  </si>
  <si>
    <t>OCFP: #10463357 - Rhonda Heryford/Quote for 2 Office 365 E3 licenses</t>
  </si>
  <si>
    <t>MS365 Annual Renewal and Truedown</t>
  </si>
  <si>
    <t>3 business premiums MtM for Interns</t>
  </si>
  <si>
    <t>DaaS Laptop</t>
  </si>
  <si>
    <t>E3 licenses</t>
  </si>
  <si>
    <t>Veeam replication</t>
  </si>
  <si>
    <t>MS Defender</t>
  </si>
  <si>
    <t>Quote #MPS122736 ESET MFA</t>
  </si>
  <si>
    <t>Jan 11 Microsoft licenses</t>
  </si>
  <si>
    <t>6 Business Standard MS Licenses</t>
  </si>
  <si>
    <t>MPX LA - Automate Premium license</t>
  </si>
  <si>
    <t>MS Teams Room Pro License</t>
  </si>
  <si>
    <t>MPX LA - Convert BUS Basic license for Chris Tubbe</t>
  </si>
  <si>
    <t>10457145 - Visio Plan 2 Licenses</t>
  </si>
  <si>
    <t>Jan 9 MS Licenses</t>
  </si>
  <si>
    <t>(1) M365 Business Standard</t>
  </si>
  <si>
    <t>MPX LA - Additional MS 365 Business Standard Licenses</t>
  </si>
  <si>
    <t>MPX LA - 18 Exchange Online Plan 1 Licenses</t>
  </si>
  <si>
    <t>1090 Philadelphia Small Pharmacy</t>
  </si>
  <si>
    <t>MS Teams Room Basic License</t>
  </si>
  <si>
    <t>Microsoft licensing</t>
  </si>
  <si>
    <t>FB Austin Amendment- To MSP Agreement MPS119141 adding VMP ConnectSecure</t>
  </si>
  <si>
    <t>MPX LA - Two Project Plan 1 licenses</t>
  </si>
  <si>
    <t>10444946 - Change order to: Opportunity 31994 - SharePoint Build and Migration</t>
  </si>
  <si>
    <t>10443254 - (3) Microsoft Office 365 F1 for Nonprofits Licenses</t>
  </si>
  <si>
    <t>10443248 - Another DaaS Laptop</t>
  </si>
  <si>
    <t>10443227 - Microsoft 365 Licensing - Renewal and Consolidation to Annual Upfront Payment</t>
  </si>
  <si>
    <t>MS Licenses</t>
  </si>
  <si>
    <t>2 x MSO365 Business Standard Licenses</t>
  </si>
  <si>
    <t>(1) M365 Business Standard License</t>
  </si>
  <si>
    <t>10430576 - 3 Microsoft O365 Business Standard Licenses</t>
  </si>
  <si>
    <t>Cyber Security training</t>
  </si>
  <si>
    <t>10419271 - Microsoft Visio Plan 2 License for Dyana Garcia - RCM Manager</t>
  </si>
  <si>
    <t>(2) Screen Connect licenses</t>
  </si>
  <si>
    <t>Block Time Agreement to Track Time Included in MSP Agreement</t>
  </si>
  <si>
    <t>10395607 - Need a Power Automate License that allows for Premium Connectors for Nonprofits</t>
  </si>
  <si>
    <t>Service Ticket #10293149 Additional Hosted Space</t>
  </si>
  <si>
    <t>Contract Consolidation SD-WAN</t>
  </si>
  <si>
    <t>Knowbe4</t>
  </si>
  <si>
    <t>(BC)ColoSQL64 upgrade**</t>
  </si>
  <si>
    <t>Change Order Addition of two 80F Firewalls to Agreement #109512 Atlanta - SDWAN and Connectivity</t>
  </si>
  <si>
    <t>#10433765 - Kraft Masonry - Other Stellr Microsoft NCE Subscriptions Various will exp</t>
  </si>
  <si>
    <t>CYB-Silver Package - Need an updated MSP Agreement - 12 month Agreement</t>
  </si>
  <si>
    <t>MPX LA - MS Business Standard License</t>
  </si>
  <si>
    <t>MSP agreement upgrade</t>
  </si>
  <si>
    <t>10430685 - Microsoft NCE Upgrade</t>
  </si>
  <si>
    <t>MPX LA - Storage for BaaS with Ransomware Protection repository</t>
  </si>
  <si>
    <t>Migration to SentinelOne EDR and XDR for OrthoSouth</t>
  </si>
  <si>
    <t>MRR - 1st Payment Due</t>
  </si>
  <si>
    <t>MRR - 2nd Payment Due</t>
  </si>
  <si>
    <t>JUI-001</t>
  </si>
  <si>
    <t>JUI-002</t>
  </si>
  <si>
    <t>JUI-003</t>
  </si>
  <si>
    <t>JUI-004</t>
  </si>
  <si>
    <t>JUI-005</t>
  </si>
  <si>
    <t>JUI-006</t>
  </si>
  <si>
    <t>JUI-007</t>
  </si>
  <si>
    <t>JUI-009</t>
  </si>
  <si>
    <t>JUI-010</t>
  </si>
  <si>
    <t>JUI-011</t>
  </si>
  <si>
    <t>JUI-012</t>
  </si>
  <si>
    <t>JUI-013</t>
  </si>
  <si>
    <t>JUI-014</t>
  </si>
  <si>
    <t>JUI-015</t>
  </si>
  <si>
    <t>JUI-016</t>
  </si>
  <si>
    <t>JUI-017</t>
  </si>
  <si>
    <t>JUI-018</t>
  </si>
  <si>
    <t>JUI-019</t>
  </si>
  <si>
    <t>JUI-020</t>
  </si>
  <si>
    <t>JUI-021</t>
  </si>
  <si>
    <t>JUI-022</t>
  </si>
  <si>
    <t>JUI-023</t>
  </si>
  <si>
    <t>JUI-024</t>
  </si>
  <si>
    <t>JUI-025</t>
  </si>
  <si>
    <t>JUI-026</t>
  </si>
  <si>
    <t>JUI-027</t>
  </si>
  <si>
    <t>JUI-028</t>
  </si>
  <si>
    <t>JUI-030</t>
  </si>
  <si>
    <t>JUI-031</t>
  </si>
  <si>
    <t>JUI-032</t>
  </si>
  <si>
    <t>JUI-033</t>
  </si>
  <si>
    <t>JUI-034</t>
  </si>
  <si>
    <t>JUI-035</t>
  </si>
  <si>
    <t>JUI-036</t>
  </si>
  <si>
    <t>JUI-037</t>
  </si>
  <si>
    <t>JUI-038</t>
  </si>
  <si>
    <t>JUI-039</t>
  </si>
  <si>
    <t>JUI-040</t>
  </si>
  <si>
    <t>JUI-041</t>
  </si>
  <si>
    <t>JUI-042</t>
  </si>
  <si>
    <t>JUI-043</t>
  </si>
  <si>
    <t>JUI-044</t>
  </si>
  <si>
    <t>JUI-045</t>
  </si>
  <si>
    <t>JUI-046</t>
  </si>
  <si>
    <t>JUI-047</t>
  </si>
  <si>
    <t>JUI-048</t>
  </si>
  <si>
    <t>JUI-049</t>
  </si>
  <si>
    <t>JUI-050</t>
  </si>
  <si>
    <t>JUI-051</t>
  </si>
  <si>
    <t>JUI-052</t>
  </si>
  <si>
    <t>JUI-053</t>
  </si>
  <si>
    <t>JUI-054</t>
  </si>
  <si>
    <t>JUI-055</t>
  </si>
  <si>
    <t>JUI-056</t>
  </si>
  <si>
    <t>JUI-057</t>
  </si>
  <si>
    <t>JUI-058</t>
  </si>
  <si>
    <t>JUI-059</t>
  </si>
  <si>
    <t>JUI-060</t>
  </si>
  <si>
    <t>Stock Equipment Replenishment-Jan 2024</t>
  </si>
  <si>
    <t>Docking Station for Crystal Alexander</t>
  </si>
  <si>
    <t>Homestead Village-IT Services</t>
  </si>
  <si>
    <t>HP Laptop for Tom Brobst - Public Works Dept</t>
  </si>
  <si>
    <t>Wireless Access Point T&amp;M project</t>
  </si>
  <si>
    <t>Replacement UPS</t>
  </si>
  <si>
    <t>15" Laptops x 3</t>
  </si>
  <si>
    <t>Bluetooth KBM for iPad</t>
  </si>
  <si>
    <t>New Workstation - Gloria Dubose</t>
  </si>
  <si>
    <t>HP OfficeJet Pro 7740 All-in-One Printer</t>
  </si>
  <si>
    <t>iPAD for NSWA</t>
  </si>
  <si>
    <t>NYC Office Peripherals</t>
  </si>
  <si>
    <t>CaaS - Monthly Consulting Hours and POA&amp;M</t>
  </si>
  <si>
    <t>Additional New Laptops x 2</t>
  </si>
  <si>
    <t>Desktop and Phone for Ingrid Parker -</t>
  </si>
  <si>
    <t>Dell Latitude</t>
  </si>
  <si>
    <t>Windows Surface Pro - Michael Barrett-Durable Surfaces</t>
  </si>
  <si>
    <t>Claim Assure-Managed Cloud Hosting</t>
  </si>
  <si>
    <t>Proactive Quote - Firewall Renewal SN 18B169B089BC</t>
  </si>
  <si>
    <t>Laptop Battery Replacement - Our Lady of Peace</t>
  </si>
  <si>
    <t>Power Adapter and Chord - Kevin Donahue</t>
  </si>
  <si>
    <t>KnowBe4 Awareness Training</t>
  </si>
  <si>
    <t>Docking Station - LT Greg Bealer</t>
  </si>
  <si>
    <t>Signature Research-</t>
  </si>
  <si>
    <t>IOT Stock x 10units - Fort Lee</t>
  </si>
  <si>
    <t>Laptop - Yesenia Sanchez</t>
  </si>
  <si>
    <t>Radnor Financial- MS, Security, 365</t>
  </si>
  <si>
    <t>422623 - Order Request for 10 DUO Tokens</t>
  </si>
  <si>
    <t>LENOVO TABLET x 1unit - Morris ALF</t>
  </si>
  <si>
    <t>Madison Ave PCC Terminal for Nurses</t>
  </si>
  <si>
    <t>Proactive Quote - Firewall Renewal</t>
  </si>
  <si>
    <t>Demo Hosting Environment</t>
  </si>
  <si>
    <t>SSL for remote.intercommunityaction.org</t>
  </si>
  <si>
    <t>Fortinet Renewals</t>
  </si>
  <si>
    <t>Zeus - SMG Warehouse Wifi Additions</t>
  </si>
  <si>
    <t>Episcopal Seniorlife Communities-Cyber Security Risk Assessment</t>
  </si>
  <si>
    <t>Veam Licensing</t>
  </si>
  <si>
    <t>GCC High Licensing - Yearly</t>
  </si>
  <si>
    <t>Vulnerability Scanning</t>
  </si>
  <si>
    <t>Latitude 5540 x 20 to Denver - Jan 2024</t>
  </si>
  <si>
    <t>Proactive Quote - Network Device License Renewal</t>
  </si>
  <si>
    <t>Laptop of Graham Bell</t>
  </si>
  <si>
    <t>Laptop Quote</t>
  </si>
  <si>
    <t>Webcam - Dan Hittinger</t>
  </si>
  <si>
    <t>Monitor - Sally Forde</t>
  </si>
  <si>
    <t>Surface Laptop - CFO</t>
  </si>
  <si>
    <t>Proactive Quote - Fortigate 101E - Firewall Support Renewal - #16448 v2</t>
  </si>
  <si>
    <t>DNS Filtering</t>
  </si>
  <si>
    <t>Mobile Air Conditioning Society Worldwide-Laptop</t>
  </si>
  <si>
    <t>Desktop for Plotter-Planning Dept.</t>
  </si>
  <si>
    <t>New Devices Jan 2024 Gelest</t>
  </si>
  <si>
    <t>New Machines</t>
  </si>
  <si>
    <t>Laptop Stock Replenishment - Jan 2024</t>
  </si>
  <si>
    <t>Proactive Quote - Sonicwall Maintenance Renewal</t>
  </si>
  <si>
    <t>Quote #006684 2023 Q4 Vulnerability Scan Remediation</t>
  </si>
  <si>
    <t>Dell Latitudex 2 - Fort Lee</t>
  </si>
  <si>
    <t>Engraver PC</t>
  </si>
  <si>
    <t>Anthony Kazlauskas</t>
  </si>
  <si>
    <t>Dave Carlin</t>
  </si>
  <si>
    <t>Demetrios Adams</t>
  </si>
  <si>
    <t>Cloud Services</t>
  </si>
  <si>
    <t>Downgrade</t>
  </si>
  <si>
    <t>Yes</t>
  </si>
  <si>
    <t>(Non CW) Up-Sell / X-Sell</t>
  </si>
  <si>
    <t>ActiveWorx, Inc.</t>
  </si>
  <si>
    <t>(Non CW) New Logo</t>
  </si>
  <si>
    <t>Homestead Village</t>
  </si>
  <si>
    <t>Auxilior Capital Partners</t>
  </si>
  <si>
    <t>Dunwoody Village</t>
  </si>
  <si>
    <t>Gelest Inc.</t>
  </si>
  <si>
    <t>Coordinated Services Management</t>
  </si>
  <si>
    <t>Municipality of Norristown</t>
  </si>
  <si>
    <t>Excel Sports Management</t>
  </si>
  <si>
    <t>Gleason Research Associates Inc</t>
  </si>
  <si>
    <t>The Belles Group</t>
  </si>
  <si>
    <t>Commonwealth Group Services</t>
  </si>
  <si>
    <t>Forcine Concrete &amp; Construction Co.</t>
  </si>
  <si>
    <t>Claim Assure</t>
  </si>
  <si>
    <t>united integrity group</t>
  </si>
  <si>
    <t>Universal Health Services, Inc.</t>
  </si>
  <si>
    <t>LCH</t>
  </si>
  <si>
    <t>Signature Research</t>
  </si>
  <si>
    <t>Care One</t>
  </si>
  <si>
    <t>(Non CW) Renewal</t>
  </si>
  <si>
    <t>Radnor Financial</t>
  </si>
  <si>
    <t>Qualis Corporation</t>
  </si>
  <si>
    <t>Marsh Hawk Capital Management, LLC</t>
  </si>
  <si>
    <t>Softwriters</t>
  </si>
  <si>
    <t>Intercommunity Action, Inc</t>
  </si>
  <si>
    <t>United Rx</t>
  </si>
  <si>
    <t>Zeus Fire and Security</t>
  </si>
  <si>
    <t>Episcopal Seniorlife Communities</t>
  </si>
  <si>
    <t>Harvard Business Services, Inc.</t>
  </si>
  <si>
    <t>DMG Global</t>
  </si>
  <si>
    <t>Visual Communications Inc.</t>
  </si>
  <si>
    <t>Everside Health</t>
  </si>
  <si>
    <t>Havpak</t>
  </si>
  <si>
    <t>Equiteq</t>
  </si>
  <si>
    <t>The Association for Frontotemporal Degeneration</t>
  </si>
  <si>
    <t>Hope's Cookies</t>
  </si>
  <si>
    <t>The Renfrew Center</t>
  </si>
  <si>
    <t>Mobile Air Conditioning Society Worldwide</t>
  </si>
  <si>
    <t>Cimplifi</t>
  </si>
  <si>
    <t>Air Force Aid Society</t>
  </si>
  <si>
    <t>Ferrandino &amp; Son Inc</t>
  </si>
  <si>
    <t>Davis Strategic Innovations Inc</t>
  </si>
  <si>
    <t>Manager</t>
  </si>
  <si>
    <t>John Powell</t>
  </si>
  <si>
    <t>Adrian Brokken</t>
  </si>
  <si>
    <t>Jon Kabrud</t>
  </si>
  <si>
    <t>Luis Blanco</t>
  </si>
  <si>
    <t>Mike McWilliams</t>
  </si>
  <si>
    <t>Jeffrey Weight</t>
  </si>
  <si>
    <t>Anthony Laiewski</t>
  </si>
  <si>
    <t>Sales Leader</t>
  </si>
  <si>
    <t>Sum of New MRR</t>
  </si>
  <si>
    <t>Sum of Renewal MRR</t>
  </si>
  <si>
    <t>Quota achieved</t>
  </si>
  <si>
    <t>OTE Target</t>
  </si>
  <si>
    <t>New MRR Commission</t>
  </si>
  <si>
    <t xml:space="preserve">Month of Payment </t>
  </si>
  <si>
    <t>March</t>
  </si>
  <si>
    <t>Renewal Quota</t>
  </si>
  <si>
    <t>Renewal Quota Achieved</t>
  </si>
  <si>
    <t>Renewal Commission</t>
  </si>
  <si>
    <t>Month of Payment</t>
  </si>
  <si>
    <t>Mike Baron</t>
  </si>
  <si>
    <t>Erik Carlsen</t>
  </si>
  <si>
    <t>Renewal Consultant</t>
  </si>
  <si>
    <t>JR Prestridge</t>
  </si>
  <si>
    <t>Solution Engineer</t>
  </si>
  <si>
    <t>Shaun Kilkenny</t>
  </si>
  <si>
    <t>Rodney Cisneros</t>
  </si>
  <si>
    <t>Sum of NRR Commission</t>
  </si>
  <si>
    <t>Sum of MRR Commission</t>
  </si>
  <si>
    <t>Employee</t>
  </si>
  <si>
    <t>Role</t>
  </si>
  <si>
    <t>RVP</t>
  </si>
  <si>
    <t>SVP</t>
  </si>
  <si>
    <t>March Commission</t>
  </si>
  <si>
    <t>May Commission</t>
  </si>
  <si>
    <t>jpowell@meriplex.com</t>
  </si>
  <si>
    <t>rwalker@meriplex.com</t>
  </si>
  <si>
    <t>michael.true@meriplex.com</t>
  </si>
  <si>
    <t>cnewsom@meriplex.com</t>
  </si>
  <si>
    <t>anthony.kazlauskas@meriplex.com</t>
  </si>
  <si>
    <t>jsobernheim@meriplex.com</t>
  </si>
  <si>
    <t>erik.carlsen@meriplex.com</t>
  </si>
  <si>
    <t>mike.baron@meriplex.com</t>
  </si>
  <si>
    <t>jeff.weight@meriplex.com</t>
  </si>
  <si>
    <t>simon.shour@meriplex.com</t>
  </si>
  <si>
    <t>Simon Shour</t>
  </si>
  <si>
    <t>andrew.harp@meriplex.com</t>
  </si>
  <si>
    <t>lathrop.lougheed@meriplex.com</t>
  </si>
  <si>
    <t>elalli@meriplex.com</t>
  </si>
  <si>
    <t>kjayne@meriplex.com</t>
  </si>
  <si>
    <t>jdefez@meriplex.com</t>
  </si>
  <si>
    <t>mmcwilliams@meriplex.com</t>
  </si>
  <si>
    <t>sturner@meriplex.com</t>
  </si>
  <si>
    <t>mnorton@meriplex.com</t>
  </si>
  <si>
    <t>jon.kabrud@meriplex.com</t>
  </si>
  <si>
    <t>jason.delaney@meriplex.com</t>
  </si>
  <si>
    <t>mike.doucette@meriplex.com</t>
  </si>
  <si>
    <t>gary.veselka@meriplex.com</t>
  </si>
  <si>
    <t>adrian.brokken@meriplex.com</t>
  </si>
  <si>
    <t>douglas.kerzner@meriplex.com</t>
  </si>
  <si>
    <t>Douglas Kerzner</t>
  </si>
  <si>
    <t>steve.croll@meriplex.com</t>
  </si>
  <si>
    <t>patrick.lakeman@meriplex.com</t>
  </si>
  <si>
    <t>lblanco@meriplex.com</t>
  </si>
  <si>
    <t>matt.bewley@meriplex.com</t>
  </si>
  <si>
    <t>rick.carlson@meriplex.com</t>
  </si>
  <si>
    <t>james.long@meriplex.com</t>
  </si>
  <si>
    <t>James Long</t>
  </si>
  <si>
    <t>mitch.verma@meriplex.com</t>
  </si>
  <si>
    <t>emosbey@meriplex.com</t>
  </si>
  <si>
    <t>simon.beeny@meriplex.com</t>
  </si>
  <si>
    <t>bryon.herpel@meriplex.com</t>
  </si>
  <si>
    <t>dave.carlin@meriplex.com</t>
  </si>
  <si>
    <t>chris.callahan@meriplex.com</t>
  </si>
  <si>
    <t>tony.laiewski@meriplex.com</t>
  </si>
  <si>
    <t>darek.jackson@meriplex.com</t>
  </si>
  <si>
    <t>brad.strauss@meriplex.com</t>
  </si>
  <si>
    <t>matthew.digiacomo@meriplex.com</t>
  </si>
  <si>
    <t>daniel.tarkowski@meriplex.com</t>
  </si>
  <si>
    <t>brandon.ring@meriplex.com</t>
  </si>
  <si>
    <t>demetrios.adams@meriplex.com</t>
  </si>
  <si>
    <t>CC</t>
  </si>
  <si>
    <t>Send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</si>
</sst>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\-mmm;@"/>
    <numFmt numFmtId="165" formatCode="0.0%"/>
    <numFmt numFmtId="166" formatCode="_(&quot;$&quot;* #,##0_);_(&quot;$&quot;* \(#,##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44" fontId="0" fillId="0" borderId="0" xfId="1" applyFont="1"/>
    <xf numFmtId="0" fontId="0" fillId="0" borderId="0" xfId="0" applyAlignment="1">
      <alignment horizontal="right" wrapText="1"/>
    </xf>
    <xf numFmtId="14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0" fontId="0" fillId="0" borderId="6" xfId="0" applyBorder="1"/>
    <xf numFmtId="165" fontId="0" fillId="0" borderId="0" xfId="2" applyNumberFormat="1" applyFont="1" applyBorder="1"/>
    <xf numFmtId="165" fontId="0" fillId="0" borderId="7" xfId="2" applyNumberFormat="1" applyFont="1" applyBorder="1"/>
    <xf numFmtId="0" fontId="0" fillId="0" borderId="0" xfId="0" applyAlignment="1">
      <alignment horizontal="left"/>
    </xf>
    <xf numFmtId="9" fontId="0" fillId="0" borderId="0" xfId="2" applyFont="1" applyBorder="1"/>
    <xf numFmtId="9" fontId="0" fillId="0" borderId="7" xfId="2" applyFont="1" applyBorder="1"/>
    <xf numFmtId="0" fontId="0" fillId="0" borderId="8" xfId="0" applyBorder="1"/>
    <xf numFmtId="0" fontId="0" fillId="0" borderId="9" xfId="0" applyBorder="1"/>
    <xf numFmtId="165" fontId="0" fillId="0" borderId="9" xfId="2" applyNumberFormat="1" applyFont="1" applyBorder="1"/>
    <xf numFmtId="165" fontId="0" fillId="0" borderId="10" xfId="2" applyNumberFormat="1" applyFont="1" applyBorder="1"/>
    <xf numFmtId="0" fontId="0" fillId="0" borderId="11" xfId="0" applyBorder="1"/>
    <xf numFmtId="166" fontId="0" fillId="0" borderId="0" xfId="1" applyNumberFormat="1" applyFont="1"/>
    <xf numFmtId="44" fontId="0" fillId="0" borderId="0" xfId="0" applyNumberFormat="1"/>
    <xf numFmtId="10" fontId="0" fillId="0" borderId="0" xfId="2" applyNumberFormat="1" applyFont="1"/>
    <xf numFmtId="0" fontId="0" fillId="0" borderId="0" xfId="0" pivotButton="1"/>
    <xf numFmtId="9" fontId="0" fillId="0" borderId="0" xfId="2" applyFont="1" applyFill="1" applyBorder="1"/>
    <xf numFmtId="0" fontId="0" fillId="0" borderId="0" xfId="2" applyNumberFormat="1" applyFont="1" applyFill="1" applyBorder="1"/>
    <xf numFmtId="0" fontId="0" fillId="0" borderId="0" xfId="2" applyNumberFormat="1" applyFont="1" applyBorder="1"/>
    <xf numFmtId="165" fontId="0" fillId="0" borderId="0" xfId="2" applyNumberFormat="1" applyFont="1" applyFill="1" applyBorder="1"/>
    <xf numFmtId="0" fontId="0" fillId="0" borderId="0" xfId="0" applyAlignment="1">
      <alignment horizontal="right"/>
    </xf>
    <xf numFmtId="44" fontId="6" fillId="0" borderId="0" xfId="1" applyFont="1"/>
    <xf numFmtId="0" fontId="7" fillId="0" borderId="0" xfId="0" applyFont="1"/>
    <xf numFmtId="165" fontId="0" fillId="0" borderId="0" xfId="2" applyNumberFormat="1" applyFont="1"/>
    <xf numFmtId="49" fontId="0" fillId="2" borderId="0" xfId="0" applyNumberFormat="1" applyFill="1"/>
    <xf numFmtId="0" fontId="0" fillId="2" borderId="0" xfId="0" applyFill="1"/>
    <xf numFmtId="0" fontId="0" fillId="0" borderId="1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ty Corning" refreshedDate="45369.838755439814" createdVersion="8" refreshedVersion="8" minRefreshableVersion="3" recordCount="1243" xr:uid="{104EB47C-CE62-4AC0-AAB4-DC43BDCE9D01}">
  <cacheSource type="worksheet">
    <worksheetSource ref="A1:U1048576" sheet="Product Detail"/>
  </cacheSource>
  <cacheFields count="21">
    <cacheField name="Opportunity Rec ID" numFmtId="0">
      <sharedItems containsBlank="1" containsMixedTypes="1" containsNumber="1" containsInteger="1" minValue="24731" maxValue="39695" count="539">
        <n v="24731"/>
        <n v="28676"/>
        <n v="28734"/>
        <n v="28945"/>
        <n v="29885"/>
        <n v="29991"/>
        <n v="30198"/>
        <n v="30511"/>
        <n v="31651"/>
        <n v="32824"/>
        <n v="32826"/>
        <n v="33617"/>
        <n v="34261"/>
        <n v="34973"/>
        <n v="35605"/>
        <n v="36211"/>
        <n v="36314"/>
        <n v="36335"/>
        <n v="36364"/>
        <n v="36417"/>
        <n v="36507"/>
        <n v="36636"/>
        <n v="36677"/>
        <n v="36780"/>
        <n v="36781"/>
        <n v="36783"/>
        <n v="36795"/>
        <n v="36853"/>
        <n v="36869"/>
        <n v="36995"/>
        <n v="37048"/>
        <n v="37206"/>
        <n v="37235"/>
        <n v="37260"/>
        <n v="37367"/>
        <n v="37381"/>
        <n v="37412"/>
        <n v="37414"/>
        <n v="37445"/>
        <n v="37478"/>
        <n v="37489"/>
        <n v="37552"/>
        <n v="37562"/>
        <n v="37569"/>
        <n v="37574"/>
        <n v="37591"/>
        <n v="37592"/>
        <n v="37606"/>
        <n v="37614"/>
        <n v="37623"/>
        <n v="37673"/>
        <n v="37744"/>
        <n v="37766"/>
        <n v="37770"/>
        <n v="37781"/>
        <n v="37784"/>
        <n v="37814"/>
        <n v="37835"/>
        <n v="37886"/>
        <n v="37888"/>
        <n v="37894"/>
        <n v="37914"/>
        <n v="37915"/>
        <n v="37929"/>
        <n v="37937"/>
        <n v="37950"/>
        <n v="37983"/>
        <n v="37992"/>
        <n v="38002"/>
        <n v="38045"/>
        <n v="38066"/>
        <n v="38070"/>
        <n v="38074"/>
        <n v="38075"/>
        <n v="38085"/>
        <n v="38095"/>
        <n v="38116"/>
        <n v="38140"/>
        <n v="38143"/>
        <n v="38171"/>
        <n v="38182"/>
        <n v="38217"/>
        <n v="38229"/>
        <n v="38254"/>
        <n v="38271"/>
        <n v="38272"/>
        <n v="38284"/>
        <n v="38291"/>
        <n v="38292"/>
        <n v="38294"/>
        <n v="38299"/>
        <n v="38303"/>
        <n v="38306"/>
        <n v="38314"/>
        <n v="38331"/>
        <n v="38334"/>
        <n v="38350"/>
        <n v="38358"/>
        <n v="38377"/>
        <n v="38380"/>
        <n v="38389"/>
        <n v="38396"/>
        <n v="38415"/>
        <n v="38421"/>
        <n v="38447"/>
        <n v="38455"/>
        <n v="38463"/>
        <n v="38473"/>
        <n v="38474"/>
        <n v="38477"/>
        <n v="38479"/>
        <n v="38482"/>
        <n v="38483"/>
        <n v="38485"/>
        <n v="38488"/>
        <n v="38490"/>
        <n v="38494"/>
        <n v="38496"/>
        <n v="38503"/>
        <n v="38510"/>
        <n v="38515"/>
        <n v="38516"/>
        <n v="38518"/>
        <n v="38522"/>
        <n v="38524"/>
        <n v="38525"/>
        <n v="38528"/>
        <n v="38529"/>
        <n v="38530"/>
        <n v="38531"/>
        <n v="38532"/>
        <n v="38533"/>
        <n v="38534"/>
        <n v="38535"/>
        <n v="38545"/>
        <n v="38546"/>
        <n v="38547"/>
        <n v="38550"/>
        <n v="38551"/>
        <n v="38553"/>
        <n v="38554"/>
        <n v="38557"/>
        <n v="38558"/>
        <n v="38562"/>
        <n v="38563"/>
        <n v="38568"/>
        <n v="38571"/>
        <n v="38572"/>
        <n v="38573"/>
        <n v="38577"/>
        <n v="38581"/>
        <n v="38582"/>
        <n v="38586"/>
        <n v="38587"/>
        <n v="38588"/>
        <n v="38590"/>
        <n v="38591"/>
        <n v="38592"/>
        <n v="38594"/>
        <n v="38595"/>
        <n v="38597"/>
        <n v="38598"/>
        <n v="38609"/>
        <n v="38610"/>
        <n v="38615"/>
        <n v="38616"/>
        <n v="38617"/>
        <n v="38619"/>
        <n v="38620"/>
        <n v="38624"/>
        <n v="38627"/>
        <n v="38629"/>
        <n v="38632"/>
        <n v="38638"/>
        <n v="38639"/>
        <n v="38640"/>
        <n v="38641"/>
        <n v="38642"/>
        <n v="38644"/>
        <n v="38645"/>
        <n v="38646"/>
        <n v="38651"/>
        <n v="38657"/>
        <n v="38660"/>
        <n v="38663"/>
        <n v="38670"/>
        <n v="38675"/>
        <n v="38676"/>
        <n v="38678"/>
        <n v="38681"/>
        <n v="38682"/>
        <n v="38685"/>
        <n v="38689"/>
        <n v="38691"/>
        <n v="38693"/>
        <n v="38694"/>
        <n v="38695"/>
        <n v="38696"/>
        <n v="38699"/>
        <n v="38707"/>
        <n v="38708"/>
        <n v="38711"/>
        <n v="38712"/>
        <n v="38717"/>
        <n v="38722"/>
        <n v="38723"/>
        <n v="38724"/>
        <n v="38725"/>
        <n v="38728"/>
        <n v="38730"/>
        <n v="38731"/>
        <n v="38733"/>
        <n v="38735"/>
        <n v="38737"/>
        <n v="38741"/>
        <n v="38745"/>
        <n v="38751"/>
        <n v="38753"/>
        <n v="38755"/>
        <n v="38756"/>
        <n v="38758"/>
        <n v="38759"/>
        <n v="38761"/>
        <n v="38764"/>
        <n v="38771"/>
        <n v="38773"/>
        <n v="38775"/>
        <n v="38779"/>
        <n v="38782"/>
        <n v="38788"/>
        <n v="38792"/>
        <n v="38793"/>
        <n v="38803"/>
        <n v="38807"/>
        <n v="38809"/>
        <n v="38815"/>
        <n v="38817"/>
        <n v="38818"/>
        <n v="38823"/>
        <n v="38827"/>
        <n v="38828"/>
        <n v="38850"/>
        <n v="38854"/>
        <n v="38859"/>
        <n v="38870"/>
        <n v="38872"/>
        <n v="38875"/>
        <n v="38881"/>
        <n v="38883"/>
        <n v="38886"/>
        <n v="38888"/>
        <n v="38890"/>
        <n v="38892"/>
        <n v="38894"/>
        <n v="38895"/>
        <n v="38896"/>
        <n v="38899"/>
        <n v="38900"/>
        <n v="38903"/>
        <n v="38905"/>
        <n v="38906"/>
        <n v="38907"/>
        <n v="38908"/>
        <n v="38910"/>
        <n v="38911"/>
        <n v="38912"/>
        <n v="38913"/>
        <n v="38914"/>
        <n v="38915"/>
        <n v="38917"/>
        <n v="38918"/>
        <n v="38919"/>
        <n v="38922"/>
        <n v="38926"/>
        <n v="38930"/>
        <n v="38935"/>
        <n v="38936"/>
        <n v="38938"/>
        <n v="38941"/>
        <n v="38949"/>
        <n v="38951"/>
        <n v="38953"/>
        <n v="38955"/>
        <n v="38956"/>
        <n v="38957"/>
        <n v="38961"/>
        <n v="38962"/>
        <n v="38968"/>
        <n v="38975"/>
        <n v="38978"/>
        <n v="38983"/>
        <n v="38991"/>
        <n v="38993"/>
        <n v="38998"/>
        <n v="38999"/>
        <n v="39000"/>
        <n v="39001"/>
        <n v="39003"/>
        <n v="39007"/>
        <n v="39011"/>
        <n v="39016"/>
        <n v="39017"/>
        <n v="39025"/>
        <n v="39026"/>
        <n v="39029"/>
        <n v="39033"/>
        <n v="39035"/>
        <n v="39037"/>
        <n v="39039"/>
        <n v="39040"/>
        <n v="39044"/>
        <n v="39048"/>
        <n v="39053"/>
        <n v="39054"/>
        <n v="39058"/>
        <n v="39060"/>
        <n v="39061"/>
        <n v="39063"/>
        <n v="39064"/>
        <n v="39066"/>
        <n v="39069"/>
        <n v="39072"/>
        <n v="39083"/>
        <n v="39084"/>
        <n v="39088"/>
        <n v="39089"/>
        <n v="39092"/>
        <n v="39098"/>
        <n v="39104"/>
        <n v="39107"/>
        <n v="39110"/>
        <n v="39111"/>
        <n v="39112"/>
        <n v="39114"/>
        <n v="39116"/>
        <n v="39117"/>
        <n v="39118"/>
        <n v="39120"/>
        <n v="39121"/>
        <n v="39122"/>
        <n v="39124"/>
        <n v="39126"/>
        <n v="39127"/>
        <n v="39129"/>
        <n v="39130"/>
        <n v="39132"/>
        <n v="39133"/>
        <n v="39134"/>
        <n v="39135"/>
        <n v="39136"/>
        <n v="39137"/>
        <n v="39140"/>
        <n v="39144"/>
        <n v="39145"/>
        <n v="39146"/>
        <n v="39147"/>
        <n v="39149"/>
        <n v="39152"/>
        <n v="39153"/>
        <n v="39155"/>
        <n v="39157"/>
        <n v="39158"/>
        <n v="39164"/>
        <n v="39169"/>
        <n v="39170"/>
        <n v="39171"/>
        <n v="39173"/>
        <n v="39181"/>
        <n v="39183"/>
        <n v="39185"/>
        <n v="39198"/>
        <n v="39199"/>
        <n v="39206"/>
        <n v="39207"/>
        <n v="39214"/>
        <n v="39215"/>
        <n v="39216"/>
        <n v="39219"/>
        <n v="39221"/>
        <n v="39222"/>
        <n v="39223"/>
        <n v="39224"/>
        <n v="39241"/>
        <n v="39242"/>
        <n v="39243"/>
        <n v="39244"/>
        <n v="39245"/>
        <n v="39248"/>
        <n v="39249"/>
        <n v="39255"/>
        <n v="39258"/>
        <n v="39259"/>
        <n v="39266"/>
        <n v="39269"/>
        <n v="39270"/>
        <n v="39274"/>
        <n v="39275"/>
        <n v="39276"/>
        <n v="39277"/>
        <n v="39278"/>
        <n v="39281"/>
        <n v="39282"/>
        <n v="39284"/>
        <n v="39290"/>
        <n v="39292"/>
        <n v="39293"/>
        <n v="39307"/>
        <n v="39308"/>
        <n v="39309"/>
        <n v="39313"/>
        <n v="39316"/>
        <n v="39320"/>
        <n v="39324"/>
        <n v="39326"/>
        <n v="39327"/>
        <n v="39330"/>
        <n v="39336"/>
        <n v="39338"/>
        <n v="39340"/>
        <n v="39343"/>
        <n v="39348"/>
        <n v="39351"/>
        <n v="39356"/>
        <n v="39357"/>
        <n v="39361"/>
        <n v="39365"/>
        <n v="39367"/>
        <n v="39375"/>
        <n v="39376"/>
        <n v="39377"/>
        <n v="39378"/>
        <n v="39380"/>
        <n v="39382"/>
        <n v="39383"/>
        <n v="39386"/>
        <n v="39387"/>
        <n v="39388"/>
        <n v="39389"/>
        <n v="39390"/>
        <n v="39395"/>
        <n v="39397"/>
        <n v="39398"/>
        <n v="39401"/>
        <n v="39403"/>
        <n v="39407"/>
        <n v="39420"/>
        <n v="39422"/>
        <n v="39423"/>
        <n v="39425"/>
        <n v="39426"/>
        <n v="39427"/>
        <n v="39429"/>
        <n v="39430"/>
        <n v="39431"/>
        <n v="39433"/>
        <n v="39434"/>
        <n v="39437"/>
        <n v="39438"/>
        <n v="39440"/>
        <n v="39445"/>
        <n v="39447"/>
        <n v="39449"/>
        <n v="39453"/>
        <n v="39460"/>
        <n v="39463"/>
        <n v="39464"/>
        <n v="39465"/>
        <n v="39466"/>
        <n v="39469"/>
        <n v="39479"/>
        <n v="39487"/>
        <n v="39488"/>
        <n v="39496"/>
        <n v="39502"/>
        <n v="39536"/>
        <n v="39552"/>
        <n v="39562"/>
        <n v="39576"/>
        <n v="39665"/>
        <n v="39695"/>
        <s v="JUI-001"/>
        <s v="JUI-002"/>
        <s v="JUI-003"/>
        <s v="JUI-004"/>
        <s v="JUI-005"/>
        <s v="JUI-006"/>
        <s v="JUI-007"/>
        <s v="JUI-009"/>
        <s v="JUI-010"/>
        <s v="JUI-011"/>
        <s v="JUI-012"/>
        <s v="JUI-013"/>
        <s v="JUI-014"/>
        <s v="JUI-015"/>
        <s v="JUI-016"/>
        <s v="JUI-017"/>
        <s v="JUI-018"/>
        <s v="JUI-019"/>
        <s v="JUI-020"/>
        <s v="JUI-021"/>
        <s v="JUI-022"/>
        <s v="JUI-023"/>
        <s v="JUI-024"/>
        <s v="JUI-025"/>
        <s v="JUI-026"/>
        <s v="JUI-027"/>
        <s v="JUI-028"/>
        <s v="JUI-030"/>
        <s v="JUI-031"/>
        <s v="JUI-032"/>
        <s v="JUI-033"/>
        <s v="JUI-034"/>
        <s v="JUI-035"/>
        <s v="JUI-036"/>
        <s v="JUI-037"/>
        <s v="JUI-038"/>
        <s v="JUI-039"/>
        <s v="JUI-040"/>
        <s v="JUI-041"/>
        <s v="JUI-042"/>
        <s v="JUI-043"/>
        <s v="JUI-044"/>
        <s v="JUI-045"/>
        <s v="JUI-046"/>
        <s v="JUI-047"/>
        <s v="JUI-048"/>
        <s v="JUI-049"/>
        <s v="JUI-050"/>
        <s v="JUI-051"/>
        <s v="JUI-052"/>
        <s v="JUI-053"/>
        <s v="JUI-054"/>
        <s v="JUI-055"/>
        <s v="JUI-056"/>
        <s v="JUI-057"/>
        <s v="JUI-058"/>
        <s v="JUI-059"/>
        <s v="JUI-060"/>
        <m/>
      </sharedItems>
    </cacheField>
    <cacheField name="Opportunity Name" numFmtId="0">
      <sharedItems containsBlank="1"/>
    </cacheField>
    <cacheField name="Stage" numFmtId="0">
      <sharedItems containsBlank="1"/>
    </cacheField>
    <cacheField name="Close Date" numFmtId="0">
      <sharedItems containsNonDate="0" containsDate="1" containsString="0" containsBlank="1" minDate="2024-01-02T00:00:00" maxDate="2024-02-01T00:00:00"/>
    </cacheField>
    <cacheField name="Amount (MRR)" numFmtId="0">
      <sharedItems containsString="0" containsBlank="1" containsNumber="1" minValue="-15675" maxValue="9153.5400000000009"/>
    </cacheField>
    <cacheField name="SKU" numFmtId="0">
      <sharedItems containsBlank="1"/>
    </cacheField>
    <cacheField name="Customer Description" numFmtId="0">
      <sharedItems containsBlank="1"/>
    </cacheField>
    <cacheField name="Product Category" numFmtId="0">
      <sharedItems containsBlank="1"/>
    </cacheField>
    <cacheField name="Quantity" numFmtId="0">
      <sharedItems containsString="0" containsBlank="1" containsNumber="1" minValue="-1488" maxValue="1488"/>
    </cacheField>
    <cacheField name="Price - MRR" numFmtId="0">
      <sharedItems containsString="0" containsBlank="1" containsNumber="1" minValue="0" maxValue="625"/>
    </cacheField>
    <cacheField name="Cost - MRR" numFmtId="0">
      <sharedItems containsString="0" containsBlank="1" containsNumber="1" minValue="0" maxValue="246.56"/>
    </cacheField>
    <cacheField name="Discount" numFmtId="0">
      <sharedItems containsString="0" containsBlank="1" containsNumber="1" containsInteger="1" minValue="75" maxValue="100"/>
    </cacheField>
    <cacheField name="Ext Price - MRR" numFmtId="0">
      <sharedItems containsString="0" containsBlank="1" containsNumber="1" minValue="0" maxValue="6300"/>
    </cacheField>
    <cacheField name="CW Product Id" numFmtId="0">
      <sharedItems containsNonDate="0" containsString="0" containsBlank="1"/>
    </cacheField>
    <cacheField name="Product Type" numFmtId="0">
      <sharedItems containsNonDate="0" containsString="0" containsBlank="1"/>
    </cacheField>
    <cacheField name="Price - NRR" numFmtId="0">
      <sharedItems containsBlank="1" containsMixedTypes="1" containsNumber="1" minValue="-7796.25" maxValue="80000"/>
    </cacheField>
    <cacheField name="Ext Price - NRR" numFmtId="0">
      <sharedItems containsString="0" containsBlank="1" containsNumber="1" minValue="-56213.87" maxValue="490119.3"/>
    </cacheField>
    <cacheField name="Cost - NRR" numFmtId="0">
      <sharedItems containsString="0" containsBlank="1" containsNumber="1" minValue="0" maxValue="73360"/>
    </cacheField>
    <cacheField name="Ext Cost - NRR" numFmtId="0">
      <sharedItems containsString="0" containsBlank="1" containsNumber="1" minValue="-17635.739999999998" maxValue="416602.8"/>
    </cacheField>
    <cacheField name="Opportunity Owner" numFmtId="0">
      <sharedItems containsBlank="1"/>
    </cacheField>
    <cacheField name="Commission" numFmtId="0">
      <sharedItems containsString="0" containsBlank="1" containsNumber="1" minValue="-311.85000000000002" maxValue="1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ty Corning" refreshedDate="45369.839164814817" createdVersion="8" refreshedVersion="8" minRefreshableVersion="3" recordCount="618" xr:uid="{6AE48B12-E0A2-44F3-AA84-B12DFFC4997D}">
  <cacheSource type="worksheet">
    <worksheetSource ref="A1:Q1048576" sheet="Approved Opportunities"/>
  </cacheSource>
  <cacheFields count="17">
    <cacheField name="Approved Opportunities" numFmtId="0">
      <sharedItems containsBlank="1" containsMixedTypes="1" containsNumber="1" containsInteger="1" minValue="24731" maxValue="39695"/>
    </cacheField>
    <cacheField name="Opportunity Owner" numFmtId="0">
      <sharedItems containsBlank="1" count="33">
        <s v="Jackie Moore"/>
        <s v="Mitch Verma"/>
        <s v="Andrew Harp"/>
        <s v="Lathrop Lougheed"/>
        <s v="Erminio Lalli"/>
        <s v="Jonathan DeFez"/>
        <s v="Kennon Jayne"/>
        <s v="Brandon Ring"/>
        <s v="Rick Carlson"/>
        <s v="Ron Walker"/>
        <s v="Kade Thurman"/>
        <s v="Michael True"/>
        <s v="Cynthia Newsom"/>
        <s v="Brandon Philips"/>
        <s v="Gary Veselka"/>
        <s v="Simon Beeny"/>
        <s v="John Sobernheim"/>
        <s v="Judas Schaeffer"/>
        <s v="Greg Brooks"/>
        <s v="Corey King"/>
        <s v="Laura Emery"/>
        <s v="Patrick Lakeman"/>
        <s v="Elmer Mosbey"/>
        <s v="Steve Croll"/>
        <s v="Daniel Tarkowski"/>
        <s v="Jerry Prestridge"/>
        <s v="Anthony Kazlauskas"/>
        <s v="Dave Carlin"/>
        <s v="Chris Callahan"/>
        <s v="Demetrios Adams"/>
        <s v="Bryon Herpel"/>
        <s v="Matthew Digiacomo"/>
        <m/>
      </sharedItems>
    </cacheField>
    <cacheField name="Sales Leader" numFmtId="0">
      <sharedItems containsBlank="1" containsMixedTypes="1" containsNumber="1" containsInteger="1" minValue="0" maxValue="0" count="9">
        <s v="John Powell"/>
        <s v="Luis Blanco"/>
        <s v="Jeffrey Weight"/>
        <s v="Anthony Laiewski"/>
        <s v="Jon Kabrud"/>
        <s v="Simon Beeny"/>
        <n v="0"/>
        <s v="Adrian Brokken"/>
        <m/>
      </sharedItems>
    </cacheField>
    <cacheField name="Close Date" numFmtId="0">
      <sharedItems containsNonDate="0" containsDate="1" containsString="0" containsBlank="1" minDate="2024-01-02T00:00:00" maxDate="2024-02-01T00:00:00"/>
    </cacheField>
    <cacheField name="Type" numFmtId="0">
      <sharedItems containsBlank="1"/>
    </cacheField>
    <cacheField name="Company" numFmtId="0">
      <sharedItems containsBlank="1"/>
    </cacheField>
    <cacheField name="Opp Name" numFmtId="0">
      <sharedItems containsBlank="1"/>
    </cacheField>
    <cacheField name="Downgrade" numFmtId="0">
      <sharedItems containsBlank="1" containsMixedTypes="1" containsNumber="1" containsInteger="1" minValue="0" maxValue="0"/>
    </cacheField>
    <cacheField name="New MRR" numFmtId="44">
      <sharedItems containsString="0" containsBlank="1" containsNumber="1" minValue="-1482.05" maxValue="9153.5400000000009"/>
    </cacheField>
    <cacheField name="Renewal MRR" numFmtId="44">
      <sharedItems containsString="0" containsBlank="1" containsNumber="1" minValue="0" maxValue="6300"/>
    </cacheField>
    <cacheField name="Term" numFmtId="0">
      <sharedItems containsString="0" containsBlank="1" containsNumber="1" containsInteger="1" minValue="0" maxValue="60"/>
    </cacheField>
    <cacheField name="New MRR Multiplier" numFmtId="0">
      <sharedItems containsString="0" containsBlank="1" containsNumber="1" minValue="0" maxValue="1"/>
    </cacheField>
    <cacheField name="Renewal Multiplier" numFmtId="0">
      <sharedItems containsString="0" containsBlank="1" containsNumber="1" minValue="0" maxValue="0.25"/>
    </cacheField>
    <cacheField name="NRR Commission" numFmtId="44">
      <sharedItems containsBlank="1" containsMixedTypes="1" containsNumber="1" minValue="-38.1" maxValue="1904.2371000000003"/>
    </cacheField>
    <cacheField name="MRR Commission" numFmtId="44">
      <sharedItems containsString="0" containsBlank="1" containsNumber="1" minValue="-185.25624999999999" maxValue="4045.35"/>
    </cacheField>
    <cacheField name="MRR - 1st Payment Due" numFmtId="0">
      <sharedItems containsNonDate="0" containsDate="1" containsString="0" containsBlank="1" minDate="2024-03-01T00:00:00" maxDate="2024-03-02T00:00:00"/>
    </cacheField>
    <cacheField name="MRR - 2nd Payment Due" numFmtId="0">
      <sharedItems containsNonDate="0" containsDate="1" containsString="0" containsBlank="1" minDate="2024-05-01T00:00:00" maxDate="2024-05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3">
  <r>
    <x v="0"/>
    <s v="WatchGuard T80 and AP225W - Due 2/4/2024"/>
    <s v="Won"/>
    <d v="2024-01-22T00:00:00"/>
    <n v="0"/>
    <s v="WGT80351"/>
    <s v="WatchGuard Total Security Suite for Firebox T80 - Renewal"/>
    <s v="IT/LAN Equipment"/>
    <n v="1"/>
    <n v="0"/>
    <n v="0"/>
    <m/>
    <n v="0"/>
    <m/>
    <m/>
    <n v="1571"/>
    <n v="1571"/>
    <n v="1224.67"/>
    <n v="1224.67"/>
    <s v="Jackie Moore"/>
    <n v="0"/>
  </r>
  <r>
    <x v="0"/>
    <s v="WatchGuard T80 and AP225W - Due 2/4/2024"/>
    <s v="Won"/>
    <d v="2024-01-22T00:00:00"/>
    <n v="0"/>
    <s v="WGWFC241"/>
    <s v="WatchGuard Secure Suite with 24 x 7 Support License Renewal"/>
    <s v="IT/LAN Equipment"/>
    <n v="2"/>
    <n v="0"/>
    <n v="0"/>
    <m/>
    <n v="0"/>
    <m/>
    <m/>
    <n v="113"/>
    <n v="226"/>
    <n v="88"/>
    <n v="176"/>
    <s v="Jackie Moore"/>
    <n v="0"/>
  </r>
  <r>
    <x v="1"/>
    <s v="Renewal - All Meraki Devices - 2024 EXP 1/8/2024"/>
    <s v="Won"/>
    <d v="2024-01-30T00:00:00"/>
    <n v="0"/>
    <s v="LIC-ENT-1YR"/>
    <s v="Meraki MR Enterprise License 1YR"/>
    <s v="IT/LAN Equipment"/>
    <n v="6"/>
    <n v="0"/>
    <n v="0"/>
    <m/>
    <n v="0"/>
    <m/>
    <m/>
    <n v="123"/>
    <n v="738"/>
    <n v="100.35"/>
    <n v="602.09999999999991"/>
    <s v="Brandon Ring"/>
    <n v="10.872000000000007"/>
  </r>
  <r>
    <x v="1"/>
    <s v="Renewal - All Meraki Devices - 2024 EXP 1/8/2024"/>
    <s v="Won"/>
    <d v="2024-01-30T00:00:00"/>
    <n v="0"/>
    <s v="LIC-MS120-48-1YR"/>
    <s v="Meraki MS120-48 Enterprise License and Support 1 Year"/>
    <s v="IT/LAN Equipment"/>
    <n v="1"/>
    <n v="0"/>
    <n v="0"/>
    <m/>
    <n v="0"/>
    <m/>
    <m/>
    <n v="110"/>
    <n v="110"/>
    <n v="89.55"/>
    <n v="89.55"/>
    <s v="Brandon Ring"/>
    <n v="1.6360000000000003"/>
  </r>
  <r>
    <x v="1"/>
    <s v="Renewal - All Meraki Devices - 2024 EXP 1/8/2024"/>
    <s v="Won"/>
    <d v="2024-01-30T00:00:00"/>
    <n v="0"/>
    <s v="LIC-MS120-48LP-1YR"/>
    <s v="Meraki Enterprise + 1 Year Enterprise Support - Subscription License - 1 Switch - 1 Year - MS120-48LP Cloud Managed Switch"/>
    <s v="IT/LAN Equipment"/>
    <n v="1"/>
    <n v="0"/>
    <n v="0"/>
    <m/>
    <n v="0"/>
    <m/>
    <m/>
    <n v="146"/>
    <n v="146"/>
    <n v="119.56"/>
    <n v="119.56"/>
    <s v="Brandon Ring"/>
    <n v="2.1151999999999997"/>
  </r>
  <r>
    <x v="1"/>
    <s v="Renewal - All Meraki Devices - 2024 EXP 1/8/2024"/>
    <s v="Won"/>
    <d v="2024-01-30T00:00:00"/>
    <n v="0"/>
    <s v="LIC-MX64-ENT-1YR"/>
    <s v="Meraki MX64 Enterprise License and Support, 1 Year - Meraki MX64 Cloud Managed Security Firewall Appliance -"/>
    <s v="IT/LAN Equipment"/>
    <n v="1"/>
    <n v="0"/>
    <n v="0"/>
    <m/>
    <n v="0"/>
    <m/>
    <m/>
    <n v="194"/>
    <n v="194"/>
    <n v="158.78"/>
    <n v="158.78"/>
    <s v="Brandon Ring"/>
    <n v="2.8176000000000001"/>
  </r>
  <r>
    <x v="2"/>
    <s v="LabelView Renewal - Due 1/10/2024"/>
    <s v="Won"/>
    <d v="2024-01-09T00:00:00"/>
    <n v="0"/>
    <s v="SMALVSNG11YR"/>
    <s v="SMA-LABEL MATRIX SINGLE-USER"/>
    <s v="IT/LAN Equipment"/>
    <n v="1"/>
    <n v="0"/>
    <n v="0"/>
    <m/>
    <n v="0"/>
    <m/>
    <m/>
    <n v="179"/>
    <n v="179"/>
    <n v="173.91"/>
    <n v="173.91"/>
    <s v="Jackie Moore"/>
    <n v="0"/>
  </r>
  <r>
    <x v="3"/>
    <s v="Clinic Access Control upgrade"/>
    <s v="Won"/>
    <d v="2024-01-05T00:00:00"/>
    <n v="180"/>
    <s v="SW-PRM-P5-3Y"/>
    <s v="Premium: Pack of 5 entries - 3 year"/>
    <s v="IT/LAN Equipment"/>
    <n v="1"/>
    <n v="0"/>
    <n v="0"/>
    <m/>
    <n v="0"/>
    <m/>
    <m/>
    <n v="2160"/>
    <n v="2160"/>
    <n v="1944"/>
    <n v="1944"/>
    <s v="Lathrop Lougheed"/>
    <n v="17.28"/>
  </r>
  <r>
    <x v="3"/>
    <s v="Clinic Access Control upgrade"/>
    <s v="Won"/>
    <d v="2024-01-05T00:00:00"/>
    <n v="180"/>
    <s v="SYS-8ENT-DVE2"/>
    <s v="E2 12/24V 8-Door Smart Hub"/>
    <s v="IT/LAN Equipment"/>
    <n v="1"/>
    <n v="0"/>
    <n v="0"/>
    <m/>
    <n v="0"/>
    <m/>
    <m/>
    <n v="1866.67"/>
    <n v="1866.67"/>
    <n v="1680"/>
    <n v="1680"/>
    <s v="Lathrop Lougheed"/>
    <n v="14.933600000000006"/>
  </r>
  <r>
    <x v="3"/>
    <s v="Clinic Access Control upgrade"/>
    <s v="Won"/>
    <d v="2024-01-05T00:00:00"/>
    <n v="180"/>
    <s v="OP-R2X-MULL"/>
    <s v="Openpath R2X Reader"/>
    <s v="IT/LAN Equipment"/>
    <n v="5"/>
    <n v="0"/>
    <n v="0"/>
    <m/>
    <n v="0"/>
    <m/>
    <m/>
    <n v="183.33"/>
    <n v="916.65"/>
    <n v="165"/>
    <n v="825"/>
    <s v="Lathrop Lougheed"/>
    <n v="7.3319999999999981"/>
  </r>
  <r>
    <x v="3"/>
    <s v="Clinic Access Control upgrade"/>
    <s v="Won"/>
    <d v="2024-01-05T00:00:00"/>
    <n v="180"/>
    <s v="OP-VID-PRO-INT"/>
    <s v="Openpath Video Intercom Pro Camera"/>
    <s v="IT/LAN Equipment"/>
    <n v="1"/>
    <n v="0"/>
    <n v="0"/>
    <m/>
    <n v="0"/>
    <m/>
    <m/>
    <n v="666.67"/>
    <n v="666.67"/>
    <n v="600"/>
    <n v="600"/>
    <s v="Lathrop Lougheed"/>
    <n v="5.333599999999997"/>
  </r>
  <r>
    <x v="3"/>
    <s v="Clinic Access Control upgrade"/>
    <s v="Won"/>
    <d v="2024-01-05T00:00:00"/>
    <n v="180"/>
    <s v="OP-ACH-10IC"/>
    <s v="Access Control Card -DESFire EV3 2K Solid 10 Pack"/>
    <s v="IT/LAN Equipment"/>
    <n v="7"/>
    <n v="0"/>
    <n v="0"/>
    <m/>
    <n v="0"/>
    <m/>
    <m/>
    <s v="~"/>
    <n v="252"/>
    <n v="30"/>
    <n v="210"/>
    <s v="Lathrop Lougheed"/>
    <n v="3.36"/>
  </r>
  <r>
    <x v="3"/>
    <s v="Clinic Access Control upgrade"/>
    <s v="Won"/>
    <d v="2024-01-05T00:00:00"/>
    <n v="180"/>
    <s v="SW-ALA-ADE-P500"/>
    <s v="Active Directory Identity Provider Pack Of 500 Use"/>
    <s v="IT/LAN Equipment"/>
    <n v="1"/>
    <n v="0"/>
    <n v="0"/>
    <m/>
    <n v="0"/>
    <m/>
    <m/>
    <n v="1200"/>
    <n v="1200"/>
    <n v="1080"/>
    <n v="1080"/>
    <s v="Lathrop Lougheed"/>
    <n v="9.6"/>
  </r>
  <r>
    <x v="3"/>
    <s v="Clinic Access Control upgrade"/>
    <s v="Won"/>
    <d v="2024-01-05T00:00:00"/>
    <n v="180"/>
    <s v="OP-PI-30W"/>
    <s v="PoE/PoE+ Injector"/>
    <s v="IT/LAN Equipment"/>
    <n v="1"/>
    <n v="0"/>
    <n v="0"/>
    <m/>
    <n v="0"/>
    <m/>
    <m/>
    <n v="40"/>
    <n v="40"/>
    <n v="36"/>
    <n v="36"/>
    <s v="Lathrop Lougheed"/>
    <n v="0.32"/>
  </r>
  <r>
    <x v="3"/>
    <s v="Clinic Access Control upgrade"/>
    <s v="Won"/>
    <d v="2024-01-05T00:00:00"/>
    <n v="180"/>
    <s v="MPC-3P-CAB"/>
    <s v="Cabling Labor"/>
    <s v="IT/LAN Installation"/>
    <n v="1"/>
    <n v="0"/>
    <n v="0"/>
    <m/>
    <n v="0"/>
    <m/>
    <m/>
    <n v="2845"/>
    <n v="2845"/>
    <n v="2560"/>
    <n v="2560"/>
    <s v="Lathrop Lougheed"/>
    <n v="113.8"/>
  </r>
  <r>
    <x v="3"/>
    <s v="Clinic Access Control upgrade"/>
    <s v="Won"/>
    <d v="2024-01-05T00:00:00"/>
    <n v="180"/>
    <s v="MPC-PS-T4"/>
    <s v="Meriplex Tier 4 Engineer Labor"/>
    <s v="IT/LAN Installation"/>
    <n v="5"/>
    <n v="0"/>
    <n v="0"/>
    <m/>
    <n v="0"/>
    <m/>
    <m/>
    <n v="250"/>
    <n v="1250"/>
    <n v="0"/>
    <n v="0"/>
    <s v="Lathrop Lougheed"/>
    <n v="50"/>
  </r>
  <r>
    <x v="3"/>
    <s v="Clinic Access Control upgrade"/>
    <s v="Won"/>
    <d v="2024-01-05T00:00:00"/>
    <n v="180"/>
    <s v="SW-PRM-P1-3Y"/>
    <s v="Premium: Pack of 1 entry - 3 year"/>
    <s v="IT/LAN Equipment"/>
    <n v="1"/>
    <n v="0"/>
    <n v="0"/>
    <m/>
    <n v="0"/>
    <m/>
    <m/>
    <n v="600"/>
    <n v="600"/>
    <n v="540"/>
    <n v="540"/>
    <s v="Lathrop Lougheed"/>
    <n v="4.8"/>
  </r>
  <r>
    <x v="4"/>
    <s v="8427096 - Add Third Party Patch Deployment"/>
    <s v="Won"/>
    <d v="2024-01-10T00:00:00"/>
    <n v="308"/>
    <s v="MSP-MIT-PD3-WKS="/>
    <s v="Manage Third Party patch Deployment - Mac OS"/>
    <s v="Managed Services"/>
    <n v="14"/>
    <n v="2"/>
    <n v="0.25"/>
    <m/>
    <n v="28"/>
    <m/>
    <m/>
    <n v="2.8"/>
    <n v="39.200000000000003"/>
    <n v="0"/>
    <n v="0"/>
    <s v="Jonathan DeFez"/>
    <n v="1.5680000000000001"/>
  </r>
  <r>
    <x v="4"/>
    <s v="8427096 - Add Third Party Patch Deployment"/>
    <s v="Won"/>
    <d v="2024-01-10T00:00:00"/>
    <n v="308"/>
    <s v="MSP-MIT-PD3-WKS="/>
    <s v="Manage Third Party patch Deployment - Workstation"/>
    <s v="Managed Services"/>
    <n v="130"/>
    <n v="2"/>
    <n v="0.25"/>
    <m/>
    <n v="260"/>
    <m/>
    <m/>
    <n v="2.8"/>
    <n v="364"/>
    <n v="0"/>
    <n v="0"/>
    <s v="Jonathan DeFez"/>
    <n v="14.56"/>
  </r>
  <r>
    <x v="4"/>
    <s v="8427096 - Add Third Party Patch Deployment"/>
    <s v="Won"/>
    <d v="2024-01-10T00:00:00"/>
    <n v="308"/>
    <s v="MSP-MIT-PD3-SRV="/>
    <s v="Manage Third Party patch Deployment - Server"/>
    <s v="Managed Services"/>
    <n v="10"/>
    <n v="2"/>
    <n v="0.25"/>
    <m/>
    <n v="20"/>
    <m/>
    <m/>
    <n v="2.8"/>
    <n v="28"/>
    <n v="0"/>
    <n v="0"/>
    <s v="Jonathan DeFez"/>
    <n v="1.1200000000000001"/>
  </r>
  <r>
    <x v="5"/>
    <s v="Microsoft Office SA Renewal - Due 1-31-2024"/>
    <s v="Won"/>
    <d v="2024-01-07T00:00:00"/>
    <n v="0"/>
    <s v="021-07262"/>
    <s v="Microsoft Office Software Assurance Renewal - Year 1 of 3"/>
    <s v="IT/LAN Equipment"/>
    <n v="5"/>
    <n v="0"/>
    <n v="0"/>
    <m/>
    <n v="0"/>
    <m/>
    <m/>
    <n v="136"/>
    <n v="680"/>
    <n v="117.67"/>
    <n v="588.35"/>
    <s v="Jackie Moore"/>
    <n v="0"/>
  </r>
  <r>
    <x v="6"/>
    <s v="HPE 2530 24G PoE Switch Renewal - Due 2/03/2024"/>
    <s v="Won"/>
    <d v="2024-01-29T00:00:00"/>
    <n v="0"/>
    <s v="PN-Day1"/>
    <s v="HPE Next Business Day Exchange Warranty. Includes Software Support, Software Updates, and Hardware Replacement."/>
    <s v="IT/LAN Equipment"/>
    <n v="1"/>
    <n v="0"/>
    <n v="0"/>
    <m/>
    <n v="0"/>
    <m/>
    <m/>
    <n v="84"/>
    <n v="84"/>
    <n v="67.67"/>
    <n v="67.67"/>
    <s v="Jackie Moore"/>
    <n v="0"/>
  </r>
  <r>
    <x v="7"/>
    <s v="Cisco Renewal Contract 204565740 204568256"/>
    <s v="Won"/>
    <d v="2024-01-24T00:00:00"/>
    <n v="0"/>
    <s v="CON-SNT-AIRAPIKB"/>
    <s v="SNTC 8X5XNBD"/>
    <s v="IT/LAN Equipment"/>
    <n v="4"/>
    <n v="0"/>
    <n v="0"/>
    <m/>
    <n v="0"/>
    <m/>
    <m/>
    <n v="83"/>
    <n v="332"/>
    <n v="67.45"/>
    <n v="269.8"/>
    <s v="Jackie Moore"/>
    <n v="0"/>
  </r>
  <r>
    <x v="7"/>
    <s v="Cisco Renewal Contract 204565740 204568256"/>
    <s v="Won"/>
    <d v="2024-01-24T00:00:00"/>
    <n v="0"/>
    <s v="CON-SNT-AIRAPIKB"/>
    <s v="SNTC 8X5XNBD"/>
    <s v="IT/LAN Equipment"/>
    <n v="9"/>
    <n v="0"/>
    <n v="0"/>
    <m/>
    <n v="0"/>
    <m/>
    <m/>
    <n v="83"/>
    <n v="747"/>
    <n v="67.45"/>
    <n v="607.05000000000007"/>
    <s v="Jackie Moore"/>
    <n v="0"/>
  </r>
  <r>
    <x v="8"/>
    <s v="Proofpoint Renewal - Annual Billing Due 1/01/2024"/>
    <s v="Won"/>
    <d v="2024-01-05T00:00:00"/>
    <n v="0"/>
    <s v="SEC-EMF-PPB-1YA"/>
    <s v="Managed Email Filtering"/>
    <s v="Managed Security Services"/>
    <n v="67"/>
    <n v="0"/>
    <n v="0"/>
    <m/>
    <n v="0"/>
    <m/>
    <m/>
    <n v="39"/>
    <n v="2613"/>
    <n v="31.08"/>
    <n v="2082.3599999999997"/>
    <s v="Jackie Moore"/>
    <n v="0"/>
  </r>
  <r>
    <x v="9"/>
    <s v="SD-WAN Two Sites"/>
    <s v="Won"/>
    <d v="2024-01-11T00:00:00"/>
    <n v="570"/>
    <s v="SDW-VCE510="/>
    <s v="SDWAN Managed Edge 510 Appliance"/>
    <s v="SD-WAN"/>
    <n v="1"/>
    <n v="25"/>
    <n v="0.97"/>
    <m/>
    <n v="25"/>
    <m/>
    <m/>
    <n v="300"/>
    <n v="300"/>
    <n v="375.2"/>
    <n v="375.2"/>
    <s v="Ron Walker"/>
    <n v="12"/>
  </r>
  <r>
    <x v="9"/>
    <s v="SD-WAN Two Sites"/>
    <s v="Won"/>
    <d v="2024-01-11T00:00:00"/>
    <n v="570"/>
    <s v="SDW-VCE610="/>
    <s v="SDWAN Managed Edge 610 Appliance"/>
    <s v="SD-WAN"/>
    <n v="1"/>
    <n v="45"/>
    <n v="0.97"/>
    <m/>
    <n v="45"/>
    <m/>
    <m/>
    <n v="300"/>
    <n v="300"/>
    <n v="542.70000000000005"/>
    <n v="542.70000000000005"/>
    <s v="Ron Walker"/>
    <n v="12"/>
  </r>
  <r>
    <x v="10"/>
    <s v="Access Control"/>
    <s v="Won"/>
    <d v="2024-01-02T00:00:00"/>
    <n v="3289"/>
    <s v="SW-ACTUSER-P500"/>
    <s v="Active User Pack Of 500 Users 3YR"/>
    <s v="IT/LAN Equipment"/>
    <n v="1"/>
    <n v="0"/>
    <n v="0"/>
    <m/>
    <n v="0"/>
    <m/>
    <m/>
    <n v="1271"/>
    <n v="1271"/>
    <n v="1080"/>
    <n v="1080"/>
    <s v="Simon Beeny"/>
    <n v="0"/>
  </r>
  <r>
    <x v="10"/>
    <s v="Access Control"/>
    <s v="Won"/>
    <d v="2024-01-02T00:00:00"/>
    <n v="3289"/>
    <s v="SW-ALA-ADE-P1000"/>
    <s v="Active Directory Identity Provider Pack Of 1000 Users"/>
    <s v="IT/LAN Equipment"/>
    <n v="1"/>
    <n v="0"/>
    <n v="0"/>
    <m/>
    <n v="0"/>
    <m/>
    <m/>
    <n v="2288"/>
    <n v="2288"/>
    <n v="1944"/>
    <n v="1944"/>
    <s v="Simon Beeny"/>
    <n v="0"/>
  </r>
  <r>
    <x v="10"/>
    <s v="Access Control"/>
    <s v="Won"/>
    <d v="2024-01-02T00:00:00"/>
    <n v="3289"/>
    <s v="OP-KFL-10"/>
    <s v="Prox Key Fob, use with low frequency readers"/>
    <s v="Physical Security"/>
    <n v="50"/>
    <n v="0"/>
    <n v="0"/>
    <m/>
    <n v="0"/>
    <m/>
    <m/>
    <n v="36"/>
    <n v="1800"/>
    <n v="30"/>
    <n v="1500"/>
    <s v="Simon Beeny"/>
    <n v="0"/>
  </r>
  <r>
    <x v="10"/>
    <s v="Access Control"/>
    <s v="Won"/>
    <d v="2024-01-02T00:00:00"/>
    <n v="3289"/>
    <s v="MPC-3P-PS"/>
    <s v="Partner Professional Services"/>
    <s v="IT/LAN Installation"/>
    <n v="1"/>
    <n v="0"/>
    <n v="0"/>
    <m/>
    <n v="0"/>
    <m/>
    <m/>
    <n v="17000"/>
    <n v="17000"/>
    <n v="15000"/>
    <n v="15000"/>
    <s v="Simon Beeny"/>
    <n v="0"/>
  </r>
  <r>
    <x v="10"/>
    <s v="Access Control"/>
    <s v="Won"/>
    <d v="2024-01-02T00:00:00"/>
    <n v="3289"/>
    <s v="MPC-3P-PS"/>
    <s v="Partner Professional Services"/>
    <s v="IT/LAN Installation"/>
    <n v="1"/>
    <n v="0"/>
    <n v="0"/>
    <m/>
    <n v="0"/>
    <m/>
    <m/>
    <n v="80000"/>
    <n v="80000"/>
    <n v="73360"/>
    <n v="73360"/>
    <s v="Simon Beeny"/>
    <n v="0"/>
  </r>
  <r>
    <x v="10"/>
    <s v="Access Control"/>
    <s v="Won"/>
    <d v="2024-01-02T00:00:00"/>
    <n v="3289"/>
    <s v="MPC-PS-T3"/>
    <s v="Meriplex Tier 3 Engineer Labor"/>
    <s v="IT/LAN Installation"/>
    <n v="40"/>
    <n v="0"/>
    <n v="0"/>
    <m/>
    <n v="0"/>
    <m/>
    <m/>
    <n v="185"/>
    <n v="7400"/>
    <n v="0"/>
    <n v="0"/>
    <s v="Simon Beeny"/>
    <n v="0"/>
  </r>
  <r>
    <x v="10"/>
    <s v="Access Control"/>
    <s v="Won"/>
    <d v="2024-01-02T00:00:00"/>
    <n v="3289"/>
    <s v="MPC-PS-PM"/>
    <s v="Project Management"/>
    <s v="IT/LAN Installation"/>
    <n v="5"/>
    <n v="0"/>
    <n v="0"/>
    <m/>
    <n v="0"/>
    <m/>
    <m/>
    <n v="210"/>
    <n v="1050"/>
    <n v="0"/>
    <n v="0"/>
    <s v="Simon Beeny"/>
    <n v="0"/>
  </r>
  <r>
    <x v="11"/>
    <s v="O365 to M365+ conversion"/>
    <s v="Won"/>
    <d v="2024-01-03T00:00:00"/>
    <n v="256.91000000000003"/>
    <s v="MSP-BU-DO365-1Y"/>
    <s v="Meriplex 365 Cloud Backup"/>
    <s v="Managed Services"/>
    <n v="12"/>
    <n v="5.5"/>
    <n v="1.05"/>
    <m/>
    <n v="66"/>
    <m/>
    <m/>
    <n v="0.25"/>
    <n v="3"/>
    <n v="0"/>
    <n v="0"/>
    <s v="Jonathan DeFez"/>
    <n v="0.12"/>
  </r>
  <r>
    <x v="11"/>
    <s v="O365 to M365+ conversion"/>
    <s v="Won"/>
    <d v="2024-01-03T00:00:00"/>
    <n v="256.91000000000003"/>
    <s v="MSP-O365-MGMT"/>
    <s v="Meriplex 365 Management and Support"/>
    <s v="Managed Services"/>
    <n v="12"/>
    <n v="7"/>
    <n v="0"/>
    <m/>
    <n v="84"/>
    <m/>
    <m/>
    <n v="0.25"/>
    <n v="3"/>
    <n v="0"/>
    <n v="0"/>
    <s v="Jonathan DeFez"/>
    <n v="0.12"/>
  </r>
  <r>
    <x v="11"/>
    <s v="O365 to M365+ conversion"/>
    <s v="Won"/>
    <d v="2024-01-03T00:00:00"/>
    <n v="256.91000000000003"/>
    <s v="SEC-SMRR="/>
    <s v="Meriplex 365 Cloud Security"/>
    <s v="Managed Security Services"/>
    <n v="12"/>
    <n v="5"/>
    <n v="0.8"/>
    <m/>
    <n v="60"/>
    <m/>
    <m/>
    <n v="6"/>
    <n v="72"/>
    <n v="0"/>
    <n v="0"/>
    <s v="Jonathan DeFez"/>
    <n v="2.88"/>
  </r>
  <r>
    <x v="12"/>
    <s v="Circuits SDWan"/>
    <s v="Won"/>
    <d v="2024-01-30T00:00:00"/>
    <n v="1298"/>
    <s v="SDW-VCE610="/>
    <s v="SDWAN Managed Edge 610 Appliance"/>
    <s v="SD-WAN"/>
    <n v="1"/>
    <n v="45"/>
    <n v="0.97"/>
    <m/>
    <n v="45"/>
    <m/>
    <m/>
    <n v="300"/>
    <n v="300"/>
    <n v="542.70000000000005"/>
    <n v="542.70000000000005"/>
    <s v="Simon Beeny"/>
    <n v="0"/>
  </r>
  <r>
    <x v="13"/>
    <s v="9179867 - Adobe License Annual Renewal"/>
    <s v="Won"/>
    <d v="2024-01-30T00:00:00"/>
    <n v="0"/>
    <s v="65304042BA01B12"/>
    <s v="Adobe Creative Cloud for teams - All Apps - Subscription Renewal"/>
    <s v="NRR - Agent Income"/>
    <n v="1"/>
    <n v="0"/>
    <n v="0"/>
    <m/>
    <n v="0"/>
    <m/>
    <m/>
    <n v="1214"/>
    <n v="1214"/>
    <n v="995.31"/>
    <n v="995.31"/>
    <s v="Jonathan DeFez"/>
    <n v="17.495200000000004"/>
  </r>
  <r>
    <x v="14"/>
    <s v="New Server Host Replacement"/>
    <s v="Won"/>
    <d v="2024-01-15T00:00:00"/>
    <n v="0"/>
    <s v="Labor Costs"/>
    <s v="Labor Costs"/>
    <s v="IT/LAN Equipment"/>
    <n v="1"/>
    <n v="0"/>
    <n v="0"/>
    <m/>
    <n v="0"/>
    <m/>
    <m/>
    <n v="4500"/>
    <n v="4500"/>
    <n v="0"/>
    <n v="0"/>
    <s v="Lathrop Lougheed"/>
    <n v="360"/>
  </r>
  <r>
    <x v="14"/>
    <s v="New Server Host Replacement"/>
    <s v="Won"/>
    <d v="2024-01-15T00:00:00"/>
    <n v="0"/>
    <s v="Dell-CTO"/>
    <s v="Dell PowerEdge R450 Server"/>
    <s v="IT/LAN Equipment"/>
    <n v="1"/>
    <n v="0"/>
    <n v="0"/>
    <m/>
    <n v="0"/>
    <m/>
    <m/>
    <n v="8373.9599999999991"/>
    <n v="8373.9599999999991"/>
    <n v="6978.3"/>
    <n v="6978.3"/>
    <s v="Lathrop Lougheed"/>
    <n v="111.65279999999991"/>
  </r>
  <r>
    <x v="14"/>
    <s v="New Server Host Replacement"/>
    <s v="Won"/>
    <d v="2024-01-15T00:00:00"/>
    <n v="0"/>
    <s v="DG7GMGF0D5VX:0007"/>
    <s v="Windows Server 2022 - 1 User CAL (NCE COM BAS PER 1TM)"/>
    <s v="IT/LAN Equipment"/>
    <n v="10"/>
    <n v="0"/>
    <n v="0"/>
    <m/>
    <n v="0"/>
    <m/>
    <m/>
    <n v="47.47"/>
    <n v="474.7"/>
    <n v="39.56"/>
    <n v="395.6"/>
    <s v="Lathrop Lougheed"/>
    <n v="6.3279999999999976"/>
  </r>
  <r>
    <x v="15"/>
    <s v="9421011 - FWaaS With FortiClient VPN, DUO and a Hosted Domain Controller"/>
    <s v="Won"/>
    <d v="2024-01-03T00:00:00"/>
    <n v="496.65"/>
    <s v="SEC-MFA-ENT="/>
    <s v="Enterprise Multifactor Authentication"/>
    <s v="Managed Security Services"/>
    <n v="17"/>
    <n v="7"/>
    <n v="2.4"/>
    <m/>
    <n v="119"/>
    <m/>
    <m/>
    <n v="6"/>
    <n v="102"/>
    <n v="0"/>
    <n v="0"/>
    <s v="Jonathan DeFez"/>
    <n v="4.08"/>
  </r>
  <r>
    <x v="15"/>
    <s v="9421011 - FWaaS With FortiClient VPN, DUO and a Hosted Domain Controller"/>
    <s v="Won"/>
    <d v="2024-01-03T00:00:00"/>
    <n v="496.65"/>
    <s v="MPC-PS-T3"/>
    <s v="Deploy Hosted Firewall and Domain Controller with DUO MFA"/>
    <s v="IT/LAN Installation"/>
    <n v="40"/>
    <n v="0"/>
    <n v="0"/>
    <m/>
    <n v="0"/>
    <m/>
    <m/>
    <n v="240"/>
    <n v="9600"/>
    <n v="0"/>
    <n v="0"/>
    <s v="Jonathan DeFez"/>
    <n v="384"/>
  </r>
  <r>
    <x v="15"/>
    <s v="9421011 - FWaaS With FortiClient VPN, DUO and a Hosted Domain Controller"/>
    <s v="Won"/>
    <d v="2024-01-03T00:00:00"/>
    <n v="496.65"/>
    <s v="MPC-PS-PM"/>
    <s v="Project Management"/>
    <s v="IT/LAN Installation"/>
    <n v="8"/>
    <n v="0"/>
    <n v="0"/>
    <m/>
    <n v="0"/>
    <m/>
    <m/>
    <n v="275"/>
    <n v="2200"/>
    <n v="0"/>
    <n v="0"/>
    <s v="Jonathan DeFez"/>
    <n v="88"/>
  </r>
  <r>
    <x v="16"/>
    <s v="Server Refresh and OS Upgrades"/>
    <s v="Won"/>
    <d v="2024-01-24T00:00:00"/>
    <n v="0"/>
    <s v="DG7GMGF0D5RK:0005"/>
    <s v="Windows Server 2022 Standard - 16 Cores"/>
    <s v="IT/LAN Equipment"/>
    <n v="3"/>
    <n v="0"/>
    <n v="0"/>
    <m/>
    <n v="0"/>
    <m/>
    <m/>
    <n v="1069"/>
    <n v="3207"/>
    <n v="919.34"/>
    <n v="2758.02"/>
    <s v="Jonathan DeFez"/>
    <n v="35.918400000000005"/>
  </r>
  <r>
    <x v="16"/>
    <s v="Server Refresh and OS Upgrades"/>
    <s v="Won"/>
    <d v="2024-01-24T00:00:00"/>
    <n v="0"/>
    <s v="210-BBOP"/>
    <s v="R250 Domain Controller"/>
    <s v="IT/LAN Equipment"/>
    <n v="1"/>
    <n v="0"/>
    <n v="0"/>
    <m/>
    <n v="0"/>
    <m/>
    <m/>
    <n v="1842"/>
    <n v="1842"/>
    <n v="1509.84"/>
    <n v="1509.84"/>
    <s v="Jonathan DeFez"/>
    <n v="26.572800000000008"/>
  </r>
  <r>
    <x v="16"/>
    <s v="Server Refresh and OS Upgrades"/>
    <s v="Won"/>
    <d v="2024-01-24T00:00:00"/>
    <n v="0"/>
    <s v="210-AZDS"/>
    <s v="Dell R450 Geographix Server with 480GB Boot/OS RAID 1 Mirror"/>
    <s v="IT/LAN Equipment"/>
    <n v="1"/>
    <n v="0"/>
    <n v="0"/>
    <m/>
    <n v="0"/>
    <m/>
    <m/>
    <n v="8834.9599999999991"/>
    <n v="8834.9599999999991"/>
    <n v="8119.16"/>
    <n v="8119.16"/>
    <s v="Jonathan DeFez"/>
    <n v="57.263999999999946"/>
  </r>
  <r>
    <x v="16"/>
    <s v="Server Refresh and OS Upgrades"/>
    <s v="Won"/>
    <d v="2024-01-24T00:00:00"/>
    <n v="0"/>
    <s v="MPC-PS-T3"/>
    <s v="Meriplex Tier 3 Engineer Labor"/>
    <s v="IT/LAN Installation"/>
    <n v="40"/>
    <n v="0"/>
    <n v="0"/>
    <m/>
    <n v="0"/>
    <m/>
    <m/>
    <n v="225"/>
    <n v="9000"/>
    <n v="0"/>
    <n v="0"/>
    <s v="Jonathan DeFez"/>
    <n v="360"/>
  </r>
  <r>
    <x v="16"/>
    <s v="Server Refresh and OS Upgrades"/>
    <s v="Won"/>
    <d v="2024-01-24T00:00:00"/>
    <n v="0"/>
    <s v="MPC-PS-PM"/>
    <s v="Project Management"/>
    <s v="IT/LAN Installation"/>
    <n v="8"/>
    <n v="0"/>
    <n v="0"/>
    <m/>
    <n v="0"/>
    <m/>
    <m/>
    <n v="240"/>
    <n v="1920"/>
    <n v="0"/>
    <n v="0"/>
    <s v="Jonathan DeFez"/>
    <n v="76.8"/>
  </r>
  <r>
    <x v="16"/>
    <s v="Server Refresh and OS Upgrades"/>
    <s v="Won"/>
    <d v="2024-01-24T00:00:00"/>
    <n v="0"/>
    <s v="MCL-TR-LABOR"/>
    <s v="Travel Time and Labor"/>
    <s v="IT/LAN Installation"/>
    <n v="2"/>
    <n v="0"/>
    <n v="0"/>
    <m/>
    <n v="0"/>
    <m/>
    <m/>
    <n v="112.5"/>
    <n v="225"/>
    <n v="0"/>
    <n v="0"/>
    <s v="Jonathan DeFez"/>
    <n v="9"/>
  </r>
  <r>
    <x v="17"/>
    <s v="Veeam Renewal 2023 EXP 11/30/23"/>
    <s v="Won"/>
    <d v="2024-01-05T00:00:00"/>
    <n v="0"/>
    <s v="V-FDNVUL-0I-SU1AR-00"/>
    <s v="VEEAM DATA PLATFORM FOUNDATION UNIVERSAL SUBSCRIPT S/N: 02918998"/>
    <s v="IT/LAN Equipment"/>
    <n v="1"/>
    <n v="0"/>
    <n v="0"/>
    <m/>
    <n v="0"/>
    <m/>
    <m/>
    <n v="1410"/>
    <n v="1410"/>
    <n v="1240.8"/>
    <n v="1240.8"/>
    <s v="Brandon Ring"/>
    <n v="13.536000000000003"/>
  </r>
  <r>
    <x v="18"/>
    <s v="Renewal Palo Alto - Feb 2024 expiration"/>
    <s v="Won"/>
    <d v="2024-01-09T00:00:00"/>
    <n v="0"/>
    <s v="PAN-PA-220-ATP-R"/>
    <s v="Palo Alto Advanced Threat Prevention - Subscription License (Renewal) - 1 Device - 1 Year"/>
    <s v="IT/LAN Equipment"/>
    <n v="1"/>
    <n v="0"/>
    <n v="0"/>
    <m/>
    <n v="0"/>
    <m/>
    <m/>
    <n v="360"/>
    <n v="360"/>
    <n v="273.60000000000002"/>
    <n v="273.60000000000002"/>
    <s v="Brandon Ring"/>
    <n v="6.9119999999999981"/>
  </r>
  <r>
    <x v="18"/>
    <s v="Renewal Palo Alto - Feb 2024 expiration"/>
    <s v="Won"/>
    <d v="2024-01-09T00:00:00"/>
    <n v="0"/>
    <s v="PAN-SVC-PREM-220-R"/>
    <s v="Palo Alto Premium Support Program - Extended Service (Renewal) - 1 Year - Service - 24 x 7 x Next Business Day - Service Depot - Exchange - Parts - Electronic and Physical"/>
    <s v="IT/LAN Equipment"/>
    <n v="1"/>
    <n v="0"/>
    <n v="0"/>
    <m/>
    <n v="0"/>
    <m/>
    <m/>
    <n v="220"/>
    <n v="220"/>
    <n v="193.6"/>
    <n v="193.6"/>
    <s v="Brandon Ring"/>
    <n v="2.1120000000000005"/>
  </r>
  <r>
    <x v="18"/>
    <s v="Renewal Palo Alto - Feb 2024 expiration"/>
    <s v="Won"/>
    <d v="2024-01-09T00:00:00"/>
    <n v="0"/>
    <s v="PAN-PA-220-AWF-R"/>
    <s v="Palo Alto Advanced WildFire - Subscription License (Renewal) - 1 License - 1 Year"/>
    <s v="IT/LAN Equipment"/>
    <n v="1"/>
    <n v="0"/>
    <n v="0"/>
    <m/>
    <n v="0"/>
    <m/>
    <m/>
    <n v="360"/>
    <n v="360"/>
    <n v="273.60000000000002"/>
    <n v="273.60000000000002"/>
    <s v="Brandon Ring"/>
    <n v="6.9119999999999981"/>
  </r>
  <r>
    <x v="18"/>
    <s v="Renewal Palo Alto - Feb 2024 expiration"/>
    <s v="Won"/>
    <d v="2024-01-09T00:00:00"/>
    <n v="0"/>
    <s v="PAN-PA-220-ADVURL-R"/>
    <s v="Palo Alto Advanced Threat Prevention - Subscription License Renewal - 1 Device - 1 Year"/>
    <s v="IT/LAN Equipment"/>
    <n v="1"/>
    <n v="0"/>
    <n v="0"/>
    <m/>
    <n v="0"/>
    <m/>
    <m/>
    <n v="360"/>
    <n v="360"/>
    <n v="273.60000000000002"/>
    <n v="273.60000000000002"/>
    <s v="Brandon Ring"/>
    <n v="6.9119999999999981"/>
  </r>
  <r>
    <x v="19"/>
    <s v="10162811 - Adobe Annual Nonprofit Subscription License Renewal"/>
    <s v="Won"/>
    <d v="2024-01-03T00:00:00"/>
    <n v="0"/>
    <s v="65297993BB02A12"/>
    <s v="Adobe Acrobat Pro DC for teams all MLP Named Renewal 12 Months Team Subscription Renewal Level 2 Multi-Lingual"/>
    <s v="IT/LAN Equipment"/>
    <n v="18"/>
    <n v="0"/>
    <n v="0"/>
    <m/>
    <n v="0"/>
    <m/>
    <m/>
    <n v="177.36"/>
    <n v="3192.48"/>
    <n v="138.53"/>
    <n v="2493.54"/>
    <s v="Jonathan DeFez"/>
    <n v="55.915200000000006"/>
  </r>
  <r>
    <x v="19"/>
    <s v="10162811 - Adobe Annual Nonprofit Subscription License Renewal"/>
    <s v="Won"/>
    <d v="2024-01-03T00:00:00"/>
    <n v="0"/>
    <s v="65272480BB02A12"/>
    <s v="Adobe Creative Cloud CC MLP Named Renewal 12 Month"/>
    <s v="IT/LAN Equipment"/>
    <n v="8"/>
    <n v="0"/>
    <n v="0"/>
    <m/>
    <n v="0"/>
    <m/>
    <m/>
    <n v="369.48"/>
    <n v="2955.84"/>
    <n v="342.45"/>
    <n v="2739.6"/>
    <s v="Jonathan DeFez"/>
    <n v="17.29920000000002"/>
  </r>
  <r>
    <x v="20"/>
    <s v="10175286 - Standard SSL Certificate For sslvpn.denverathleticclub.org"/>
    <s v="Won"/>
    <d v="2024-01-16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Jonathan DeFez"/>
    <n v="1.2008000000000005"/>
  </r>
  <r>
    <x v="20"/>
    <s v="10175286 - Standard SSL Certificate For sslvpn.denverathleticclub.org"/>
    <s v="Won"/>
    <d v="2024-01-16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149"/>
    <n v="149"/>
    <n v="0"/>
    <n v="0"/>
    <s v="Jonathan DeFez"/>
    <n v="5.96"/>
  </r>
  <r>
    <x v="21"/>
    <s v="Meraki Renewal"/>
    <s v="Won"/>
    <d v="2024-01-10T00:00:00"/>
    <n v="0"/>
    <s v="LIC-MS120-48-1YR"/>
    <s v="Meraki Enterprise + 1 Year Enterprise Support - Subscription License - 1 Switch - 1 Year - Cloud Managed MS120-48 - Switch - Subscription License 1 Switch - 1 Year License Validation Period"/>
    <s v="IT/LAN Equipment"/>
    <n v="2"/>
    <n v="0"/>
    <n v="0"/>
    <m/>
    <n v="0"/>
    <m/>
    <m/>
    <n v="105.17"/>
    <n v="210.34"/>
    <n v="91.5"/>
    <n v="183"/>
    <s v="Kade Thurman"/>
    <n v="0"/>
  </r>
  <r>
    <x v="21"/>
    <s v="Meraki Renewal"/>
    <s v="Won"/>
    <d v="2024-01-10T00:00:00"/>
    <n v="0"/>
    <s v="LIC-MS120-24P-1YR"/>
    <s v="Meraki Enterprise + 1 Year Enterprise Support - Subscription License - 1 Switch - 1 Year - MS120-24P Cloud Managed Switch - License and Support - 1 Year License Validation Period"/>
    <s v="IT/LAN Equipment"/>
    <n v="1"/>
    <n v="0"/>
    <n v="0"/>
    <m/>
    <n v="0"/>
    <m/>
    <m/>
    <n v="92.7"/>
    <n v="92.7"/>
    <n v="80.650000000000006"/>
    <n v="80.650000000000006"/>
    <s v="Kade Thurman"/>
    <n v="0"/>
  </r>
  <r>
    <x v="21"/>
    <s v="Meraki Renewal"/>
    <s v="Won"/>
    <d v="2024-01-10T00:00:00"/>
    <n v="0"/>
    <s v="LIC-ENT-1YR"/>
    <s v="Meraki MR Enterprise Cloud Controller License, 1 Year - Meraki MR Series Access Point - Subscription License 1 Access Point - 1 Year License Validation Period"/>
    <s v="IT/LAN Equipment"/>
    <n v="5"/>
    <n v="0"/>
    <n v="0"/>
    <m/>
    <n v="0"/>
    <m/>
    <m/>
    <n v="117.66"/>
    <n v="588.29999999999995"/>
    <n v="102.36"/>
    <n v="511.8"/>
    <s v="Kade Thurman"/>
    <n v="0"/>
  </r>
  <r>
    <x v="22"/>
    <s v="Security Assessment"/>
    <s v="Won"/>
    <d v="2024-01-05T00:00:00"/>
    <n v="0"/>
    <s v="MPC-3P-PS"/>
    <s v="One-Time Web Application Vulnerability Assessment"/>
    <s v="IT/LAN Installation"/>
    <n v="1"/>
    <n v="0"/>
    <n v="0"/>
    <m/>
    <n v="0"/>
    <m/>
    <m/>
    <n v="6300"/>
    <n v="6300"/>
    <n v="2420"/>
    <n v="2420"/>
    <s v="Steve Croll"/>
    <n v="252"/>
  </r>
  <r>
    <x v="22"/>
    <s v="Security Assessment"/>
    <s v="Won"/>
    <d v="2024-01-05T00:00:00"/>
    <n v="0"/>
    <s v="MPC-PS-T3"/>
    <s v="One-Time SaaS M365 Security Assessment"/>
    <s v="IT/LAN Installation"/>
    <n v="1"/>
    <n v="0"/>
    <n v="0"/>
    <m/>
    <n v="0"/>
    <m/>
    <m/>
    <n v="4950"/>
    <n v="4950"/>
    <n v="0"/>
    <n v="0"/>
    <s v="Steve Croll"/>
    <n v="198"/>
  </r>
  <r>
    <x v="22"/>
    <s v="Security Assessment"/>
    <s v="Won"/>
    <d v="2024-01-05T00:00:00"/>
    <n v="0"/>
    <s v="MPC-PS-T3"/>
    <s v="One-Time Internal Security Assessment"/>
    <s v="IT/LAN Installation"/>
    <n v="1"/>
    <n v="0"/>
    <n v="0"/>
    <m/>
    <n v="0"/>
    <m/>
    <m/>
    <n v="2250"/>
    <n v="2250"/>
    <n v="0"/>
    <n v="0"/>
    <s v="Steve Croll"/>
    <n v="90"/>
  </r>
  <r>
    <x v="22"/>
    <s v="Security Assessment"/>
    <s v="Won"/>
    <d v="2024-01-05T00:00:00"/>
    <n v="0"/>
    <s v="MPC-PS-T3"/>
    <s v="One-Time External Security Assessment"/>
    <s v="IT/LAN Installation"/>
    <n v="1"/>
    <n v="0"/>
    <n v="0"/>
    <m/>
    <n v="0"/>
    <m/>
    <m/>
    <n v="1575"/>
    <n v="1575"/>
    <n v="0"/>
    <n v="0"/>
    <s v="Steve Croll"/>
    <n v="63"/>
  </r>
  <r>
    <x v="22"/>
    <s v="Security Assessment"/>
    <s v="Won"/>
    <d v="2024-01-05T00:00:00"/>
    <n v="0"/>
    <s v="MPC-PS-T3"/>
    <s v="One-Time CIS Controls Assessment"/>
    <s v="IT/LAN Installation"/>
    <n v="1"/>
    <n v="0"/>
    <n v="0"/>
    <m/>
    <n v="0"/>
    <m/>
    <m/>
    <n v="7125"/>
    <n v="7125"/>
    <n v="0"/>
    <n v="0"/>
    <s v="Steve Croll"/>
    <n v="285"/>
  </r>
  <r>
    <x v="22"/>
    <s v="Security Assessment"/>
    <s v="Won"/>
    <d v="2024-01-05T00:00:00"/>
    <n v="0"/>
    <s v="MPC-3P-PS"/>
    <s v="One-Time Wireless Penetration Testing - 1 Location"/>
    <s v="IT/LAN Installation"/>
    <n v="1"/>
    <n v="0"/>
    <n v="0"/>
    <m/>
    <n v="0"/>
    <m/>
    <m/>
    <n v="6000"/>
    <n v="6000"/>
    <n v="2190"/>
    <n v="2190"/>
    <s v="Steve Croll"/>
    <n v="240"/>
  </r>
  <r>
    <x v="23"/>
    <s v="10203187 - Adobe License Annual Renewal"/>
    <s v="Won"/>
    <d v="2024-01-10T00:00:00"/>
    <n v="0"/>
    <s v="65324104BA01A12"/>
    <s v="Adobe Acrobat Pro for Teams - Subscription Renewal - 1 User - Price Level 1 (1-9) - Volume - Adobe Value Incentive Plan (VIP) - PC, Mac"/>
    <s v="IT/LAN Equipment"/>
    <n v="3"/>
    <n v="0"/>
    <n v="0"/>
    <m/>
    <n v="0"/>
    <m/>
    <m/>
    <n v="325"/>
    <n v="975"/>
    <n v="265.99"/>
    <n v="797.97"/>
    <s v="Jonathan DeFez"/>
    <n v="14.162399999999998"/>
  </r>
  <r>
    <x v="24"/>
    <s v="10203212 - Fortinet Renewal 1-Year 24x7 UTM Renewal For FGT60FTK20049808"/>
    <s v="Won"/>
    <d v="2024-01-11T00:00:00"/>
    <n v="0"/>
    <s v="FC-10-0060F-950-02-12"/>
    <s v="FortiGate-60F 1 Year Unified Threat Protection (UTP) (IPS, Advanced Malware Protection, Application Control, URL, DNS &amp; Video Filtering, Antispam Service, and FortiCare Premium)"/>
    <s v="IT/LAN Equipment"/>
    <n v="1"/>
    <n v="0"/>
    <n v="0"/>
    <m/>
    <n v="0"/>
    <m/>
    <m/>
    <n v="607"/>
    <n v="607"/>
    <n v="497.28"/>
    <n v="497.28"/>
    <s v="Jonathan DeFez"/>
    <n v="8.7776000000000032"/>
  </r>
  <r>
    <x v="25"/>
    <s v="10203245 - Fortinet Renewal 1-Year 24x7 UTM Renewal For FGT60ETK19061907"/>
    <s v="Won"/>
    <d v="2024-01-17T00:00:00"/>
    <n v="0"/>
    <s v="FC-10-0060E-950-02-12"/>
    <s v="FortiGate-60E 1 Year Unified Threat Protection (UTP) (IPS, Advanced Malware Protection, Application Control, URL, DNS &amp; Video Filtering, Antispam Service, and FortiCare Premium)"/>
    <s v="IT/LAN Equipment"/>
    <n v="1"/>
    <n v="0"/>
    <n v="0"/>
    <m/>
    <n v="0"/>
    <m/>
    <m/>
    <n v="533"/>
    <n v="533"/>
    <n v="436.8"/>
    <n v="436.8"/>
    <s v="Jonathan DeFez"/>
    <n v="7.6959999999999988"/>
  </r>
  <r>
    <x v="26"/>
    <s v="10203489 - Fortinet Renewal 1-Year 24x7 UTM Renewal For FGT60ETK18063787"/>
    <s v="Won"/>
    <d v="2024-01-26T00:00:00"/>
    <n v="0"/>
    <s v="FC-10-0060E-950-02-12"/>
    <s v="FortiGate-60E 1 Year Unified Threat Protection (UTP) (IPS, Advanced Malware Protection, Application Control, URL, DNS &amp; Video Filtering, Antispam Service, and FortiCare Premium)"/>
    <s v="IT/LAN Equipment"/>
    <n v="1"/>
    <n v="0"/>
    <n v="0"/>
    <m/>
    <n v="0"/>
    <m/>
    <m/>
    <n v="533"/>
    <n v="533"/>
    <n v="436.8"/>
    <n v="436.8"/>
    <s v="Jonathan DeFez"/>
    <n v="7.6959999999999988"/>
  </r>
  <r>
    <x v="27"/>
    <s v="Hourly Block / 25 hours"/>
    <s v="Won"/>
    <d v="2024-01-29T00:00:00"/>
    <n v="0"/>
    <s v="MPC-BLK-11-25"/>
    <s v="Hourly Support Block (11 - 25 Units)"/>
    <s v="IT/LAN Installation"/>
    <n v="25"/>
    <n v="0"/>
    <n v="0"/>
    <m/>
    <n v="0"/>
    <m/>
    <m/>
    <n v="215"/>
    <n v="5375"/>
    <n v="0"/>
    <n v="0"/>
    <s v="Erminio Lalli"/>
    <n v="215"/>
  </r>
  <r>
    <x v="28"/>
    <s v="10212111 - Standard SSL Certificate For view2.pelicanpipeline.com"/>
    <s v="Won"/>
    <d v="2024-01-15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Jonathan DeFez"/>
    <n v="1.2008000000000005"/>
  </r>
  <r>
    <x v="28"/>
    <s v="10212111 - Standard SSL Certificate For view2.pelicanpipeline.com"/>
    <s v="Won"/>
    <d v="2024-01-15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149"/>
    <n v="149"/>
    <n v="0"/>
    <n v="0"/>
    <s v="Jonathan DeFez"/>
    <n v="5.96"/>
  </r>
  <r>
    <x v="29"/>
    <s v="Reconfigure Firewall for New Office Location and ISP"/>
    <s v="Won"/>
    <d v="2024-01-15T00:00:00"/>
    <n v="0"/>
    <s v="MPC-PS-T3"/>
    <s v="Meriplex Tier 3 Engineer Labor"/>
    <s v="IT/LAN Installation"/>
    <n v="3"/>
    <n v="0"/>
    <n v="0"/>
    <m/>
    <n v="0"/>
    <m/>
    <m/>
    <n v="225"/>
    <n v="675"/>
    <n v="0"/>
    <n v="0"/>
    <s v="Jonathan DeFez"/>
    <n v="27"/>
  </r>
  <r>
    <x v="29"/>
    <s v="Reconfigure Firewall for New Office Location and ISP"/>
    <s v="Won"/>
    <d v="2024-01-15T00:00:00"/>
    <n v="0"/>
    <s v="MCL-TR-LABOR"/>
    <s v="Travel Time and Labor"/>
    <s v="IT/LAN Installation"/>
    <n v="1"/>
    <n v="0"/>
    <n v="0"/>
    <m/>
    <n v="0"/>
    <m/>
    <m/>
    <n v="112.5"/>
    <n v="112.5"/>
    <n v="0"/>
    <n v="0"/>
    <s v="Jonathan DeFez"/>
    <n v="4.5"/>
  </r>
  <r>
    <x v="30"/>
    <s v="Additional S1 Licensing"/>
    <s v="Won"/>
    <d v="2024-01-31T00:00:00"/>
    <n v="103.5"/>
    <s v="SEC-ES-MSEDRP="/>
    <s v="Meriplex MSSP Platinum Endpoint Protection"/>
    <s v="Managed Security Services"/>
    <n v="9"/>
    <n v="11.5"/>
    <n v="5.5"/>
    <m/>
    <n v="103.5"/>
    <m/>
    <m/>
    <n v="16.75"/>
    <n v="150.75"/>
    <n v="0"/>
    <n v="0"/>
    <s v="Mitch Verma"/>
    <n v="6.03"/>
  </r>
  <r>
    <x v="31"/>
    <s v="Datacenter 1/2 Cabinet"/>
    <s v="Won"/>
    <d v="2024-01-02T00:00:00"/>
    <n v="1075"/>
    <s v="C-IAH1-CABH="/>
    <s v="Cabinet - Half Data Center Cabinet"/>
    <s v="Colocation"/>
    <n v="1"/>
    <n v="420"/>
    <n v="0"/>
    <m/>
    <n v="420"/>
    <m/>
    <m/>
    <n v="1500"/>
    <n v="1500"/>
    <n v="300"/>
    <n v="300"/>
    <s v="Erminio Lalli"/>
    <n v="60"/>
  </r>
  <r>
    <x v="31"/>
    <s v="Datacenter 1/2 Cabinet"/>
    <s v="Won"/>
    <d v="2024-01-02T00:00:00"/>
    <n v="1075"/>
    <s v="C-IAH1-P20110="/>
    <s v="Primary Power - 20 Amps 110V AC power"/>
    <s v="Colocation"/>
    <n v="1"/>
    <n v="265"/>
    <n v="246.56"/>
    <m/>
    <n v="265"/>
    <m/>
    <m/>
    <n v="250"/>
    <n v="250"/>
    <n v="1350"/>
    <n v="1350"/>
    <s v="Erminio Lalli"/>
    <n v="10"/>
  </r>
  <r>
    <x v="31"/>
    <s v="Datacenter 1/2 Cabinet"/>
    <s v="Won"/>
    <d v="2024-01-02T00:00:00"/>
    <n v="1075"/>
    <s v="C-IAH1-R20110="/>
    <s v="Redundant Power - 20 Amps 110V AC power"/>
    <s v="Colocation"/>
    <n v="1"/>
    <n v="265"/>
    <n v="245.56"/>
    <m/>
    <n v="265"/>
    <m/>
    <m/>
    <n v="250"/>
    <n v="250"/>
    <n v="1350"/>
    <n v="1350"/>
    <s v="Erminio Lalli"/>
    <n v="10"/>
  </r>
  <r>
    <x v="32"/>
    <s v="Quote #MPS121149 Per Service Ticket # 10257049 - Switch for Fremont"/>
    <s v="Won"/>
    <d v="2024-01-23T00:00:00"/>
    <n v="0"/>
    <s v="MPC-PS-T2"/>
    <s v="Meriplex Tier 2 Engineer Labor - Configuration"/>
    <s v="IT/LAN Installation"/>
    <n v="1"/>
    <n v="0"/>
    <n v="0"/>
    <m/>
    <n v="0"/>
    <m/>
    <m/>
    <n v="195"/>
    <n v="195"/>
    <n v="0"/>
    <n v="0"/>
    <s v="Lathrop Lougheed"/>
    <n v="7.8"/>
  </r>
  <r>
    <x v="32"/>
    <s v="Quote #MPS121149 Per Service Ticket # 10257049 - Switch for Fremont"/>
    <s v="Won"/>
    <d v="2024-01-23T00:00:00"/>
    <n v="0"/>
    <s v="C1000-16P-2G-L"/>
    <s v="Cisco Catalyst C1000-16P Ethernet Switch - 16 Ports - Manageable - 2 Layer Supported - Modular - 2 SFP Slots - 136.92 W Power Consumption - Twisted Pair, Optical Fiber - Rack-mountable"/>
    <s v="IT/LAN Equipment"/>
    <n v="1"/>
    <n v="0"/>
    <n v="0"/>
    <m/>
    <n v="0"/>
    <m/>
    <m/>
    <n v="794.18"/>
    <n v="794.18"/>
    <n v="675.05"/>
    <n v="675.05"/>
    <s v="Lathrop Lougheed"/>
    <n v="9.5304000000000002"/>
  </r>
  <r>
    <x v="33"/>
    <s v="10264262 - Adobe Annual License Renewal"/>
    <s v="Won"/>
    <d v="2024-01-10T00:00:00"/>
    <n v="0"/>
    <s v="65304042BA02C12"/>
    <s v="Adobe 12MO SUB RL CREATIVE CLD TEAMS ALL APS ALL MPLAT L2 10-49"/>
    <s v="IT/LAN Equipment"/>
    <n v="1"/>
    <n v="0"/>
    <n v="0"/>
    <m/>
    <n v="0"/>
    <m/>
    <m/>
    <n v="1241"/>
    <n v="1241"/>
    <n v="1016.99"/>
    <n v="1016.99"/>
    <s v="Jonathan DeFez"/>
    <n v="17.9208"/>
  </r>
  <r>
    <x v="33"/>
    <s v="10264262 - Adobe Annual License Renewal"/>
    <s v="Won"/>
    <d v="2024-01-10T00:00:00"/>
    <n v="0"/>
    <s v="65324104BA02A12"/>
    <s v="Adobe Acrobat Pro for teams - Subscription Renewal"/>
    <s v="NRR - Agent Income"/>
    <n v="7"/>
    <n v="0"/>
    <n v="0"/>
    <m/>
    <n v="0"/>
    <m/>
    <m/>
    <n v="309"/>
    <n v="2163"/>
    <n v="252.66"/>
    <n v="1768.62"/>
    <s v="Jonathan DeFez"/>
    <n v="31.55040000000001"/>
  </r>
  <r>
    <x v="33"/>
    <s v="10264262 - Adobe Annual License Renewal"/>
    <s v="Won"/>
    <d v="2024-01-10T00:00:00"/>
    <n v="0"/>
    <s v="65304050BA02C12"/>
    <s v="Adobe 12MO SUB RNWL ILLUSTRATOR TEAMS ALL MPLAT L2 10-49"/>
    <s v="IT/LAN Equipment"/>
    <n v="1"/>
    <n v="0"/>
    <n v="0"/>
    <m/>
    <n v="0"/>
    <m/>
    <m/>
    <n v="524"/>
    <n v="524"/>
    <n v="429.32"/>
    <n v="429.32"/>
    <s v="Jonathan DeFez"/>
    <n v="7.5744000000000007"/>
  </r>
  <r>
    <x v="33"/>
    <s v="10264262 - Adobe Annual License Renewal"/>
    <s v="Won"/>
    <d v="2024-01-10T00:00:00"/>
    <n v="0"/>
    <s v="65297908BA02A12"/>
    <s v="Adobe Acrobat Standard for teams - Subscription Renewal"/>
    <s v="NRR - Agent Income"/>
    <n v="1"/>
    <n v="0"/>
    <n v="0"/>
    <m/>
    <n v="0"/>
    <m/>
    <m/>
    <n v="193"/>
    <n v="193"/>
    <n v="157.85"/>
    <n v="157.85"/>
    <s v="Jonathan DeFez"/>
    <n v="2.8120000000000007"/>
  </r>
  <r>
    <x v="34"/>
    <s v="10270978 - Standard UCC SSL Certificate For mail.umpqua.com"/>
    <s v="Won"/>
    <d v="2024-01-15T00:00:00"/>
    <n v="0"/>
    <s v="SSL Certificates:5726-2"/>
    <s v="Multiple Domain Unified Communications (UCC) Secure Sockets Layer (SSL) Certificate for up to 5 Domains - Annual"/>
    <s v="NRR - Agent Income"/>
    <n v="1"/>
    <n v="0"/>
    <n v="0"/>
    <m/>
    <n v="0"/>
    <m/>
    <m/>
    <n v="122"/>
    <n v="122"/>
    <n v="99.99"/>
    <n v="99.99"/>
    <s v="Jonathan DeFez"/>
    <n v="1.7608000000000004"/>
  </r>
  <r>
    <x v="34"/>
    <s v="10270978 - Standard UCC SSL Certificate For mail.umpqua.com"/>
    <s v="Won"/>
    <d v="2024-01-15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149"/>
    <n v="149"/>
    <n v="0"/>
    <n v="0"/>
    <s v="Jonathan DeFez"/>
    <n v="5.96"/>
  </r>
  <r>
    <x v="35"/>
    <s v="10271203 - Standard SSL Certificate For vpncloud.bcer.com"/>
    <s v="Won"/>
    <d v="2024-01-22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Jonathan DeFez"/>
    <n v="1.2008000000000005"/>
  </r>
  <r>
    <x v="35"/>
    <s v="10271203 - Standard SSL Certificate For vpncloud.bcer.com"/>
    <s v="Won"/>
    <d v="2024-01-22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149"/>
    <n v="149"/>
    <n v="0"/>
    <n v="0"/>
    <s v="Jonathan DeFez"/>
    <n v="5.96"/>
  </r>
  <r>
    <x v="36"/>
    <s v="Complete M365 Setup and Intune Enrollment for Computers"/>
    <s v="Won"/>
    <d v="2024-01-25T00:00:00"/>
    <n v="0"/>
    <s v="MPC-PS-T3"/>
    <s v="Meriplex Tier 3 Engineer Labor"/>
    <s v="IT/LAN Installation"/>
    <n v="10"/>
    <n v="0"/>
    <n v="0"/>
    <m/>
    <n v="0"/>
    <m/>
    <m/>
    <n v="225"/>
    <n v="2250"/>
    <n v="0"/>
    <n v="0"/>
    <s v="Jonathan DeFez"/>
    <n v="90"/>
  </r>
  <r>
    <x v="36"/>
    <s v="Complete M365 Setup and Intune Enrollment for Computers"/>
    <s v="Won"/>
    <d v="2024-01-25T00:00:00"/>
    <n v="0"/>
    <s v="MPC-PS-PM"/>
    <s v="Project Management"/>
    <s v="IT/LAN Installation"/>
    <n v="2"/>
    <n v="0"/>
    <n v="0"/>
    <m/>
    <n v="0"/>
    <m/>
    <m/>
    <n v="240"/>
    <n v="480"/>
    <n v="0"/>
    <n v="0"/>
    <s v="Jonathan DeFez"/>
    <n v="19.2"/>
  </r>
  <r>
    <x v="37"/>
    <s v="Quote #MPS121303 Per Service Ticket #10271717 - Reading Station for Dr. Wadood"/>
    <s v="Won"/>
    <d v="2024-01-31T00:00:00"/>
    <n v="0"/>
    <s v="MPC-PS-T2"/>
    <s v="PC Migration or Installation Services"/>
    <s v="IT/LAN Installation"/>
    <n v="1"/>
    <n v="0"/>
    <n v="0"/>
    <m/>
    <n v="0"/>
    <m/>
    <m/>
    <n v="200"/>
    <n v="200"/>
    <n v="0"/>
    <n v="0"/>
    <s v="Lathrop Lougheed"/>
    <n v="8"/>
  </r>
  <r>
    <x v="37"/>
    <s v="Quote #MPS121303 Per Service Ticket #10271717 - Reading Station for Dr. Wadood"/>
    <s v="Won"/>
    <d v="2024-01-31T00:00:00"/>
    <n v="0"/>
    <s v="V75M3"/>
    <s v="Dell Precision 3000 3660 Workstation - Intel Core i7 Hexadeca-core (16 Core) i7-13700 13th Gen 2.10 GHz - 32 GB DDR5 SDRAM RAM - 512 GB SSD - Tower - Intel Chip - Windows 11 Pro - NVIDIA RTX A2000 12 GB Graphics - DVD-Writer - Serial ATA Controller - Engl"/>
    <s v="IT/LAN Equipment"/>
    <n v="1"/>
    <n v="0"/>
    <n v="0"/>
    <m/>
    <n v="0"/>
    <m/>
    <m/>
    <n v="1992.51"/>
    <n v="1992.51"/>
    <n v="1696.06"/>
    <n v="1696.06"/>
    <s v="Lathrop Lougheed"/>
    <n v="23.716000000000005"/>
  </r>
  <r>
    <x v="38"/>
    <s v="Quote #MPS121356 Per Service Ticket # 10275430 - Network Infrastructure - Ontario Genesis - Rusnak -"/>
    <s v="Won"/>
    <d v="2024-01-12T00:00:00"/>
    <n v="0"/>
    <s v="C9115AXE-B"/>
    <s v="CISCO CATALYST 9115AX SERIES"/>
    <s v="IT/LAN Equipment"/>
    <n v="7"/>
    <n v="0"/>
    <n v="0"/>
    <m/>
    <n v="0"/>
    <m/>
    <m/>
    <n v="634.91"/>
    <n v="4444.37"/>
    <n v="634.62"/>
    <n v="4442.34"/>
    <s v="Kade Thurman"/>
    <n v="0"/>
  </r>
  <r>
    <x v="38"/>
    <s v="Quote #MPS121356 Per Service Ticket # 10275430 - Network Infrastructure - Ontario Genesis - Rusnak -"/>
    <s v="Won"/>
    <d v="2024-01-12T00:00:00"/>
    <n v="0"/>
    <s v="AIR-ANT2524DB-R"/>
    <s v="Cisco Aironet Antenna - 2.4 GHz, 5 GHz - 4 dBiDipole"/>
    <s v="IT/LAN Equipment"/>
    <n v="28"/>
    <n v="0"/>
    <n v="0"/>
    <m/>
    <n v="0"/>
    <m/>
    <m/>
    <n v="27.26"/>
    <n v="763.28"/>
    <n v="27.15"/>
    <n v="760.19999999999993"/>
    <s v="Kade Thurman"/>
    <n v="0"/>
  </r>
  <r>
    <x v="38"/>
    <s v="Quote #MPS121356 Per Service Ticket # 10275430 - Network Infrastructure - Ontario Genesis - Rusnak -"/>
    <s v="Won"/>
    <d v="2024-01-12T00:00:00"/>
    <n v="0"/>
    <s v="C9115AXI-B"/>
    <s v="Cisco Catalyst C9115I 802.11ax 5.38 Gbit/s Wireless Access Point - 2.40 GHz, 5 GHz - MIMO Technology - 1 x Network (RJ-45) - 2.5 Gigabit Ethernet - Bluetooth 5"/>
    <s v="IT/LAN Equipment"/>
    <n v="-7"/>
    <n v="0"/>
    <n v="0"/>
    <m/>
    <n v="0"/>
    <m/>
    <m/>
    <n v="735.84"/>
    <n v="-5150.88"/>
    <n v="588.66999999999996"/>
    <n v="-4120.6899999999996"/>
    <s v="Kade Thurman"/>
    <n v="0"/>
  </r>
  <r>
    <x v="38"/>
    <s v="Quote #MPS121356 Per Service Ticket # 10275430 - Network Infrastructure - Ontario Genesis - Rusnak -"/>
    <s v="Won"/>
    <d v="2024-01-12T00:00:00"/>
    <n v="0"/>
    <s v="CON-SNT-C915AXIB"/>
    <s v="Cisco Smart Net Total Care - Extended Service - Service - 8 x 5 x Next Business Day - Exchange - Parts - Physical, Electronic, 3-Years"/>
    <s v="IT/LAN Equipment"/>
    <n v="-7"/>
    <n v="0"/>
    <n v="0"/>
    <m/>
    <n v="0"/>
    <m/>
    <m/>
    <n v="189"/>
    <n v="-1323"/>
    <n v="133.72"/>
    <n v="-936.04"/>
    <s v="Kade Thurman"/>
    <n v="0"/>
  </r>
  <r>
    <x v="38"/>
    <s v="Quote #MPS121356 Per Service Ticket # 10275430 - Network Infrastructure - Ontario Genesis - Rusnak -"/>
    <s v="Won"/>
    <d v="2024-01-12T00:00:00"/>
    <n v="0"/>
    <s v="CON-SNT-C9115BXE"/>
    <s v="Cisco Smart Net Total Care - Extended Service - Service - 8 x 5 x Next Business Day - Exchange - Parts - Physical, Electronic"/>
    <s v="IT/LAN Equipment"/>
    <n v="7"/>
    <n v="0"/>
    <n v="0"/>
    <m/>
    <n v="0"/>
    <m/>
    <m/>
    <n v="180.89"/>
    <n v="1266.23"/>
    <n v="144.33000000000001"/>
    <n v="1010.3100000000001"/>
    <s v="Kade Thurman"/>
    <n v="0"/>
  </r>
  <r>
    <x v="39"/>
    <s v="Lexicon Bank Assessment"/>
    <s v="Won"/>
    <d v="2024-01-25T00:00:00"/>
    <n v="0"/>
    <s v="MPC-PS-T4"/>
    <s v="Meriplex Tier 4 Engineer Labor"/>
    <s v="IT/LAN Installation"/>
    <n v="30"/>
    <n v="0"/>
    <n v="0"/>
    <m/>
    <n v="0"/>
    <m/>
    <m/>
    <n v="250"/>
    <n v="7500"/>
    <n v="0"/>
    <n v="0"/>
    <s v="Elmer Mosbey"/>
    <n v="300"/>
  </r>
  <r>
    <x v="40"/>
    <s v="10280944 - Change Order 9123536 - New Server Room Setup and Circuit Install - Fiber Optic Cabling"/>
    <s v="Won"/>
    <d v="2024-01-23T00:00:00"/>
    <n v="0"/>
    <s v="MPC-3P-CAB-1"/>
    <s v="Cabling Labor - Hourly"/>
    <s v="IT/LAN Installation"/>
    <n v="-4"/>
    <n v="0"/>
    <n v="0"/>
    <m/>
    <n v="0"/>
    <m/>
    <m/>
    <n v="135"/>
    <n v="-540"/>
    <n v="110"/>
    <n v="-440"/>
    <s v="Jonathan DeFez"/>
    <n v="-21.6"/>
  </r>
  <r>
    <x v="40"/>
    <s v="10280944 - Change Order 9123536 - New Server Room Setup and Circuit Install - Fiber Optic Cabling"/>
    <s v="Won"/>
    <d v="2024-01-23T00:00:00"/>
    <n v="0"/>
    <s v="MPC-PS-PC"/>
    <s v="Project Coordinator"/>
    <s v="IT/LAN Installation"/>
    <n v="-2"/>
    <n v="0"/>
    <n v="0"/>
    <m/>
    <n v="0"/>
    <m/>
    <m/>
    <n v="135"/>
    <n v="-270"/>
    <n v="0"/>
    <n v="0"/>
    <s v="Jonathan DeFez"/>
    <n v="-10.8"/>
  </r>
  <r>
    <x v="40"/>
    <s v="10280944 - Change Order 9123536 - New Server Room Setup and Circuit Install - Fiber Optic Cabling"/>
    <s v="Won"/>
    <d v="2024-01-23T00:00:00"/>
    <n v="0"/>
    <s v="MPC-3P-CAB-HW"/>
    <s v="10' LC UPC to LC UPC Duplex OM4 Multimode PVC (OFNR) 2.0mm Fiber Optic Patch Cable"/>
    <s v="IT/LAN Installation"/>
    <n v="-1"/>
    <n v="0"/>
    <n v="0"/>
    <m/>
    <n v="0"/>
    <m/>
    <m/>
    <n v="22"/>
    <n v="-22"/>
    <n v="18"/>
    <n v="-18"/>
    <s v="Jonathan DeFez"/>
    <n v="-0.88"/>
  </r>
  <r>
    <x v="40"/>
    <s v="10280944 - Change Order 9123536 - New Server Room Setup and Circuit Install - Fiber Optic Cabling"/>
    <s v="Won"/>
    <d v="2024-01-23T00:00:00"/>
    <n v="0"/>
    <s v="MPC-3P-CAB-HW"/>
    <s v="50' LC UPC to LC UPC Duplex OM4 Multimode PVC (OFNR) 2.0mm Fiber Optic Patch Cable"/>
    <s v="IT/LAN Installation"/>
    <n v="-1"/>
    <n v="0"/>
    <n v="0"/>
    <m/>
    <n v="0"/>
    <m/>
    <m/>
    <n v="43"/>
    <n v="-43"/>
    <n v="35"/>
    <n v="-35"/>
    <s v="Jonathan DeFez"/>
    <n v="-1.72"/>
  </r>
  <r>
    <x v="41"/>
    <s v="Azure IPSec Redesign and NPS for WiFi"/>
    <s v="Won"/>
    <d v="2024-01-31T00:00:00"/>
    <n v="0"/>
    <s v="MPC-PS-PM"/>
    <s v="Project Management"/>
    <s v="IT/LAN Installation"/>
    <n v="8"/>
    <n v="0"/>
    <n v="0"/>
    <m/>
    <n v="0"/>
    <m/>
    <m/>
    <n v="240"/>
    <n v="1920"/>
    <n v="0"/>
    <n v="0"/>
    <s v="Jonathan DeFez"/>
    <n v="76.8"/>
  </r>
  <r>
    <x v="41"/>
    <s v="Azure IPSec Redesign and NPS for WiFi"/>
    <s v="Won"/>
    <d v="2024-01-31T00:00:00"/>
    <n v="0"/>
    <s v="MPC-PS-T3"/>
    <s v="Meriplex Tier 3 Engineer Labor"/>
    <s v="IT/LAN Installation"/>
    <n v="10"/>
    <n v="0"/>
    <n v="0"/>
    <m/>
    <n v="0"/>
    <m/>
    <m/>
    <n v="225"/>
    <n v="2250"/>
    <n v="0"/>
    <n v="0"/>
    <s v="Jonathan DeFez"/>
    <n v="90"/>
  </r>
  <r>
    <x v="41"/>
    <s v="Azure IPSec Redesign and NPS for WiFi"/>
    <s v="Won"/>
    <d v="2024-01-31T00:00:00"/>
    <n v="0"/>
    <s v="MPC-PS-T4"/>
    <s v="Meriplex Tier 3 Engineer Labor After Hours"/>
    <s v="IT/LAN Installation"/>
    <n v="24"/>
    <n v="0"/>
    <n v="0"/>
    <m/>
    <n v="0"/>
    <m/>
    <m/>
    <n v="337.5"/>
    <n v="8100"/>
    <n v="0"/>
    <n v="0"/>
    <s v="Jonathan DeFez"/>
    <n v="324"/>
  </r>
  <r>
    <x v="42"/>
    <s v="MPX LA - New WAP &amp; Switch"/>
    <s v="Won"/>
    <d v="2024-01-30T00:00:00"/>
    <n v="0"/>
    <s v="FS-124F-POE"/>
    <s v="Fortinet 124F FortiSwitch 24-Port Half-POE Ethernet Switch"/>
    <s v="IT/LAN Equipment"/>
    <n v="1"/>
    <n v="0"/>
    <n v="0"/>
    <m/>
    <n v="0"/>
    <m/>
    <m/>
    <n v="1295"/>
    <n v="1295"/>
    <n v="971.6"/>
    <n v="971.6"/>
    <s v="Mitch Verma"/>
    <n v="12.936"/>
  </r>
  <r>
    <x v="42"/>
    <s v="MPX LA - New WAP &amp; Switch"/>
    <s v="Won"/>
    <d v="2024-01-30T00:00:00"/>
    <n v="0"/>
    <s v="FAP-231F-A"/>
    <s v="Fortinet FortiAP 231F 802.11ax 1.73 Gbit/s Wireless Access Point"/>
    <s v="IT/LAN Equipment"/>
    <n v="1"/>
    <n v="0"/>
    <n v="0"/>
    <m/>
    <n v="0"/>
    <m/>
    <m/>
    <n v="639"/>
    <n v="639"/>
    <n v="374.55"/>
    <n v="374.55"/>
    <s v="Mitch Verma"/>
    <n v="10.577999999999999"/>
  </r>
  <r>
    <x v="42"/>
    <s v="MPX LA - New WAP &amp; Switch"/>
    <s v="Won"/>
    <d v="2024-01-30T00:00:00"/>
    <n v="0"/>
    <s v="MPC-PS-T3"/>
    <s v="Meriplex Tier 3 Engineer Labor"/>
    <s v="IT/LAN Installation"/>
    <n v="4"/>
    <n v="0"/>
    <n v="0"/>
    <m/>
    <n v="0"/>
    <m/>
    <m/>
    <n v="225"/>
    <n v="900"/>
    <n v="0"/>
    <n v="0"/>
    <s v="Mitch Verma"/>
    <n v="36"/>
  </r>
  <r>
    <x v="42"/>
    <s v="MPX LA - New WAP &amp; Switch"/>
    <s v="Won"/>
    <d v="2024-01-30T00:00:00"/>
    <n v="0"/>
    <s v="FC-10-S124P-247-02-12"/>
    <s v="Fortinet FortiCare 24x7 Premium Support - 1 Year"/>
    <s v="IT/LAN Equipment"/>
    <n v="1"/>
    <n v="0"/>
    <n v="0"/>
    <m/>
    <n v="0"/>
    <m/>
    <m/>
    <n v="139"/>
    <n v="139"/>
    <n v="111.04"/>
    <n v="111.04"/>
    <s v="Mitch Verma"/>
    <n v="1.1183999999999998"/>
  </r>
  <r>
    <x v="42"/>
    <s v="MPX LA - New WAP &amp; Switch"/>
    <s v="Won"/>
    <d v="2024-01-30T00:00:00"/>
    <n v="0"/>
    <s v="FC-10-90AP1-639-02-12"/>
    <s v="FortiLAN Cloud FortiAP Management License - 1 Year"/>
    <s v="IT/LAN Equipment"/>
    <n v="1"/>
    <n v="0"/>
    <n v="0"/>
    <m/>
    <n v="0"/>
    <m/>
    <m/>
    <n v="134"/>
    <n v="134"/>
    <n v="99.83"/>
    <n v="99.83"/>
    <s v="Mitch Verma"/>
    <n v="1.3668"/>
  </r>
  <r>
    <x v="42"/>
    <s v="MPX LA - New WAP &amp; Switch"/>
    <s v="Won"/>
    <d v="2024-01-30T00:00:00"/>
    <n v="0"/>
    <s v="MPC-PS-T2"/>
    <s v="Meriplex Tier 2 Engineer Labor"/>
    <s v="IT/LAN Installation"/>
    <n v="2"/>
    <n v="0"/>
    <n v="0"/>
    <m/>
    <n v="0"/>
    <m/>
    <m/>
    <n v="185"/>
    <n v="370"/>
    <n v="0"/>
    <n v="0"/>
    <s v="Mitch Verma"/>
    <n v="14.8"/>
  </r>
  <r>
    <x v="43"/>
    <s v="BRPC South Auburn Veterinary Hospital MSP MSSP"/>
    <s v="Won"/>
    <d v="2024-01-19T00:00:00"/>
    <n v="1650.75"/>
    <s v="MPC-PS-PM"/>
    <s v="Project Management"/>
    <s v="IT/LAN Installation"/>
    <n v="4"/>
    <n v="0"/>
    <n v="0"/>
    <m/>
    <n v="0"/>
    <m/>
    <m/>
    <n v="150"/>
    <n v="600"/>
    <n v="0"/>
    <n v="0"/>
    <s v="Rick Carlson"/>
    <n v="24"/>
  </r>
  <r>
    <x v="43"/>
    <s v="BRPC South Auburn Veterinary Hospital MSP MSSP"/>
    <s v="Won"/>
    <d v="2024-01-19T00:00:00"/>
    <n v="1650.75"/>
    <s v="MPC-PS-MSP-OBT"/>
    <s v="Onboarding and Training"/>
    <s v="Managed Services"/>
    <n v="1"/>
    <n v="0"/>
    <n v="0"/>
    <m/>
    <n v="0"/>
    <m/>
    <m/>
    <n v="1315"/>
    <n v="1315"/>
    <n v="0"/>
    <n v="0"/>
    <s v="Rick Carlson"/>
    <n v="52.6"/>
  </r>
  <r>
    <x v="43"/>
    <s v="BRPC South Auburn Veterinary Hospital MSP MSSP"/>
    <s v="Won"/>
    <d v="2024-01-19T00:00:00"/>
    <n v="1650.75"/>
    <s v="SEC-SMRR="/>
    <s v="Meriplex 365 Cloud Security"/>
    <s v="Managed Security Services"/>
    <n v="11"/>
    <n v="5"/>
    <n v="0.8"/>
    <m/>
    <n v="55"/>
    <m/>
    <m/>
    <n v="6"/>
    <n v="66"/>
    <n v="0"/>
    <n v="0"/>
    <s v="Rick Carlson"/>
    <n v="2.64"/>
  </r>
  <r>
    <x v="43"/>
    <s v="BRPC South Auburn Veterinary Hospital MSP MSSP"/>
    <s v="Won"/>
    <d v="2024-01-19T00:00:00"/>
    <n v="1650.75"/>
    <s v="MSP-BU-DO365-1Y"/>
    <s v="Meriplex 365 Cloud Backup"/>
    <s v="Managed Services"/>
    <n v="11"/>
    <n v="5.5"/>
    <n v="1.05"/>
    <m/>
    <n v="60.5"/>
    <m/>
    <m/>
    <n v="0.25"/>
    <n v="2.75"/>
    <n v="0"/>
    <n v="0"/>
    <s v="Rick Carlson"/>
    <n v="0.11"/>
  </r>
  <r>
    <x v="43"/>
    <s v="BRPC South Auburn Veterinary Hospital MSP MSSP"/>
    <s v="Won"/>
    <d v="2024-01-19T00:00:00"/>
    <n v="1650.75"/>
    <s v="MSP-O365-MGMT"/>
    <s v="Meriplex 365 Management and Support"/>
    <s v="Managed Services"/>
    <n v="11"/>
    <n v="7"/>
    <n v="0"/>
    <m/>
    <n v="77"/>
    <m/>
    <m/>
    <n v="0.25"/>
    <n v="2.75"/>
    <n v="0"/>
    <n v="0"/>
    <s v="Rick Carlson"/>
    <n v="0.11"/>
  </r>
  <r>
    <x v="43"/>
    <s v="BRPC South Auburn Veterinary Hospital MSP MSSP"/>
    <s v="Won"/>
    <d v="2024-01-19T00:00:00"/>
    <n v="1650.75"/>
    <s v="SEC-ES-MSEDRG="/>
    <s v="Meriplex MSSP Gold Endpoint Protection"/>
    <s v="Managed Security Services"/>
    <n v="11"/>
    <n v="10"/>
    <n v="4.5"/>
    <m/>
    <n v="110"/>
    <m/>
    <m/>
    <n v="10.25"/>
    <n v="112.75"/>
    <n v="0"/>
    <n v="0"/>
    <s v="Rick Carlson"/>
    <n v="4.51"/>
  </r>
  <r>
    <x v="44"/>
    <s v="10277799 - Adobe Annual Renewal Licenses"/>
    <s v="Won"/>
    <d v="2024-01-16T00:00:00"/>
    <n v="0"/>
    <s v="65304042BA01C12"/>
    <s v="Adobe Creative Cloud for teams - All Apps - Subscription Renewal - 1 user"/>
    <s v="IT/LAN Equipment"/>
    <n v="1"/>
    <n v="0"/>
    <n v="0"/>
    <m/>
    <n v="0"/>
    <m/>
    <m/>
    <n v="1286"/>
    <n v="1286"/>
    <n v="1053.8599999999999"/>
    <n v="1053.8599999999999"/>
    <s v="Jonathan DeFez"/>
    <n v="18.571200000000008"/>
  </r>
  <r>
    <x v="44"/>
    <s v="10277799 - Adobe Annual Renewal Licenses"/>
    <s v="Won"/>
    <d v="2024-01-16T00:00:00"/>
    <n v="0"/>
    <s v="65297908BA01A12"/>
    <s v="Adobe Acrobat Standard DC for Teams - Team Licensing Subscription Renewal - 1 User - 1 Month - Price Level 1 - (1-9) - Volume - Adobe Value Incentive Plan (VIP) - PC"/>
    <s v="NRR - Agent Income"/>
    <n v="1"/>
    <n v="0"/>
    <n v="0"/>
    <m/>
    <n v="0"/>
    <m/>
    <m/>
    <n v="203"/>
    <n v="203"/>
    <n v="166.2"/>
    <n v="166.2"/>
    <s v="Jonathan DeFez"/>
    <n v="2.9440000000000008"/>
  </r>
  <r>
    <x v="45"/>
    <s v="Quote #MPS121521 Per Service Ticket # 10271102 - Receptionist Headset"/>
    <s v="Won"/>
    <d v="2024-01-09T00:00:00"/>
    <n v="0"/>
    <s v="27190-01"/>
    <s v="Poly U10-P Quick Disconnect/RJ-9 Audio Cable - 10 ft Quick Disconnect/RJ-9 Audio Cable for Headset, Telephone - Smoke Gray"/>
    <s v="IT/LAN Equipment"/>
    <n v="1"/>
    <n v="0"/>
    <n v="0"/>
    <m/>
    <n v="0"/>
    <m/>
    <m/>
    <n v="39.64"/>
    <n v="39.64"/>
    <n v="33.21"/>
    <n v="33.21"/>
    <s v="Kade Thurman"/>
    <n v="0"/>
  </r>
  <r>
    <x v="45"/>
    <s v="Quote #MPS121521 Per Service Ticket # 10271102 - Receptionist Headset"/>
    <s v="Won"/>
    <d v="2024-01-09T00:00:00"/>
    <n v="0"/>
    <s v="805H7AA#ABA"/>
    <s v="Poly EncorePro HW710 Headset - Mono - USB - Wired - Over-the-head - Monaural - Ear-cup - Noise Cancelling, Omni-directional Microphone - Noise Canceling - Black"/>
    <s v="IT/LAN Equipment"/>
    <n v="3"/>
    <n v="0"/>
    <n v="0"/>
    <m/>
    <n v="0"/>
    <m/>
    <m/>
    <n v="92.71"/>
    <n v="278.13"/>
    <n v="83.44"/>
    <n v="250.32"/>
    <s v="Kade Thurman"/>
    <n v="0"/>
  </r>
  <r>
    <x v="45"/>
    <s v="Quote #MPS121521 Per Service Ticket # 10271102 - Receptionist Headset"/>
    <s v="Won"/>
    <d v="2024-01-09T00:00:00"/>
    <n v="0"/>
    <s v="805H7AA#ABA"/>
    <s v="Poly EncorePro HW710 Headset - Mono - USB - Wired - Over-the-head - Monaural - Ear-cup - Noise Cancelling, Omni-directional Microphone - Noise Canceling - Black"/>
    <s v="IT/LAN Equipment"/>
    <n v="1"/>
    <n v="0"/>
    <n v="0"/>
    <m/>
    <n v="0"/>
    <m/>
    <m/>
    <n v="92.71"/>
    <n v="92.71"/>
    <n v="83.44"/>
    <n v="83.44"/>
    <s v="Kade Thurman"/>
    <n v="0"/>
  </r>
  <r>
    <x v="45"/>
    <s v="Quote #MPS121521 Per Service Ticket # 10271102 - Receptionist Headset"/>
    <s v="Won"/>
    <d v="2024-01-09T00:00:00"/>
    <n v="0"/>
    <s v="805H7AA#ABA"/>
    <s v="Poly EncorePro HW710 Headset - Mono - USB - Wired - Over-the-head - Monaural - Ear-cup - Noise Cancelling, Omni-directional Microphone - Noise Canceling - Black"/>
    <s v="IT/LAN Equipment"/>
    <n v="1"/>
    <n v="0"/>
    <n v="0"/>
    <m/>
    <n v="0"/>
    <m/>
    <m/>
    <n v="92.71"/>
    <n v="92.71"/>
    <n v="83.44"/>
    <n v="83.44"/>
    <s v="Kade Thurman"/>
    <n v="0"/>
  </r>
  <r>
    <x v="45"/>
    <s v="Quote #MPS121521 Per Service Ticket # 10271102 - Receptionist Headset"/>
    <s v="Won"/>
    <d v="2024-01-09T00:00:00"/>
    <n v="0"/>
    <s v="27190-01"/>
    <s v="Poly U10-P Quick Disconnect/RJ-9 Audio Cable - 10 ft Quick Disconnect/RJ-9 Audio Cable for Headset, Telephone - Smoke Gray"/>
    <s v="IT/LAN Equipment"/>
    <n v="4"/>
    <n v="0"/>
    <n v="0"/>
    <m/>
    <n v="0"/>
    <m/>
    <m/>
    <n v="39.64"/>
    <n v="158.56"/>
    <n v="33.21"/>
    <n v="132.84"/>
    <s v="Kade Thurman"/>
    <n v="0"/>
  </r>
  <r>
    <x v="45"/>
    <s v="Quote #MPS121521 Per Service Ticket # 10271102 - Receptionist Headset"/>
    <s v="Won"/>
    <d v="2024-01-09T00:00:00"/>
    <n v="0"/>
    <s v="27190-01"/>
    <s v="Poly U10-P Quick Disconnect/RJ-9 Audio Cable - 10 ft Quick Disconnect/RJ-9 Audio Cable for Headset, Telephone - Smoke Gray"/>
    <s v="IT/LAN Equipment"/>
    <n v="1"/>
    <n v="0"/>
    <n v="0"/>
    <m/>
    <n v="0"/>
    <m/>
    <m/>
    <n v="39.64"/>
    <n v="39.64"/>
    <n v="33.21"/>
    <n v="33.21"/>
    <s v="Kade Thurman"/>
    <n v="0"/>
  </r>
  <r>
    <x v="45"/>
    <s v="Quote #MPS121521 Per Service Ticket # 10271102 - Receptionist Headset"/>
    <s v="Won"/>
    <d v="2024-01-09T00:00:00"/>
    <n v="0"/>
    <s v="805H7AA#ABA"/>
    <s v="Poly EncorePro HW710 Headset - Mono - USB - Wired - Over-the-head - Monaural - Ear-cup - Noise Cancelling, Omni-directional Microphone - Noise Canceling - Black"/>
    <s v="IT/LAN Equipment"/>
    <n v="1"/>
    <n v="0"/>
    <n v="0"/>
    <m/>
    <n v="0"/>
    <m/>
    <m/>
    <n v="92.71"/>
    <n v="92.71"/>
    <n v="83.44"/>
    <n v="83.44"/>
    <s v="Kade Thurman"/>
    <n v="0"/>
  </r>
  <r>
    <x v="45"/>
    <s v="Quote #MPS121521 Per Service Ticket # 10271102 - Receptionist Headset"/>
    <s v="Won"/>
    <d v="2024-01-09T00:00:00"/>
    <n v="0"/>
    <s v="805H7AA#ABA"/>
    <s v="Poly EncorePro HW710 Headset - Mono - USB - Wired - Over-the-head - Monaural - Ear-cup - Noise Cancelling, Omni-directional Microphone - Noise Canceling - Black"/>
    <s v="IT/LAN Equipment"/>
    <n v="4"/>
    <n v="0"/>
    <n v="0"/>
    <m/>
    <n v="0"/>
    <m/>
    <m/>
    <n v="92.71"/>
    <n v="370.84"/>
    <n v="83.44"/>
    <n v="333.76"/>
    <s v="Kade Thurman"/>
    <n v="0"/>
  </r>
  <r>
    <x v="45"/>
    <s v="Quote #MPS121521 Per Service Ticket # 10271102 - Receptionist Headset"/>
    <s v="Won"/>
    <d v="2024-01-09T00:00:00"/>
    <n v="0"/>
    <s v="27190-01"/>
    <s v="Poly U10-P Quick Disconnect/RJ-9 Audio Cable - 10 ft Quick Disconnect/RJ-9 Audio Cable for Headset, Telephone - Smoke Gray"/>
    <s v="IT/LAN Equipment"/>
    <n v="1"/>
    <n v="0"/>
    <n v="0"/>
    <m/>
    <n v="0"/>
    <m/>
    <m/>
    <n v="39.64"/>
    <n v="39.64"/>
    <n v="33.21"/>
    <n v="33.21"/>
    <s v="Kade Thurman"/>
    <n v="0"/>
  </r>
  <r>
    <x v="45"/>
    <s v="Quote #MPS121521 Per Service Ticket # 10271102 - Receptionist Headset"/>
    <s v="Won"/>
    <d v="2024-01-09T00:00:00"/>
    <n v="0"/>
    <s v="27190-01"/>
    <s v="Poly U10-P Quick Disconnect/RJ-9 Audio Cable - 10 ft Quick Disconnect/RJ-9 Audio Cable for Headset, Telephone - Smoke Gray"/>
    <s v="IT/LAN Equipment"/>
    <n v="3"/>
    <n v="0"/>
    <n v="0"/>
    <m/>
    <n v="0"/>
    <m/>
    <m/>
    <n v="39.64"/>
    <n v="118.92"/>
    <n v="33.21"/>
    <n v="99.63"/>
    <s v="Kade Thurman"/>
    <n v="0"/>
  </r>
  <r>
    <x v="46"/>
    <s v="Managed Cloud Security"/>
    <s v="Won"/>
    <d v="2024-01-11T00:00:00"/>
    <n v="-15675"/>
    <s v="SEC-CU-DNSE="/>
    <s v="Managed Cloud Security"/>
    <s v="Managed Security Services"/>
    <n v="1050"/>
    <n v="6"/>
    <n v="1.6"/>
    <m/>
    <n v="6300"/>
    <m/>
    <m/>
    <n v="6"/>
    <n v="6300"/>
    <n v="0"/>
    <n v="0"/>
    <s v="Cynthia Newsom"/>
    <n v="252"/>
  </r>
  <r>
    <x v="47"/>
    <s v="Loc 0755 - Security Cameras"/>
    <s v="Won"/>
    <d v="2024-01-02T00:00:00"/>
    <n v="0"/>
    <s v="MPC-PS-T3"/>
    <s v="Meriplex Tier 3 Engineer Labor"/>
    <s v="IT/LAN Installation"/>
    <n v="4"/>
    <n v="0"/>
    <n v="0"/>
    <m/>
    <n v="0"/>
    <m/>
    <m/>
    <n v="185"/>
    <n v="740"/>
    <n v="0"/>
    <n v="0"/>
    <s v="Kennon Jayne"/>
    <n v="29.6"/>
  </r>
  <r>
    <x v="47"/>
    <s v="Loc 0755 - Security Cameras"/>
    <s v="Won"/>
    <d v="2024-01-02T00:00:00"/>
    <n v="0"/>
    <s v="02125-001"/>
    <s v="AXIS M2036-LE Network Camera - Color"/>
    <s v="Physical Security"/>
    <n v="3"/>
    <n v="0"/>
    <n v="0"/>
    <m/>
    <n v="0"/>
    <m/>
    <m/>
    <n v="449"/>
    <n v="1347"/>
    <n v="327.76"/>
    <n v="983.28"/>
    <s v="Kennon Jayne"/>
    <n v="29.097600000000003"/>
  </r>
  <r>
    <x v="47"/>
    <s v="Loc 0755 - Security Cameras"/>
    <s v="Won"/>
    <d v="2024-01-02T00:00:00"/>
    <n v="0"/>
    <s v="02764-004"/>
    <s v="AXIS S3008 MK II 2 TB"/>
    <s v="IT/LAN Equipment"/>
    <n v="1"/>
    <n v="0"/>
    <n v="0"/>
    <m/>
    <n v="0"/>
    <m/>
    <m/>
    <n v="699"/>
    <n v="699"/>
    <n v="510.24"/>
    <n v="510.24"/>
    <s v="Kennon Jayne"/>
    <n v="15.1008"/>
  </r>
  <r>
    <x v="47"/>
    <s v="Loc 0755 - Security Cameras"/>
    <s v="Won"/>
    <d v="2024-01-02T00:00:00"/>
    <n v="0"/>
    <s v="01605-001"/>
    <s v="AXIS M3116-LVE 4 Megapixel Indoor/Outdoor Network Camera - Color - Dome - White - 65.62 ft Infrared Night Vision - H.264, H.264 (MPEG-4 Part 10/AVC), H.264 BP, H.264 (MP), H.264 HP, H.265, H.265 (MPEG-H Part 2/HEVC), H.265 (MP), Motion JPEG - 2688 x 1512"/>
    <s v="Physical Security"/>
    <n v="1"/>
    <n v="0"/>
    <n v="0"/>
    <m/>
    <n v="0"/>
    <m/>
    <m/>
    <n v="429"/>
    <n v="429"/>
    <n v="313.16000000000003"/>
    <n v="313.16000000000003"/>
    <s v="Kennon Jayne"/>
    <n v="9.267199999999999"/>
  </r>
  <r>
    <x v="48"/>
    <s v="Quote #MPS121553 Per Service Ticket #10295789 - UPS Battery Replacement"/>
    <s v="Won"/>
    <d v="2024-01-11T00:00:00"/>
    <n v="0"/>
    <s v="AP9640"/>
    <s v="APC by Schneider Electric UPS Management Adapter - USB"/>
    <s v="IT/LAN Equipment"/>
    <n v="1"/>
    <n v="0"/>
    <n v="0"/>
    <m/>
    <n v="0"/>
    <m/>
    <m/>
    <n v="358.53"/>
    <n v="358.53"/>
    <n v="311.92"/>
    <n v="311.92"/>
    <s v="Kade Thurman"/>
    <n v="0"/>
  </r>
  <r>
    <x v="48"/>
    <s v="Quote #MPS121553 Per Service Ticket #10295789 - UPS Battery Replacement"/>
    <s v="Won"/>
    <d v="2024-01-11T00:00:00"/>
    <n v="0"/>
    <s v="SMX1500RM2UC"/>
    <s v="APC by Schneider Electric Smart-UPS SMX 1500VA Tower/Rack Convertible UPS - 2U Rack-mountable - AVR - 3 Hour Recharge - 5 Minute Stand-by - 120 V Input - 120 V AC Output - Sine Wave - Serial Port - 8 x NEMA 5-15R - 8 x Battery/Surge Outlet"/>
    <s v="IT/LAN Equipment"/>
    <n v="1"/>
    <n v="0"/>
    <n v="0"/>
    <m/>
    <n v="0"/>
    <m/>
    <m/>
    <n v="985.31"/>
    <n v="985.31"/>
    <n v="867.07"/>
    <n v="867.07"/>
    <s v="Kade Thurman"/>
    <n v="0"/>
  </r>
  <r>
    <x v="48"/>
    <s v="Quote #MPS121553 Per Service Ticket #10295789 - UPS Battery Replacement"/>
    <s v="Won"/>
    <d v="2024-01-11T00:00:00"/>
    <n v="0"/>
    <s v="SWNMC3SU-3Y-DIGI"/>
    <s v="APC by Schneider Electric Digital license - UPS Network Management Cards, 3Y Support Contract License, 1 Smart-UPS device, access new features, enhancements and security updates"/>
    <s v="IT/LAN Equipment"/>
    <n v="1"/>
    <n v="0"/>
    <n v="0"/>
    <m/>
    <n v="0"/>
    <m/>
    <m/>
    <n v="182"/>
    <n v="182"/>
    <n v="148.49"/>
    <n v="148.49"/>
    <s v="Kade Thurman"/>
    <n v="0"/>
  </r>
  <r>
    <x v="48"/>
    <s v="Quote #MPS121553 Per Service Ticket #10295789 - UPS Battery Replacement"/>
    <s v="Won"/>
    <d v="2024-01-11T00:00:00"/>
    <n v="0"/>
    <s v="WBEXTWAR3YR-SP-03"/>
    <s v="APC by Schneider Electric Service Pack - Extended Warranty - 3 Year - Warranty - Technical - Physical"/>
    <s v="IT/LAN Equipment"/>
    <n v="1"/>
    <n v="0"/>
    <n v="0"/>
    <m/>
    <n v="0"/>
    <m/>
    <m/>
    <n v="165"/>
    <n v="165"/>
    <n v="134.99"/>
    <n v="134.99"/>
    <s v="Kade Thurman"/>
    <n v="0"/>
  </r>
  <r>
    <x v="49"/>
    <s v="Nimble Support Renewal"/>
    <s v="Won"/>
    <d v="2024-01-31T00:00:00"/>
    <n v="0"/>
    <s v="Q8G62B"/>
    <s v="Nimble Storage 3.84 TB Solid State Drive - Internal - Storage System Device Supported - 24 Pack"/>
    <s v="IT/LAN Equipment"/>
    <n v="1"/>
    <n v="0"/>
    <n v="0"/>
    <m/>
    <n v="0"/>
    <m/>
    <m/>
    <n v="13471"/>
    <n v="13471"/>
    <n v="11045.41"/>
    <n v="11045.41"/>
    <s v="Ron Walker"/>
    <n v="206.17515000000003"/>
  </r>
  <r>
    <x v="49"/>
    <s v="Nimble Support Renewal"/>
    <s v="Won"/>
    <d v="2024-01-31T00:00:00"/>
    <n v="0"/>
    <s v="Q8H41A"/>
    <s v="Nimble Storage AF40 All Flash Dual Controller 10GBASE-T 2-port Configure-to-order Base Array - 48 x SSD Supported - 0 x SSD Installed - 2 x Controller - RAID Supported - 48 x Total Bays - 48 x 2.5&quot; Bay - 10 Gigabit Ethernet - Network (RJ-45) - iSCSI - 4U"/>
    <s v="IT/LAN Equipment"/>
    <n v="1"/>
    <n v="0"/>
    <n v="0"/>
    <m/>
    <n v="0"/>
    <m/>
    <m/>
    <n v="1677"/>
    <n v="1677"/>
    <n v="1374.52"/>
    <n v="1374.52"/>
    <s v="Ron Walker"/>
    <n v="25.710800000000003"/>
  </r>
  <r>
    <x v="49"/>
    <s v="Nimble Support Renewal"/>
    <s v="Won"/>
    <d v="2024-01-31T00:00:00"/>
    <n v="0"/>
    <s v="Q8C17B"/>
    <s v="HPE Computer Accessory Kit"/>
    <s v="IT/LAN Equipment"/>
    <n v="2"/>
    <n v="0"/>
    <n v="0"/>
    <m/>
    <n v="0"/>
    <m/>
    <m/>
    <n v="353"/>
    <n v="706"/>
    <n v="288.87"/>
    <n v="577.74"/>
    <s v="Ron Walker"/>
    <n v="10.902100000000001"/>
  </r>
  <r>
    <x v="49"/>
    <s v="Nimble Support Renewal"/>
    <s v="Won"/>
    <d v="2024-01-31T00:00:00"/>
    <n v="0"/>
    <s v="Q8G61B"/>
    <s v="Nimble Storage 1.92 TB Solid State Drive - Internal - Storage System Device Supported - 24 Pack"/>
    <s v="IT/LAN Equipment"/>
    <n v="1"/>
    <n v="0"/>
    <n v="0"/>
    <m/>
    <n v="0"/>
    <m/>
    <m/>
    <n v="2297"/>
    <n v="2297"/>
    <n v="1883.2"/>
    <n v="1883.2"/>
    <s v="Ron Walker"/>
    <n v="35.173000000000002"/>
  </r>
  <r>
    <x v="49"/>
    <s v="Nimble Support Renewal"/>
    <s v="Won"/>
    <d v="2024-01-31T00:00:00"/>
    <n v="0"/>
    <s v="Q8G62B"/>
    <s v="Nimble Storage 3.84 TB Solid State Drive - Internal - Storage System Device Supported - 24 Pack"/>
    <s v="IT/LAN Equipment"/>
    <n v="1"/>
    <n v="0"/>
    <n v="0"/>
    <m/>
    <n v="0"/>
    <m/>
    <m/>
    <n v="4442"/>
    <n v="4442"/>
    <n v="3642.37"/>
    <n v="3642.37"/>
    <s v="Ron Walker"/>
    <n v="67.968550000000008"/>
  </r>
  <r>
    <x v="49"/>
    <s v="Nimble Support Renewal"/>
    <s v="Won"/>
    <d v="2024-01-31T00:00:00"/>
    <n v="0"/>
    <s v="Q8H41A"/>
    <s v="Nimble Storage AF40 All Flash Dual Controller 10GBASE-T 2-port Configure-to-order Base Array - 48 x SSD Supported - 0 x SSD Installed - 2 x Controller - RAID Supported - 48 x Total Bays - 48 x 2.5&quot; Bay - 10 Gigabit Ethernet - Network (RJ-45) - iSCSI - 4U"/>
    <s v="IT/LAN Equipment"/>
    <n v="1"/>
    <n v="0"/>
    <n v="0"/>
    <m/>
    <n v="0"/>
    <m/>
    <m/>
    <n v="830"/>
    <n v="830"/>
    <n v="680.39"/>
    <n v="680.39"/>
    <s v="Ron Walker"/>
    <n v="12.716850000000003"/>
  </r>
  <r>
    <x v="49"/>
    <s v="Nimble Support Renewal"/>
    <s v="Won"/>
    <d v="2024-01-31T00:00:00"/>
    <n v="0"/>
    <s v="Q8C17B"/>
    <s v="HPE Computer Accessory Kit"/>
    <s v="IT/LAN Equipment"/>
    <n v="2"/>
    <n v="0"/>
    <n v="0"/>
    <m/>
    <n v="0"/>
    <m/>
    <m/>
    <n v="118"/>
    <n v="236"/>
    <n v="96.16"/>
    <n v="192.32"/>
    <s v="Ron Walker"/>
    <n v="3.712800000000001"/>
  </r>
  <r>
    <x v="49"/>
    <s v="Nimble Support Renewal"/>
    <s v="Won"/>
    <d v="2024-01-31T00:00:00"/>
    <n v="0"/>
    <s v="Q8G61B"/>
    <s v="Nimble Storage 1.92 TB Solid State Drive - Internal - Storage System Device Supported - 24 Pack"/>
    <s v="IT/LAN Equipment"/>
    <n v="1"/>
    <n v="0"/>
    <n v="0"/>
    <m/>
    <n v="0"/>
    <m/>
    <m/>
    <n v="772"/>
    <n v="772"/>
    <n v="632.30999999999995"/>
    <n v="632.30999999999995"/>
    <s v="Ron Walker"/>
    <n v="11.873650000000005"/>
  </r>
  <r>
    <x v="49"/>
    <s v="Nimble Support Renewal"/>
    <s v="Won"/>
    <d v="2024-01-31T00:00:00"/>
    <n v="0"/>
    <s v="Q8G62B"/>
    <s v="Nimble Storage 3.84 TB Solid State Drive - Internal - Storage System Device Supported - 24 Pack"/>
    <s v="IT/LAN Equipment"/>
    <n v="1"/>
    <n v="0"/>
    <n v="0"/>
    <m/>
    <n v="0"/>
    <m/>
    <m/>
    <n v="1492"/>
    <n v="1492"/>
    <n v="1223.4100000000001"/>
    <n v="1223.4100000000001"/>
    <s v="Ron Walker"/>
    <n v="22.830149999999996"/>
  </r>
  <r>
    <x v="49"/>
    <s v="Nimble Support Renewal"/>
    <s v="Won"/>
    <d v="2024-01-31T00:00:00"/>
    <n v="0"/>
    <s v="Q8H41A"/>
    <s v="Nimble Storage AF40 All Flash Dual Controller 10GBASE-T 2-port Configure-to-order Base Array - 48 x SSD Supported - 0 x SSD Installed - 2 x Controller - RAID Supported - 48 x Total Bays - 48 x 2.5&quot; Bay - 10 Gigabit Ethernet - Network (RJ-45) - iSCSI - 4U"/>
    <s v="IT/LAN Equipment"/>
    <n v="1"/>
    <n v="0"/>
    <n v="0"/>
    <m/>
    <n v="0"/>
    <m/>
    <m/>
    <n v="5095"/>
    <n v="5095"/>
    <n v="4177.38"/>
    <n v="4177.38"/>
    <s v="Ron Walker"/>
    <n v="77.997699999999995"/>
  </r>
  <r>
    <x v="49"/>
    <s v="Nimble Support Renewal"/>
    <s v="Won"/>
    <d v="2024-01-31T00:00:00"/>
    <n v="0"/>
    <s v="Q8C17B"/>
    <s v="HPE Computer Accessory Kit"/>
    <s v="IT/LAN Equipment"/>
    <n v="2"/>
    <n v="0"/>
    <n v="0"/>
    <m/>
    <n v="0"/>
    <m/>
    <m/>
    <n v="1041"/>
    <n v="2082"/>
    <n v="852.87"/>
    <n v="1705.74"/>
    <s v="Ron Walker"/>
    <n v="31.982100000000003"/>
  </r>
  <r>
    <x v="49"/>
    <s v="Nimble Support Renewal"/>
    <s v="Won"/>
    <d v="2024-01-31T00:00:00"/>
    <n v="0"/>
    <s v="Q8G61B"/>
    <s v="Nimble Storage 1.92 TB Solid State Drive - Internal - Storage System Device Supported - 24 Pack"/>
    <s v="IT/LAN Equipment"/>
    <n v="1"/>
    <n v="0"/>
    <n v="0"/>
    <m/>
    <n v="0"/>
    <m/>
    <m/>
    <n v="6924"/>
    <n v="6924"/>
    <n v="5677.06"/>
    <n v="5677.06"/>
    <s v="Ron Walker"/>
    <n v="105.98989999999998"/>
  </r>
  <r>
    <x v="50"/>
    <s v="Quote #MPS121611 Per Service Ticket #10302906 - Cisco SmartNet Renewal"/>
    <s v="Won"/>
    <d v="2024-01-19T00:00:00"/>
    <n v="0"/>
    <s v="CON-SNT-C920024P"/>
    <s v="C9200-24P-E - Cisco Smart Net Total Care - Extended Service - Service - 8 x 5 x Next Business Day - Exchange - Parts - Physical, Electronic"/>
    <s v="IT/LAN Equipment"/>
    <n v="1"/>
    <n v="0"/>
    <n v="0"/>
    <m/>
    <n v="0"/>
    <m/>
    <m/>
    <n v="155"/>
    <n v="155"/>
    <n v="126.31"/>
    <n v="126.31"/>
    <s v="Lathrop Lougheed"/>
    <n v="2.2951999999999999"/>
  </r>
  <r>
    <x v="50"/>
    <s v="Quote #MPS121611 Per Service Ticket #10302906 - Cisco SmartNet Renewal"/>
    <s v="Won"/>
    <d v="2024-01-19T00:00:00"/>
    <n v="0"/>
    <s v="CON-SNT-C1008FPG"/>
    <s v="C1000-8FP-2G-L - Cisco Smart Net Total Care - Extended Service - Service - 8 x 5 x Next Business Day - Exchange - Parts"/>
    <s v="IT/LAN Equipment"/>
    <n v="2"/>
    <n v="0"/>
    <n v="0"/>
    <m/>
    <n v="0"/>
    <m/>
    <m/>
    <n v="99"/>
    <n v="198"/>
    <n v="81.12"/>
    <n v="162.24"/>
    <s v="Lathrop Lougheed"/>
    <n v="2.8607999999999993"/>
  </r>
  <r>
    <x v="50"/>
    <s v="Quote #MPS121611 Per Service Ticket #10302906 - Cisco SmartNet Renewal"/>
    <s v="Won"/>
    <d v="2024-01-19T00:00:00"/>
    <n v="0"/>
    <s v="CON-SNT-WSC28PCL"/>
    <s v="WS-C2960CX-8PC-L - Cisco SMARTnet - Extended Service - Service - 8 x 5 x Next Business Day - Exchange - Physical"/>
    <s v="IT/LAN Equipment"/>
    <n v="14"/>
    <n v="0"/>
    <n v="0"/>
    <m/>
    <n v="0"/>
    <m/>
    <m/>
    <n v="116"/>
    <n v="1624"/>
    <n v="94.81"/>
    <n v="1327.3400000000001"/>
    <s v="Lathrop Lougheed"/>
    <n v="23.73279999999999"/>
  </r>
  <r>
    <x v="50"/>
    <s v="Quote #MPS121611 Per Service Ticket #10302906 - Cisco SmartNet Renewal"/>
    <s v="Won"/>
    <d v="2024-01-19T00:00:00"/>
    <n v="0"/>
    <s v="CON-SNT-C93004PE"/>
    <s v="C9300-48P-E - Cisco Smart Net Total Care - Service - 8 x 5 x Next Business Day - Exchange - Electronic and Physical"/>
    <s v="IT/LAN Equipment"/>
    <n v="3"/>
    <n v="0"/>
    <n v="0"/>
    <m/>
    <n v="0"/>
    <m/>
    <m/>
    <n v="170"/>
    <n v="510"/>
    <n v="139.04"/>
    <n v="417.12"/>
    <s v="Lathrop Lougheed"/>
    <n v="7.4303999999999997"/>
  </r>
  <r>
    <x v="50"/>
    <s v="Quote #MPS121611 Per Service Ticket #10302906 - Cisco SmartNet Renewal"/>
    <s v="Won"/>
    <d v="2024-01-19T00:00:00"/>
    <n v="0"/>
    <s v="CON-SAS-CSACS4.X"/>
    <s v="CSACSE-4.1-SW-K9 - Cisco Software Application Support (SAS) - 1 Year - Service - 24 x 7 - Maintenance"/>
    <s v="IT/LAN Equipment"/>
    <n v="2"/>
    <n v="0"/>
    <n v="0"/>
    <m/>
    <n v="0"/>
    <m/>
    <m/>
    <n v="1284"/>
    <n v="2568"/>
    <n v="1052.22"/>
    <n v="2104.44"/>
    <s v="Lathrop Lougheed"/>
    <n v="37.084799999999994"/>
  </r>
  <r>
    <x v="50"/>
    <s v="Quote #MPS121611 Per Service Ticket #10302906 - Cisco SmartNet Renewal"/>
    <s v="Won"/>
    <d v="2024-01-19T00:00:00"/>
    <n v="0"/>
    <s v="CON-SNT-W296X48F"/>
    <s v="WS-C2960XR-48FPD-I - Cisco SMARTnet - Extended Service - 1 Year - Service - 8 x 5 x Next Business Day - Maintenance - Parts - Electronic"/>
    <s v="IT/LAN Equipment"/>
    <n v="1"/>
    <n v="0"/>
    <n v="0"/>
    <m/>
    <n v="0"/>
    <m/>
    <m/>
    <n v="879"/>
    <n v="879"/>
    <n v="720.62"/>
    <n v="720.62"/>
    <s v="Lathrop Lougheed"/>
    <n v="12.670400000000001"/>
  </r>
  <r>
    <x v="50"/>
    <s v="Quote #MPS121611 Per Service Ticket #10302906 - Cisco SmartNet Renewal"/>
    <s v="Won"/>
    <d v="2024-01-19T00:00:00"/>
    <n v="0"/>
    <s v="CON-SNT-WS296X48"/>
    <s v="WS-C2960XR-48TS-I - Cisco SMARTnet - Service - 8 x 5 x Next Business Day - Exchange - Physical"/>
    <s v="IT/LAN Equipment"/>
    <n v="2"/>
    <n v="0"/>
    <n v="0"/>
    <m/>
    <n v="0"/>
    <m/>
    <m/>
    <n v="573"/>
    <n v="1146"/>
    <n v="469.22"/>
    <n v="938.44"/>
    <s v="Lathrop Lougheed"/>
    <n v="16.604799999999997"/>
  </r>
  <r>
    <x v="50"/>
    <s v="Quote #MPS121611 Per Service Ticket #10302906 - Cisco SmartNet Renewal"/>
    <s v="Won"/>
    <d v="2024-01-19T00:00:00"/>
    <n v="0"/>
    <s v="CON-SNT-WSC388TE"/>
    <s v="WS-C3850-48T-E - Cisco SMARTnet - Extended Service - Service - 8 x 5 x Next Business Day - Exchange - Physical"/>
    <s v="IT/LAN Equipment"/>
    <n v="2"/>
    <n v="0"/>
    <n v="0"/>
    <m/>
    <n v="0"/>
    <m/>
    <m/>
    <n v="1627"/>
    <n v="3254"/>
    <n v="1333.88"/>
    <n v="2667.76"/>
    <s v="Lathrop Lougheed"/>
    <n v="46.899199999999986"/>
  </r>
  <r>
    <x v="50"/>
    <s v="Quote #MPS121611 Per Service Ticket #10302906 - Cisco SmartNet Renewal"/>
    <s v="Won"/>
    <d v="2024-01-19T00:00:00"/>
    <n v="0"/>
    <s v="CON-SNT-WSC312PC"/>
    <s v="WS-C3560CX-12PC-S - Cisco SMARTnet - Extended Service - Service - 8 x 5 x Next Business Day - Exchange - Physical"/>
    <s v="IT/LAN Equipment"/>
    <n v="1"/>
    <n v="0"/>
    <n v="0"/>
    <m/>
    <n v="0"/>
    <m/>
    <m/>
    <n v="42"/>
    <n v="42"/>
    <n v="34.39"/>
    <n v="34.39"/>
    <s v="Lathrop Lougheed"/>
    <n v="0.60880000000000001"/>
  </r>
  <r>
    <x v="50"/>
    <s v="Quote #MPS121611 Per Service Ticket #10302906 - Cisco SmartNet Renewal"/>
    <s v="Won"/>
    <d v="2024-01-19T00:00:00"/>
    <n v="0"/>
    <s v="CON-SNT-C1008FPG"/>
    <s v="C1000-8FP-2G-L - Cisco Smart Net Total Care - Extended Service - Service - 8 x 5 x Next Business Day - Exchange - Parts"/>
    <s v="IT/LAN Equipment"/>
    <n v="2"/>
    <n v="0"/>
    <n v="0"/>
    <m/>
    <n v="0"/>
    <m/>
    <m/>
    <n v="108"/>
    <n v="216"/>
    <n v="88.01"/>
    <n v="176.02"/>
    <s v="Lathrop Lougheed"/>
    <n v="3.1983999999999995"/>
  </r>
  <r>
    <x v="50"/>
    <s v="Quote #MPS121611 Per Service Ticket #10302906 - Cisco SmartNet Renewal"/>
    <s v="Won"/>
    <d v="2024-01-19T00:00:00"/>
    <n v="0"/>
    <s v="CON-SNT-C20L94XG"/>
    <s v="C9200L-48PXG-4X-E - Cisco Smart Net Total Care - Extended Service - Service - 8 x 5 x Next Business Day - Exchange - Parts - Physical, Electronic"/>
    <s v="IT/LAN Equipment"/>
    <n v="2"/>
    <n v="0"/>
    <n v="0"/>
    <m/>
    <n v="0"/>
    <m/>
    <m/>
    <n v="952"/>
    <n v="1904"/>
    <n v="780"/>
    <n v="1560"/>
    <s v="Lathrop Lougheed"/>
    <n v="27.52"/>
  </r>
  <r>
    <x v="50"/>
    <s v="Quote #MPS121611 Per Service Ticket #10302906 - Cisco SmartNet Renewal"/>
    <s v="Won"/>
    <d v="2024-01-19T00:00:00"/>
    <n v="0"/>
    <s v="CON-SNT-WSC28TCL"/>
    <s v="WS-C2960CX-8TC-L - Cisco SMARTnet - Extended Service - Service - 8 x 5 x Next Business Day - Exchange - Physical"/>
    <s v="IT/LAN Equipment"/>
    <n v="17"/>
    <n v="0"/>
    <n v="0"/>
    <m/>
    <n v="0"/>
    <m/>
    <m/>
    <n v="93"/>
    <n v="1581"/>
    <n v="76.11"/>
    <n v="1293.8699999999999"/>
    <s v="Lathrop Lougheed"/>
    <n v="22.970400000000009"/>
  </r>
  <r>
    <x v="50"/>
    <s v="Quote #MPS121611 Per Service Ticket #10302906 - Cisco SmartNet Renewal"/>
    <s v="Won"/>
    <d v="2024-01-19T00:00:00"/>
    <n v="0"/>
    <s v="CON-SNT-C93002PE"/>
    <s v="C9300-24P-E - Cisco Smart Net Total Care - Service - 8 x 5 x Next Business Day - Exchange - Electronic and Physical"/>
    <s v="IT/LAN Equipment"/>
    <n v="1"/>
    <n v="0"/>
    <n v="0"/>
    <m/>
    <n v="0"/>
    <m/>
    <m/>
    <n v="483"/>
    <n v="483"/>
    <n v="395.55"/>
    <n v="395.55"/>
    <s v="Lathrop Lougheed"/>
    <n v="6.9959999999999996"/>
  </r>
  <r>
    <x v="51"/>
    <s v="MPX LA - Fortigate 80F"/>
    <s v="Won"/>
    <d v="2024-01-02T00:00:00"/>
    <n v="0"/>
    <s v="FC-10-0080F-211-02-12"/>
    <s v="Fortinet FortiCare Premium RMA Courier - Extended Service (Renewal) - 1 Year - Service - 24 x 7 x 4 Hour - Service Depot - Exchange - Parts"/>
    <s v="IT/LAN Equipment"/>
    <n v="1"/>
    <n v="0"/>
    <n v="0"/>
    <m/>
    <n v="0"/>
    <m/>
    <m/>
    <n v="350"/>
    <n v="350"/>
    <n v="280"/>
    <n v="280"/>
    <s v="Brandon Philips"/>
    <n v="0"/>
  </r>
  <r>
    <x v="51"/>
    <s v="MPX LA - Fortigate 80F"/>
    <s v="Won"/>
    <d v="2024-01-02T00:00:00"/>
    <n v="0"/>
    <s v="FC-10-0080F-950-02-12"/>
    <s v="Fortinet FortiCare 80F Bundle - Unified Threat Protection (UTP) (IPS, Advanced Malware Protection, Application Control, URL, DNS &amp; Video Filtering, Antispam Service, and FortiCare Premium) - 1 Year"/>
    <s v="IT/LAN Equipment"/>
    <n v="1"/>
    <n v="0"/>
    <n v="0"/>
    <m/>
    <n v="0"/>
    <m/>
    <m/>
    <n v="1276"/>
    <n v="1276"/>
    <n v="1020.54"/>
    <n v="1020.54"/>
    <s v="Brandon Philips"/>
    <n v="0"/>
  </r>
  <r>
    <x v="52"/>
    <s v="10318607 - Fortinet Renewal 1-Year 24x7 UTM For firewall FG100FTK22016720"/>
    <s v="Won"/>
    <d v="2024-01-23T00:00:00"/>
    <n v="0"/>
    <s v="FC-10-F100F-950-02-12"/>
    <s v="FortiGate-100F 1 Year Unified Threat Protection (UTP) (IPS, Advanced Malware Protection, Application Control, URL, DNS &amp; Video Filtering, Antispam Service, and FortiCare Premium)"/>
    <s v="IT/LAN Equipment"/>
    <n v="1"/>
    <n v="0"/>
    <n v="0"/>
    <m/>
    <n v="0"/>
    <m/>
    <m/>
    <n v="1844"/>
    <n v="1844"/>
    <n v="1512"/>
    <n v="1512"/>
    <s v="Ron Walker"/>
    <n v="28.220000000000002"/>
  </r>
  <r>
    <x v="53"/>
    <s v="MPX LA - Fortigate &amp; FortiSwitch Renewals"/>
    <s v="Won"/>
    <d v="2024-01-02T00:00:00"/>
    <n v="0"/>
    <s v="VMS - FC-10-W0300-247-02-12"/>
    <s v="Fortinet FortiCare Premium 24x7 Support - 1 Year"/>
    <s v="IT/LAN Equipment"/>
    <n v="2"/>
    <n v="0"/>
    <n v="0"/>
    <m/>
    <n v="0"/>
    <m/>
    <m/>
    <n v="118"/>
    <n v="236"/>
    <n v="94.4"/>
    <n v="188.8"/>
    <s v="Brandon Philips"/>
    <n v="0"/>
  </r>
  <r>
    <x v="53"/>
    <s v="MPX LA - Fortigate &amp; FortiSwitch Renewals"/>
    <s v="Won"/>
    <d v="2024-01-02T00:00:00"/>
    <n v="0"/>
    <s v="FC-10-0060F-950-02-12"/>
    <s v="Fortinet FortiGate 60F Unified Threat Protection (UTP) (IPS, Advanced Malware Protection, Application Control, URL, DNS &amp; Video Filtering, Antispam Service, and FortiCare Premium) - 1 Year"/>
    <s v="IT/LAN Equipment"/>
    <n v="1"/>
    <n v="0"/>
    <n v="0"/>
    <m/>
    <n v="0"/>
    <m/>
    <m/>
    <n v="621.6"/>
    <n v="621.6"/>
    <n v="497.28"/>
    <n v="497.28"/>
    <s v="Brandon Philips"/>
    <n v="0"/>
  </r>
  <r>
    <x v="53"/>
    <s v="MPX LA - Fortigate &amp; FortiSwitch Renewals"/>
    <s v="Won"/>
    <d v="2024-01-02T00:00:00"/>
    <n v="0"/>
    <s v="FC-10-W248D-247-02-12"/>
    <s v="Manufacturer support 1YR 24X7 FORTICARE CONTRACT S"/>
    <s v="IT/LAN Equipment"/>
    <n v="1"/>
    <n v="0"/>
    <n v="0"/>
    <m/>
    <n v="0"/>
    <m/>
    <m/>
    <n v="173.4"/>
    <n v="173.4"/>
    <n v="138.72"/>
    <n v="138.72"/>
    <s v="Brandon Philips"/>
    <n v="0"/>
  </r>
  <r>
    <x v="54"/>
    <s v="DII Industries - Remodel Low Voltage and MDF Relocation Bid"/>
    <s v="Won"/>
    <d v="2024-01-26T00:00:00"/>
    <n v="0"/>
    <s v="MPC-3P-CAB"/>
    <s v="Meriplex Partner Cabling"/>
    <s v="IT/LAN Installation"/>
    <n v="1"/>
    <n v="0"/>
    <n v="0"/>
    <m/>
    <n v="0"/>
    <m/>
    <m/>
    <n v="6948"/>
    <n v="6948"/>
    <n v="5905.8"/>
    <n v="5905.8"/>
    <s v="Rick Carlson"/>
    <n v="277.92"/>
  </r>
  <r>
    <x v="55"/>
    <s v="New ESX Server and Switches"/>
    <s v="Won"/>
    <d v="2024-01-17T00:00:00"/>
    <n v="0"/>
    <s v="MS250-48FP-HW"/>
    <s v="Meraki MS250-48FP Ethernet Switch - 48 Ports - Manageable - Gigabit Ethernet, 10 Gigabit Ethernet - 10/100/1000Base-T, 10GBase-X - 3 Layer Supported - Modular - 874 W Power Consumption - Twisted Pair, Optical Fiber - 1U High - Rack-mountable, Desktop - Li"/>
    <s v="IT/LAN Equipment"/>
    <n v="1"/>
    <n v="0"/>
    <n v="0"/>
    <m/>
    <n v="0"/>
    <m/>
    <m/>
    <n v="6588"/>
    <n v="6588"/>
    <n v="5107.58"/>
    <n v="5107.58"/>
    <s v="Ron Walker"/>
    <n v="125.83570000000002"/>
  </r>
  <r>
    <x v="55"/>
    <s v="New ESX Server and Switches"/>
    <s v="Won"/>
    <d v="2024-01-17T00:00:00"/>
    <n v="0"/>
    <s v="5PS7A67536"/>
    <s v="3YR 24X7X4+YDYD SR630 V2 MLIC"/>
    <s v="IT/LAN Equipment"/>
    <n v="1"/>
    <n v="0"/>
    <n v="0"/>
    <m/>
    <n v="0"/>
    <m/>
    <m/>
    <n v="339.84"/>
    <n v="339.84"/>
    <n v="278.67"/>
    <n v="278.67"/>
    <s v="Ron Walker"/>
    <n v="5.199449999999997"/>
  </r>
  <r>
    <x v="55"/>
    <s v="New ESX Server and Switches"/>
    <s v="Won"/>
    <d v="2024-01-17T00:00:00"/>
    <n v="0"/>
    <s v="MA-SFP-10G-SR-AO"/>
    <s v="Add-On 10G Base SR Multi-Mode - For Data Networkin"/>
    <s v="IT/LAN Equipment"/>
    <n v="29"/>
    <n v="0"/>
    <n v="0"/>
    <m/>
    <n v="0"/>
    <m/>
    <m/>
    <n v="212"/>
    <n v="6148"/>
    <n v="180.74"/>
    <n v="5241.46"/>
    <s v="Ron Walker"/>
    <n v="77.055900000000008"/>
  </r>
  <r>
    <x v="55"/>
    <s v="New ESX Server and Switches"/>
    <s v="Won"/>
    <d v="2024-01-17T00:00:00"/>
    <n v="0"/>
    <s v="7Z71TD2000"/>
    <s v="ThinkSystem SR630 V2-3yr Warranty"/>
    <s v="IT/LAN Equipment"/>
    <n v="1"/>
    <n v="0"/>
    <n v="0"/>
    <m/>
    <n v="0"/>
    <m/>
    <m/>
    <n v="6504.71"/>
    <n v="6504.71"/>
    <n v="5333.86"/>
    <n v="5333.86"/>
    <s v="Ron Walker"/>
    <n v="99.522250000000042"/>
  </r>
  <r>
    <x v="55"/>
    <s v="New ESX Server and Switches"/>
    <s v="Won"/>
    <d v="2024-01-17T00:00:00"/>
    <n v="0"/>
    <s v="MS425-32-HW"/>
    <s v="Meraki Cloud-Managed 32 port 10GbE Aggregation Switch with 40GbE Uplinks/Stacking - Manageable - 40 Gigabit Ethernet, 10 Gigabit Ethernet - 40GBase-X, 10GBase-X - 3 Layer Supported - Modular - 136 W Power Consumption - Optical Fiber, Twisted Pair - 1U Hig"/>
    <s v="IT/LAN Equipment"/>
    <n v="1"/>
    <n v="0"/>
    <n v="0"/>
    <m/>
    <n v="0"/>
    <m/>
    <m/>
    <n v="19541"/>
    <n v="19541"/>
    <n v="11367.05"/>
    <n v="11367.05"/>
    <s v="Ron Walker"/>
    <n v="694.78575000000012"/>
  </r>
  <r>
    <x v="55"/>
    <s v="New ESX Server and Switches"/>
    <s v="Won"/>
    <d v="2024-01-17T00:00:00"/>
    <n v="0"/>
    <s v="LIC-MS425-32-5YR"/>
    <s v="Meraki Enterprise + 5 Years Enterprise Support - Subscription License - 1 Switch - 5 Year - Cisco Meraki MS425-32 Cloud Managed Switch - Subscription License 1 Switch - 5 Year License Validation Period"/>
    <s v="IT/LAN Equipment"/>
    <n v="1"/>
    <n v="0"/>
    <n v="0"/>
    <m/>
    <n v="0"/>
    <m/>
    <m/>
    <n v="3845"/>
    <n v="3845"/>
    <n v="2236.65"/>
    <n v="2236.65"/>
    <s v="Ron Walker"/>
    <n v="136.70975000000001"/>
  </r>
  <r>
    <x v="55"/>
    <s v="New ESX Server and Switches"/>
    <s v="Won"/>
    <d v="2024-01-17T00:00:00"/>
    <n v="0"/>
    <s v="LIC-MS250-48FP-5YR"/>
    <s v="Meraki Enterprise + 5 Years Enterprise Support - Subscription License - 1 Switch - 5 Year - Cisco Meraki MS250-48FP Cloud Managed Switch - 48 Ports - Subscription License 1 Switch - 5 Year License Validation Period"/>
    <s v="IT/LAN Equipment"/>
    <n v="1"/>
    <n v="0"/>
    <n v="0"/>
    <m/>
    <n v="0"/>
    <m/>
    <m/>
    <n v="1606"/>
    <n v="1606"/>
    <n v="1133"/>
    <n v="1133"/>
    <s v="Ron Walker"/>
    <n v="40.205000000000005"/>
  </r>
  <r>
    <x v="56"/>
    <s v="SD-WAN Renewal"/>
    <s v="Won"/>
    <d v="2024-01-12T00:00:00"/>
    <n v="-327"/>
    <s v="SP-LTE-CARD-ENH="/>
    <s v="Managed 5G/LTE Modem"/>
    <s v="Connectivity"/>
    <n v="1"/>
    <n v="45"/>
    <n v="0"/>
    <m/>
    <n v="45"/>
    <m/>
    <m/>
    <n v="150"/>
    <n v="150"/>
    <n v="1059.74"/>
    <n v="1059.74"/>
    <s v="Ron Walker"/>
    <n v="6"/>
  </r>
  <r>
    <x v="57"/>
    <s v="Ordering a New Laptop + Dock"/>
    <s v="Won"/>
    <d v="2024-01-15T00:00:00"/>
    <n v="0"/>
    <s v="PC Setup Fee"/>
    <s v="PC Setup Fee"/>
    <s v="IT/LAN Installation"/>
    <n v="1"/>
    <n v="0"/>
    <n v="0"/>
    <m/>
    <n v="0"/>
    <m/>
    <m/>
    <n v="250"/>
    <n v="250"/>
    <n v="0"/>
    <n v="0"/>
    <s v="Lathrop Lougheed"/>
    <n v="10"/>
  </r>
  <r>
    <x v="57"/>
    <s v="Ordering a New Laptop + Dock"/>
    <s v="Won"/>
    <d v="2024-01-15T00:00:00"/>
    <n v="0"/>
    <s v="wd19ds130sap"/>
    <s v="Dell Dock- WD19S 130w Power Delivery - 180w AC"/>
    <s v="IT/LAN Equipment"/>
    <n v="1"/>
    <n v="0"/>
    <n v="0"/>
    <m/>
    <n v="0"/>
    <m/>
    <m/>
    <n v="269.99"/>
    <n v="269.99"/>
    <n v="224.99"/>
    <n v="224.99"/>
    <s v="Lathrop Lougheed"/>
    <n v="3.6"/>
  </r>
  <r>
    <x v="57"/>
    <s v="Ordering a New Laptop + Dock"/>
    <s v="Won"/>
    <d v="2024-01-15T00:00:00"/>
    <n v="0"/>
    <s v="s108l5540usrvp"/>
    <s v="Dell Latitude 5540 - 15.6&quot; Laptop i5, 16GB 512GB 4 year warranty"/>
    <s v="IT/LAN Equipment"/>
    <n v="1"/>
    <n v="0"/>
    <n v="0"/>
    <m/>
    <n v="0"/>
    <m/>
    <m/>
    <n v="1696.14"/>
    <n v="1696.14"/>
    <n v="1413.45"/>
    <n v="1413.45"/>
    <s v="Lathrop Lougheed"/>
    <n v="22.615200000000005"/>
  </r>
  <r>
    <x v="58"/>
    <s v="Switch Refresh Block"/>
    <s v="Won"/>
    <d v="2024-01-12T00:00:00"/>
    <n v="0"/>
    <s v="MPC-BLK-50-100"/>
    <s v="Hourly Support Block (51 - 100 Units)"/>
    <s v="IT/LAN Installation"/>
    <n v="100"/>
    <n v="0"/>
    <n v="0"/>
    <m/>
    <n v="0"/>
    <m/>
    <m/>
    <n v="205"/>
    <n v="20500"/>
    <n v="0"/>
    <n v="0"/>
    <s v="Cynthia Newsom"/>
    <n v="820"/>
  </r>
  <r>
    <x v="59"/>
    <s v="#10376048 - Cascade Health Alliance / Solution Redundant ISP Circuit Implementation"/>
    <s v="Won"/>
    <d v="2024-01-09T00:00:00"/>
    <n v="0"/>
    <s v="MPC-PS-T3"/>
    <s v="Meriplex Tier 3 Engineer Labor"/>
    <s v="IT/LAN Installation"/>
    <n v="6"/>
    <n v="0"/>
    <n v="0"/>
    <m/>
    <n v="0"/>
    <m/>
    <m/>
    <n v="225"/>
    <n v="1350"/>
    <n v="0"/>
    <n v="0"/>
    <s v="Lathrop Lougheed"/>
    <n v="54"/>
  </r>
  <r>
    <x v="59"/>
    <s v="#10376048 - Cascade Health Alliance / Solution Redundant ISP Circuit Implementation"/>
    <s v="Won"/>
    <d v="2024-01-09T00:00:00"/>
    <n v="0"/>
    <s v="MPC-PS-PC"/>
    <s v="Project Coordinator"/>
    <s v="IT/LAN Installation"/>
    <n v="1"/>
    <n v="0"/>
    <n v="0"/>
    <m/>
    <n v="0"/>
    <m/>
    <m/>
    <n v="155"/>
    <n v="155"/>
    <n v="0"/>
    <n v="0"/>
    <s v="Lathrop Lougheed"/>
    <n v="6.2"/>
  </r>
  <r>
    <x v="60"/>
    <s v="(BC) SMA and 25 VPN Users"/>
    <s v="Won"/>
    <d v="2024-01-03T00:00:00"/>
    <n v="0"/>
    <s v="01-SSC-2239"/>
    <s v="SonicWALL SMA 200 24X7 SUPPORT FOR UP TO 50 USERS (3 YR) - 24 x 7 - Maintenance - Labor - Electronic and Physical"/>
    <s v="IT/LAN Equipment"/>
    <n v="1"/>
    <n v="0"/>
    <n v="0"/>
    <m/>
    <n v="0"/>
    <m/>
    <m/>
    <n v="1038"/>
    <n v="1038"/>
    <n v="899.5"/>
    <n v="899.5"/>
    <s v="Andrew Harp"/>
    <n v="11.08"/>
  </r>
  <r>
    <x v="60"/>
    <s v="(BC) SMA and 25 VPN Users"/>
    <s v="Won"/>
    <d v="2024-01-03T00:00:00"/>
    <n v="0"/>
    <s v="MPSSHIP"/>
    <s v="Inbound Shipping"/>
    <s v="IT/LAN Equipment"/>
    <n v="1"/>
    <n v="0"/>
    <n v="0"/>
    <m/>
    <n v="0"/>
    <m/>
    <m/>
    <n v="18"/>
    <n v="18"/>
    <n v="0"/>
    <n v="0"/>
    <s v="Andrew Harp"/>
    <n v="1.44"/>
  </r>
  <r>
    <x v="60"/>
    <s v="(BC) SMA and 25 VPN Users"/>
    <s v="Won"/>
    <d v="2024-01-03T00:00:00"/>
    <n v="0"/>
    <s v="01-SSC-2233"/>
    <s v="SonicWALL SMA 200 ADDITIONAL 10 CONCURRENT USERS - 2 Port - 10/100/1000Base-T - Gigabit Ethernet - RSA, AES (256-bit), MD5, SHA-1, 3DES, SHA-256, SHA-384, ARC4, 3DES (256-bit), 3DES (168-bit) - 2 x RJ-45 - Desktop - TAA Compliant"/>
    <s v="IT/LAN Equipment"/>
    <n v="2"/>
    <n v="0"/>
    <n v="0"/>
    <m/>
    <n v="0"/>
    <m/>
    <m/>
    <n v="435"/>
    <n v="870"/>
    <n v="332.5"/>
    <n v="665"/>
    <s v="Andrew Harp"/>
    <n v="16.399999999999999"/>
  </r>
  <r>
    <x v="60"/>
    <s v="(BC) SMA and 25 VPN Users"/>
    <s v="Won"/>
    <d v="2024-01-03T00:00:00"/>
    <n v="0"/>
    <s v="02-SSC-2800"/>
    <s v="SonicWall SMA 210 Network Security/Firewall Appliance - 2 Port - 10/100/1000Base-T - Gigabit Ethernet - 2 x RJ-45 - 1U - Rack-mountable - TAA Compliant"/>
    <s v="IT/LAN Equipment"/>
    <n v="1"/>
    <n v="0"/>
    <n v="0"/>
    <m/>
    <n v="0"/>
    <m/>
    <m/>
    <n v="1323"/>
    <n v="1323"/>
    <n v="1162"/>
    <n v="1162"/>
    <s v="Andrew Harp"/>
    <n v="12.88"/>
  </r>
  <r>
    <x v="61"/>
    <s v="(BF) Adobe Illustrator license"/>
    <s v="Won"/>
    <d v="2024-01-02T00:00:00"/>
    <n v="0"/>
    <s v="65304053BA02C12"/>
    <s v="1MO SUB ILLUSTRATOR TEAMS ALL LICS MPLAT L2 10-49"/>
    <s v="NRR - Agent Income"/>
    <n v="1"/>
    <n v="0"/>
    <n v="0"/>
    <m/>
    <n v="0"/>
    <m/>
    <m/>
    <n v="36.659999999999997"/>
    <n v="36.659999999999997"/>
    <n v="35.78"/>
    <n v="35.78"/>
    <s v="Andrew Harp"/>
    <n v="7.0399999999999643E-2"/>
  </r>
  <r>
    <x v="62"/>
    <s v="Meraki Licenses - 9395432"/>
    <s v="Won"/>
    <d v="2024-01-04T00:00:00"/>
    <n v="0"/>
    <s v="LIC-ENT-1YR"/>
    <s v="Meraki MR Enterprise Cloud Controller License, 1 Year - Meraki MR Series Access Point - Subscription License 1 Access Point - 1 Year License Validation Period"/>
    <s v="IT/LAN Equipment"/>
    <n v="4"/>
    <n v="0"/>
    <n v="0"/>
    <m/>
    <n v="0"/>
    <m/>
    <m/>
    <n v="126.44"/>
    <n v="505.76"/>
    <n v="105.37"/>
    <n v="421.48"/>
    <s v="Lathrop Lougheed"/>
    <n v="6.7423999999999982"/>
  </r>
  <r>
    <x v="63"/>
    <s v="Advanced Security Services"/>
    <s v="Won"/>
    <d v="2024-01-12T00:00:00"/>
    <n v="1368"/>
    <s v="SEC-ES-MSEDRG="/>
    <s v="Meriplex MSSP Gold Endpoint Protection"/>
    <s v="Managed Security Services"/>
    <n v="54"/>
    <n v="10.5"/>
    <n v="4.5"/>
    <m/>
    <n v="567"/>
    <m/>
    <m/>
    <n v="15.25"/>
    <n v="823.5"/>
    <n v="0"/>
    <n v="0"/>
    <s v="Jonathan DeFez"/>
    <n v="32.94"/>
  </r>
  <r>
    <x v="64"/>
    <s v="MSP Renewal Agreement"/>
    <s v="Won"/>
    <d v="2024-01-03T00:00:00"/>
    <n v="-2511.8000000000002"/>
    <s v="SEC-ES-MSEDRG="/>
    <s v="Meriplex MSSP Gold Endpoint Protection"/>
    <s v="Managed Security Services"/>
    <n v="12"/>
    <n v="10.5"/>
    <n v="4.5"/>
    <m/>
    <n v="126"/>
    <m/>
    <m/>
    <n v="15.25"/>
    <n v="183"/>
    <n v="0"/>
    <n v="0"/>
    <s v="Jonathan DeFez"/>
    <n v="7.32"/>
  </r>
  <r>
    <x v="64"/>
    <s v="MSP Renewal Agreement"/>
    <s v="Won"/>
    <d v="2024-01-03T00:00:00"/>
    <n v="-2511.8000000000002"/>
    <s v="SEC-WMON-DWID="/>
    <s v="Dark Web Reporting Tool"/>
    <s v="Managed Security Services"/>
    <n v="1"/>
    <n v="300"/>
    <n v="15"/>
    <m/>
    <n v="300"/>
    <m/>
    <m/>
    <n v="300"/>
    <n v="300"/>
    <n v="0"/>
    <n v="0"/>
    <s v="Jonathan DeFez"/>
    <n v="12"/>
  </r>
  <r>
    <x v="65"/>
    <s v="Ticket #10379533 - Wendi Eden / Provide quote for replacement switch for Yuba City"/>
    <s v="Won"/>
    <d v="2024-01-09T00:00:00"/>
    <n v="0"/>
    <s v="USW-48-POE"/>
    <s v="Ubiquiti UniFi Ethernet Switch - 48 Ports - Manageable - 2 Layer Supported - Modular - 4 SFP Slots - 45 W Power Consumption - 195 W PoE Budget - Twisted Pair, Optical Fiber - PoE Ports - 1U High - Rack-mountable, Desktop - 1 Year Limited Warran"/>
    <s v="IT/LAN Equipment"/>
    <n v="1"/>
    <n v="0"/>
    <n v="0"/>
    <m/>
    <n v="0"/>
    <m/>
    <m/>
    <n v="677"/>
    <n v="677"/>
    <n v="554.65"/>
    <n v="554.65"/>
    <s v="Lathrop Lougheed"/>
    <n v="9.788000000000002"/>
  </r>
  <r>
    <x v="66"/>
    <s v="Lenovo ThinkPad X1 Yoga Charger Cord"/>
    <s v="Won"/>
    <d v="2024-01-15T00:00:00"/>
    <n v="0"/>
    <s v="4X20M26268"/>
    <s v="Lenovo AC Adapter - 65 W - United States - 120 V AC, 230 V AC Input - 5 V DC/3.25 A, 9 V DC, 15 V DC, 20 V DC Output"/>
    <s v="IT/LAN Equipment"/>
    <n v="1"/>
    <n v="0"/>
    <n v="0"/>
    <m/>
    <n v="0"/>
    <m/>
    <m/>
    <n v="61"/>
    <n v="61"/>
    <n v="49.89"/>
    <n v="49.89"/>
    <s v="Jonathan DeFez"/>
    <n v="0.88879999999999992"/>
  </r>
  <r>
    <x v="67"/>
    <s v="APC Replacement Battery"/>
    <s v="Won"/>
    <d v="2024-01-04T00:00:00"/>
    <n v="0"/>
    <s v="MPC-PS-T2"/>
    <s v="Advanced Technical Services - Technology Consulting"/>
    <s v="IT/LAN Installation"/>
    <n v="4"/>
    <n v="0"/>
    <n v="0"/>
    <m/>
    <n v="0"/>
    <m/>
    <m/>
    <n v="195"/>
    <n v="780"/>
    <n v="0"/>
    <n v="0"/>
    <s v="Kade Thurman"/>
    <n v="0"/>
  </r>
  <r>
    <x v="67"/>
    <s v="APC Replacement Battery"/>
    <s v="Won"/>
    <d v="2024-01-04T00:00:00"/>
    <n v="0"/>
    <s v="APCRBC140"/>
    <s v="APC by Schneider Electric Replacement Battery cartridge #140 - 192 V DC - Lead Acid - 3 Year Minimum Battery Life - 5 Year Maximum Battery Life"/>
    <s v="IT/LAN Equipment"/>
    <n v="2"/>
    <n v="0"/>
    <n v="0"/>
    <m/>
    <n v="0"/>
    <m/>
    <m/>
    <n v="622.89"/>
    <n v="1245.78"/>
    <n v="603.09"/>
    <n v="1206.18"/>
    <s v="Kade Thurman"/>
    <n v="0"/>
  </r>
  <r>
    <x v="68"/>
    <s v="Compliance Services"/>
    <s v="Won"/>
    <d v="2024-01-10T00:00:00"/>
    <n v="450"/>
    <s v="MPC-PS-T3"/>
    <s v="Meriplex Tier 3 Engineer Labor"/>
    <s v="IT/LAN Installation"/>
    <n v="24"/>
    <n v="0"/>
    <n v="0"/>
    <m/>
    <n v="0"/>
    <m/>
    <m/>
    <n v="240"/>
    <n v="5760"/>
    <n v="0"/>
    <n v="0"/>
    <s v="Lathrop Lougheed"/>
    <n v="230.4"/>
  </r>
  <r>
    <x v="68"/>
    <s v="Compliance Services"/>
    <s v="Won"/>
    <d v="2024-01-10T00:00:00"/>
    <n v="450"/>
    <s v="MPC-PS-PM"/>
    <s v="Project Management"/>
    <s v="IT/LAN Installation"/>
    <n v="6"/>
    <n v="0"/>
    <n v="0"/>
    <m/>
    <n v="0"/>
    <m/>
    <m/>
    <n v="275"/>
    <n v="1650"/>
    <n v="0"/>
    <n v="0"/>
    <s v="Lathrop Lougheed"/>
    <n v="66"/>
  </r>
  <r>
    <x v="69"/>
    <s v="#10308500 - T20231016.0227 - Solution Upgrade/Replacement of RSN-DC1"/>
    <s v="Won"/>
    <d v="2024-01-12T00:00:00"/>
    <n v="0"/>
    <s v="MPC-PS-PM"/>
    <s v="Project Management"/>
    <s v="IT/LAN Installation"/>
    <n v="10"/>
    <n v="0"/>
    <n v="0"/>
    <m/>
    <n v="0"/>
    <m/>
    <m/>
    <n v="150"/>
    <n v="1500"/>
    <n v="0"/>
    <n v="0"/>
    <s v="Lathrop Lougheed"/>
    <n v="60"/>
  </r>
  <r>
    <x v="69"/>
    <s v="#10308500 - T20231016.0227 - Solution Upgrade/Replacement of RSN-DC1"/>
    <s v="Won"/>
    <d v="2024-01-12T00:00:00"/>
    <n v="0"/>
    <s v="MPC-PS-T3"/>
    <s v="Meriplex Tier 3 Engineer Labor"/>
    <s v="IT/LAN Installation"/>
    <n v="40"/>
    <n v="0"/>
    <n v="0"/>
    <m/>
    <n v="0"/>
    <m/>
    <m/>
    <n v="150"/>
    <n v="6000"/>
    <n v="0"/>
    <n v="0"/>
    <s v="Lathrop Lougheed"/>
    <n v="240"/>
  </r>
  <r>
    <x v="69"/>
    <s v="#10308500 - T20231016.0227 - Solution Upgrade/Replacement of RSN-DC1"/>
    <s v="Won"/>
    <d v="2024-01-12T00:00:00"/>
    <n v="0"/>
    <s v="MPC-PS-T1"/>
    <s v="Meriplex Tier 1 Technician Labor for Day Zero Support"/>
    <s v="IT/LAN Installation"/>
    <n v="6"/>
    <n v="0"/>
    <n v="0"/>
    <m/>
    <n v="0"/>
    <m/>
    <m/>
    <n v="120"/>
    <n v="720"/>
    <n v="0"/>
    <n v="0"/>
    <s v="Lathrop Lougheed"/>
    <n v="28.8"/>
  </r>
  <r>
    <x v="70"/>
    <s v="UPS Eaton Power Backups"/>
    <s v="Won"/>
    <d v="2024-01-09T00:00:00"/>
    <n v="0"/>
    <s v="MPC-PS-T3"/>
    <s v="Meriplex Tier 3 Engineer Labor"/>
    <s v="IT/LAN Installation"/>
    <n v="1"/>
    <n v="0"/>
    <n v="0"/>
    <m/>
    <n v="0"/>
    <m/>
    <m/>
    <n v="240"/>
    <n v="240"/>
    <n v="0"/>
    <n v="0"/>
    <s v="Jonathan DeFez"/>
    <n v="9.6"/>
  </r>
  <r>
    <x v="70"/>
    <s v="UPS Eaton Power Backups"/>
    <s v="Won"/>
    <d v="2024-01-09T00:00:00"/>
    <n v="0"/>
    <s v="SMART1500LCD"/>
    <s v="Tripp Lite UPS Smart LCD 1500VA 900W 120V Line-Interactive UPS - 8 Outlets USB DB9 2U Rack/Tower - 2U Rack/Tower - 8 Hour Recharge - 3.50 Minute Stand-by - 110 V AC Input - 120 V AC, 120 V AC Output - 8 x NEMA 5-15R"/>
    <s v="IT/LAN Equipment"/>
    <n v="2"/>
    <n v="0"/>
    <n v="0"/>
    <m/>
    <n v="0"/>
    <m/>
    <m/>
    <n v="348"/>
    <n v="696"/>
    <n v="283.44"/>
    <n v="566.88"/>
    <s v="Jonathan DeFez"/>
    <n v="10.329600000000001"/>
  </r>
  <r>
    <x v="71"/>
    <s v="10390110 - Meriplex Managed Service Plan - Cloud Option"/>
    <s v="Won"/>
    <d v="2024-01-19T00:00:00"/>
    <n v="9153.5400000000009"/>
    <s v="SEC-ES-MSEDRG="/>
    <s v="Meriplex MSSP Gold Endpoint Protection"/>
    <s v="Managed Security Services"/>
    <n v="75"/>
    <n v="9.5"/>
    <n v="4.5"/>
    <m/>
    <n v="712.5"/>
    <m/>
    <m/>
    <n v="15.75"/>
    <n v="1181.25"/>
    <n v="0"/>
    <n v="0"/>
    <s v="Gary Veselka"/>
    <n v="47.25"/>
  </r>
  <r>
    <x v="71"/>
    <s v="10390110 - Meriplex Managed Service Plan - Cloud Option"/>
    <s v="Won"/>
    <d v="2024-01-19T00:00:00"/>
    <n v="9153.5400000000009"/>
    <s v="SEC-WMON-DWID="/>
    <s v="Dark Web Reporting Tool"/>
    <s v="Managed Security Services"/>
    <n v="1"/>
    <n v="300"/>
    <n v="15"/>
    <m/>
    <n v="300"/>
    <m/>
    <m/>
    <n v="300"/>
    <n v="300"/>
    <n v="0"/>
    <n v="0"/>
    <s v="Gary Veselka"/>
    <n v="12"/>
  </r>
  <r>
    <x v="71"/>
    <s v="10390110 - Meriplex Managed Service Plan - Cloud Option"/>
    <s v="Won"/>
    <d v="2024-01-19T00:00:00"/>
    <n v="9153.5400000000009"/>
    <s v="MPC-TAM-STA="/>
    <s v="Meriplex Senior Technical Advisor"/>
    <s v="Managed Services"/>
    <n v="1"/>
    <n v="625"/>
    <n v="0"/>
    <m/>
    <n v="625"/>
    <m/>
    <m/>
    <n v="315"/>
    <n v="315"/>
    <n v="0"/>
    <n v="0"/>
    <s v="Gary Veselka"/>
    <n v="12.6"/>
  </r>
  <r>
    <x v="71"/>
    <s v="10390110 - Meriplex Managed Service Plan - Cloud Option"/>
    <s v="Won"/>
    <d v="2024-01-19T00:00:00"/>
    <n v="9153.5400000000009"/>
    <s v="MPC-PS-MSP-OBT"/>
    <s v="Onboarding and Training"/>
    <s v="Managed Services"/>
    <n v="2"/>
    <n v="0"/>
    <n v="0"/>
    <m/>
    <n v="0"/>
    <m/>
    <m/>
    <n v="3000"/>
    <n v="6000"/>
    <n v="0"/>
    <n v="0"/>
    <s v="Gary Veselka"/>
    <n v="240"/>
  </r>
  <r>
    <x v="71"/>
    <s v="10390110 - Meriplex Managed Service Plan - Cloud Option"/>
    <s v="Won"/>
    <d v="2024-01-19T00:00:00"/>
    <n v="9153.5400000000009"/>
    <s v="DISC-SETUP-CUST"/>
    <s v="Customer Courtesy Discount"/>
    <s v="IT/LAN Installation"/>
    <n v="1"/>
    <n v="0"/>
    <n v="0"/>
    <m/>
    <n v="0"/>
    <m/>
    <m/>
    <n v="-7796.25"/>
    <n v="-7796.25"/>
    <n v="0"/>
    <n v="0"/>
    <s v="Gary Veselka"/>
    <n v="-311.85000000000002"/>
  </r>
  <r>
    <x v="72"/>
    <s v="Quote #MPS121986 Per Service Ticket # 10387794 - 4K Laptop for Alex Casdin"/>
    <s v="Won"/>
    <d v="2024-01-03T00:00:00"/>
    <n v="0"/>
    <s v="MPC-PS-T2"/>
    <s v="PC Migration or Installation Services"/>
    <s v="IT/LAN Installation"/>
    <n v="1"/>
    <n v="0"/>
    <n v="0"/>
    <m/>
    <n v="0"/>
    <m/>
    <m/>
    <n v="200"/>
    <n v="200"/>
    <n v="0"/>
    <n v="0"/>
    <s v="Kade Thurman"/>
    <n v="0"/>
  </r>
  <r>
    <x v="72"/>
    <s v="Quote #MPS121986 Per Service Ticket # 10387794 - 4K Laptop for Alex Casdin"/>
    <s v="Won"/>
    <d v="2024-01-03T00:00:00"/>
    <n v="0"/>
    <s v="XPS1797304K"/>
    <s v="Dell XPS 17 - i9, 32GB RAM, 1 TB SSD, NVIDIA RTX 4070 w/ 8GB, 17 in. UHD+ (3840 x 2400)"/>
    <s v="IT/LAN Equipment"/>
    <n v="1"/>
    <n v="0"/>
    <n v="0"/>
    <m/>
    <n v="0"/>
    <m/>
    <m/>
    <n v="3548.25"/>
    <n v="3548.25"/>
    <n v="3370.84"/>
    <n v="3370.84"/>
    <s v="Kade Thurman"/>
    <n v="0"/>
  </r>
  <r>
    <x v="73"/>
    <s v="SaaS Protection Implementation"/>
    <s v="Won"/>
    <d v="2024-01-26T00:00:00"/>
    <n v="425"/>
    <s v="MPC-PS-T3"/>
    <s v="Meriplex Tier 3 Engineer Labor"/>
    <s v="IT/LAN Installation"/>
    <n v="3"/>
    <n v="0"/>
    <n v="0"/>
    <m/>
    <n v="0"/>
    <m/>
    <m/>
    <n v="180"/>
    <n v="540"/>
    <n v="0"/>
    <n v="0"/>
    <s v="Lathrop Lougheed"/>
    <n v="21.6"/>
  </r>
  <r>
    <x v="73"/>
    <s v="SaaS Protection Implementation"/>
    <s v="Won"/>
    <d v="2024-01-26T00:00:00"/>
    <n v="425"/>
    <s v="MPC-PS-PM"/>
    <s v="Project Management"/>
    <s v="IT/LAN Installation"/>
    <n v="1"/>
    <n v="0"/>
    <n v="0"/>
    <m/>
    <n v="0"/>
    <m/>
    <m/>
    <n v="210"/>
    <n v="210"/>
    <n v="0"/>
    <n v="0"/>
    <s v="Lathrop Lougheed"/>
    <n v="8.4"/>
  </r>
  <r>
    <x v="74"/>
    <s v="#10311030 - T20220907.0090 - Proactive / Propose server replacement"/>
    <s v="Won"/>
    <d v="2024-01-11T00:00:00"/>
    <n v="0"/>
    <s v="MPC-PS-PM"/>
    <s v="Project Management"/>
    <s v="IT/LAN Installation"/>
    <n v="23"/>
    <n v="0"/>
    <n v="0"/>
    <m/>
    <n v="0"/>
    <m/>
    <m/>
    <n v="150"/>
    <n v="3450"/>
    <n v="0"/>
    <n v="0"/>
    <s v="Lathrop Lougheed"/>
    <n v="138"/>
  </r>
  <r>
    <x v="74"/>
    <s v="#10311030 - T20220907.0090 - Proactive / Propose server replacement"/>
    <s v="Won"/>
    <d v="2024-01-11T00:00:00"/>
    <n v="0"/>
    <s v="MPC-PS-T3"/>
    <s v="Meriplex Tier 3 Engineer Labor"/>
    <s v="IT/LAN Installation"/>
    <n v="95"/>
    <n v="0"/>
    <n v="0"/>
    <m/>
    <n v="0"/>
    <m/>
    <m/>
    <n v="150"/>
    <n v="14250"/>
    <n v="0"/>
    <n v="0"/>
    <s v="Lathrop Lougheed"/>
    <n v="570"/>
  </r>
  <r>
    <x v="75"/>
    <s v="CCOE-Firewall replacement"/>
    <s v="Won"/>
    <d v="2024-01-17T00:00:00"/>
    <n v="0"/>
    <s v="MPC-PS-PM"/>
    <s v="Project Management"/>
    <s v="IT/LAN Installation"/>
    <n v="4"/>
    <n v="0"/>
    <n v="0"/>
    <m/>
    <n v="0"/>
    <m/>
    <m/>
    <n v="275"/>
    <n v="1100"/>
    <n v="0"/>
    <n v="0"/>
    <s v="Michael True"/>
    <n v="44"/>
  </r>
  <r>
    <x v="75"/>
    <s v="CCOE-Firewall replacement"/>
    <s v="Won"/>
    <d v="2024-01-17T00:00:00"/>
    <n v="0"/>
    <s v="MPC-PS-T3"/>
    <s v="Meriplex Tier 3 Engineer Labor"/>
    <s v="IT/LAN Installation"/>
    <n v="12"/>
    <n v="0"/>
    <n v="0"/>
    <m/>
    <n v="0"/>
    <m/>
    <m/>
    <n v="240"/>
    <n v="2880"/>
    <n v="0"/>
    <n v="0"/>
    <s v="Michael True"/>
    <n v="115.2"/>
  </r>
  <r>
    <x v="75"/>
    <s v="CCOE-Firewall replacement"/>
    <s v="Won"/>
    <d v="2024-01-17T00:00:00"/>
    <n v="0"/>
    <s v="FG-61F-BDL-950-36"/>
    <s v="Fortinet FG-61F Network Security/Firewall Appliance - 10 Port - 10/100/1000Base-T - Gigabit Ethernet - 200 VPN - 10 x RJ-45 - Desktop"/>
    <s v="IT/LAN Equipment"/>
    <n v="1"/>
    <n v="0"/>
    <n v="0"/>
    <m/>
    <n v="0"/>
    <m/>
    <m/>
    <n v="1948"/>
    <n v="1948"/>
    <n v="1596.61"/>
    <n v="1596.61"/>
    <s v="Michael True"/>
    <n v="29.868150000000011"/>
  </r>
  <r>
    <x v="76"/>
    <s v="#10393065 - Christmas Valley Clinic Setup"/>
    <s v="Won"/>
    <d v="2024-01-10T00:00:00"/>
    <n v="0"/>
    <s v="VF78N"/>
    <s v="Dell OptiPlex 7000 7410 All-in-One Computer - Intel Core i5 13th Gen i5-13500T Tetradeca-core (14 Core) 1.60 GHz - 8 GB RAM DDR4 SDRAM - 256 GB M.2 PCI Express NVMe SSD - 23.8&quot; Full HD 1920 x 1080 - Desktop - Dark Gray - Intel Chip - Windows 11 Pro - Inte"/>
    <s v="IT/LAN Equipment"/>
    <n v="5"/>
    <n v="0"/>
    <n v="0"/>
    <m/>
    <n v="0"/>
    <m/>
    <m/>
    <n v="988"/>
    <n v="4940"/>
    <n v="809.81"/>
    <n v="4049.0499999999997"/>
    <s v="Lathrop Lougheed"/>
    <n v="71.276000000000025"/>
  </r>
  <r>
    <x v="76"/>
    <s v="#10393065 - Christmas Valley Clinic Setup"/>
    <s v="Won"/>
    <d v="2024-01-10T00:00:00"/>
    <n v="0"/>
    <s v="2Z619F#BGJ"/>
    <s v="HP LaserJet Pro 4101fdw Wireless Laser Multifunction Printer - Monochrome - Copier/Fax/Printer/Scanner - 42 ppm Mono Print - 4800 x 600 dpi Print - Automatic Duplex Print - Up to 80000 Pages Monthly - Color Flatbed Scanner - 1200 dpi Optical Scan - Monoch"/>
    <s v="IT/LAN Equipment"/>
    <n v="1"/>
    <n v="0"/>
    <n v="0"/>
    <m/>
    <n v="0"/>
    <m/>
    <m/>
    <n v="344"/>
    <n v="344"/>
    <n v="499.52"/>
    <n v="499.52"/>
    <s v="Lathrop Lougheed"/>
    <n v="-12.441599999999999"/>
  </r>
  <r>
    <x v="76"/>
    <s v="#10393065 - Christmas Valley Clinic Setup"/>
    <s v="Won"/>
    <d v="2024-01-10T00:00:00"/>
    <n v="0"/>
    <s v="U6-LR-US"/>
    <s v="Ubiquiti UniFi 6 802.11ax 2.93 Gbit/s Wireless Access Point - 2.40 GHz, 5 GHz - MIMO Technology - 1 x Network (RJ-45) - Gigabit Ethernet - Bluetooth 5 - 16.50 W - Wall Mountable, Ceiling Mountable"/>
    <s v="IT/LAN Equipment"/>
    <n v="2"/>
    <n v="0"/>
    <n v="0"/>
    <m/>
    <n v="0"/>
    <m/>
    <m/>
    <n v="216"/>
    <n v="432"/>
    <n v="176.74"/>
    <n v="353.48"/>
    <s v="Lathrop Lougheed"/>
    <n v="6.2815999999999983"/>
  </r>
  <r>
    <x v="76"/>
    <s v="#10393065 - Christmas Valley Clinic Setup"/>
    <s v="Won"/>
    <d v="2024-01-10T00:00:00"/>
    <n v="0"/>
    <s v="2Z601F#BGJ"/>
    <s v="HP LaserJet Pro 4001 4001dw Desktop Wireless Laser Printer - Monochrome - 63 ppm Mono - 4800 x 600 dpi Print - Automatic Duplex Print - 350 Sheets Input - Ethernet - Wireless LAN - HP Smart App, Apple AirPrint, Mopria - 80000 Pages Duty Cycle - Plain Pape"/>
    <s v="IT/LAN Equipment"/>
    <n v="1"/>
    <n v="0"/>
    <n v="0"/>
    <m/>
    <n v="0"/>
    <m/>
    <m/>
    <n v="468"/>
    <n v="468"/>
    <n v="383.71"/>
    <n v="383.71"/>
    <s v="Lathrop Lougheed"/>
    <n v="6.7432000000000016"/>
  </r>
  <r>
    <x v="76"/>
    <s v="#10393065 - Christmas Valley Clinic Setup"/>
    <s v="Won"/>
    <d v="2024-01-10T00:00:00"/>
    <n v="0"/>
    <s v="DELL-E2423HN"/>
    <s v="Dell E2423HN 24&quot; Class Full HD LCD Monitor - 16:9 - Black - 23.8&quot; Viewable - Vertical Alignment (VA) - LED Backlight - 1920 x 1080 - 16.7 Million Colors - 250 Nit - 5 ms - 60 Hz Refresh Rate - HDMI - VGA"/>
    <s v="IT/LAN Equipment"/>
    <n v="10"/>
    <n v="0"/>
    <n v="0"/>
    <m/>
    <n v="0"/>
    <m/>
    <m/>
    <n v="155"/>
    <n v="1550"/>
    <n v="126.38"/>
    <n v="1263.8"/>
    <s v="Lathrop Lougheed"/>
    <n v="22.896000000000004"/>
  </r>
  <r>
    <x v="76"/>
    <s v="#10393065 - Christmas Valley Clinic Setup"/>
    <s v="Won"/>
    <d v="2024-01-10T00:00:00"/>
    <n v="0"/>
    <s v="MPC-PS-T2"/>
    <s v="Meriplex Tier 2 Technician Labor"/>
    <s v="IT/LAN Installation"/>
    <n v="26"/>
    <n v="0"/>
    <n v="0"/>
    <m/>
    <n v="0"/>
    <m/>
    <m/>
    <n v="120"/>
    <n v="3120"/>
    <n v="0"/>
    <n v="0"/>
    <s v="Lathrop Lougheed"/>
    <n v="124.8"/>
  </r>
  <r>
    <x v="76"/>
    <s v="#10393065 - Christmas Valley Clinic Setup"/>
    <s v="Won"/>
    <d v="2024-01-10T00:00:00"/>
    <n v="0"/>
    <s v="89B69AA#ABA"/>
    <s v="Poly VVX 350 IP Phone - Corded - Corded - Desktop, Wall Mountable - Black - VoIP - 2 x Network (RJ-45) - PoE Ports"/>
    <s v="IT/LAN Equipment"/>
    <n v="6"/>
    <n v="0"/>
    <n v="0"/>
    <m/>
    <n v="0"/>
    <m/>
    <m/>
    <n v="172"/>
    <n v="1032"/>
    <n v="188.38"/>
    <n v="1130.28"/>
    <s v="Lathrop Lougheed"/>
    <n v="-7.8623999999999983"/>
  </r>
  <r>
    <x v="76"/>
    <s v="#10393065 - Christmas Valley Clinic Setup"/>
    <s v="Won"/>
    <d v="2024-01-10T00:00:00"/>
    <n v="0"/>
    <s v="02-SSC-6821"/>
    <s v="SonicWall TZ370 Network Security/Firewall Appliance - 8 Port - 10/100/1000Base-T - Gigabit Ethernet - DES, 3DES, MD5, SHA-1, AES (128-bit), AES (192-bit), AES (256-bit) - 8 x RJ-45 - 3 Year Secure Upgrade Plus Advanced Edition - Desktop, Rack-mountable -"/>
    <s v="Physical Security"/>
    <n v="1"/>
    <n v="0"/>
    <n v="0"/>
    <m/>
    <n v="0"/>
    <m/>
    <m/>
    <n v="1836.47"/>
    <n v="1836.47"/>
    <n v="1761.7"/>
    <n v="1761.7"/>
    <s v="Lathrop Lougheed"/>
    <n v="5.9815999999999985"/>
  </r>
  <r>
    <x v="76"/>
    <s v="#10393065 - Christmas Valley Clinic Setup"/>
    <s v="Won"/>
    <d v="2024-01-10T00:00:00"/>
    <n v="0"/>
    <s v="02-SSC-3113"/>
    <s v="SonicWall Rack Mount for Firewall - TAA Compliant"/>
    <s v="IT/LAN Equipment"/>
    <n v="1"/>
    <n v="0"/>
    <n v="0"/>
    <m/>
    <n v="0"/>
    <m/>
    <m/>
    <n v="160.59"/>
    <n v="160.59"/>
    <n v="154.05000000000001"/>
    <n v="154.05000000000001"/>
    <s v="Lathrop Lougheed"/>
    <n v="0.52319999999999933"/>
  </r>
  <r>
    <x v="76"/>
    <s v="#10393065 - Christmas Valley Clinic Setup"/>
    <s v="Won"/>
    <d v="2024-01-10T00:00:00"/>
    <n v="0"/>
    <s v="GGJ1G"/>
    <s v="Dell OptiPlex 7000 7010 Desktop Computer - Intel Core i5 13th Gen i5-13500 Tetradeca-core (14 Core) 2.50 GHz - 8 GB RAM DDR4 SDRAM - 256 GB M.2 PCI Express NVMe SSD Touchscreen Display - Small Form Factor - Black - Intel Chip - Windows 11 Pro - Intel UHD"/>
    <s v="IT/LAN Equipment"/>
    <n v="5"/>
    <n v="0"/>
    <n v="0"/>
    <m/>
    <n v="0"/>
    <m/>
    <m/>
    <n v="895"/>
    <n v="4475"/>
    <n v="733.6"/>
    <n v="3668"/>
    <s v="Lathrop Lougheed"/>
    <n v="64.56"/>
  </r>
  <r>
    <x v="76"/>
    <s v="#10393065 - Christmas Valley Clinic Setup"/>
    <s v="Won"/>
    <d v="2024-01-10T00:00:00"/>
    <n v="0"/>
    <s v="KM7120W-GY-US"/>
    <s v="Dell KM7120W Keyboard &amp; Mouse - Wireless - Wireless Mouse"/>
    <s v="IT/LAN Equipment"/>
    <n v="10"/>
    <n v="0"/>
    <n v="0"/>
    <m/>
    <n v="0"/>
    <m/>
    <m/>
    <n v="88"/>
    <n v="880"/>
    <n v="71.42"/>
    <n v="714.2"/>
    <s v="Lathrop Lougheed"/>
    <n v="13.263999999999996"/>
  </r>
  <r>
    <x v="76"/>
    <s v="#10393065 - Christmas Valley Clinic Setup"/>
    <s v="Won"/>
    <d v="2024-01-10T00:00:00"/>
    <n v="0"/>
    <s v="CP550SLG"/>
    <s v="CyberPower Standby UPS Systems - 550VA/330W, 120 VAC, NEMA 5-15P, Compact, 8 Outlets, PowerPanel® Personal, $100000 CEG, 3YR Warranty"/>
    <s v="IT/LAN Equipment"/>
    <n v="5"/>
    <n v="0"/>
    <n v="0"/>
    <m/>
    <n v="0"/>
    <m/>
    <m/>
    <n v="82"/>
    <n v="410"/>
    <n v="66.7"/>
    <n v="333.5"/>
    <s v="Lathrop Lougheed"/>
    <n v="6.12"/>
  </r>
  <r>
    <x v="76"/>
    <s v="#10393065 - Christmas Valley Clinic Setup"/>
    <s v="Won"/>
    <d v="2024-01-10T00:00:00"/>
    <n v="0"/>
    <s v="USW-48-POE"/>
    <s v="Ubiquiti UniFi Ethernet Switch - 48 Ports - Manageable - 2 Layer Supported - Modular - 4 SFP Slots - 45 W Power Consumption - 195 W PoE Budget - Twisted Pair, Optical Fiber - PoE Ports - 1U High - Rack-mountable, Desktop - 1 Year Limited Warran"/>
    <s v="IT/LAN Equipment"/>
    <n v="1"/>
    <n v="0"/>
    <n v="0"/>
    <m/>
    <n v="0"/>
    <m/>
    <m/>
    <n v="677"/>
    <n v="677"/>
    <n v="554.65"/>
    <n v="554.65"/>
    <s v="Lathrop Lougheed"/>
    <n v="9.788000000000002"/>
  </r>
  <r>
    <x v="76"/>
    <s v="#10393065 - Christmas Valley Clinic Setup"/>
    <s v="Won"/>
    <d v="2024-01-10T00:00:00"/>
    <n v="0"/>
    <s v="MPC-PS-T3"/>
    <s v="Meriplex Tier 3 Engineer Labor"/>
    <s v="IT/LAN Installation"/>
    <n v="20"/>
    <n v="0"/>
    <n v="0"/>
    <m/>
    <n v="0"/>
    <m/>
    <m/>
    <n v="150"/>
    <n v="3000"/>
    <n v="0"/>
    <n v="0"/>
    <s v="Lathrop Lougheed"/>
    <n v="120"/>
  </r>
  <r>
    <x v="76"/>
    <s v="#10393065 - Christmas Valley Clinic Setup"/>
    <s v="Won"/>
    <d v="2024-01-10T00:00:00"/>
    <n v="0"/>
    <s v="MPC-PS-PM"/>
    <s v="Project Management"/>
    <s v="IT/LAN Installation"/>
    <n v="6"/>
    <n v="0"/>
    <n v="0"/>
    <m/>
    <n v="0"/>
    <m/>
    <m/>
    <n v="150"/>
    <n v="900"/>
    <n v="0"/>
    <n v="0"/>
    <s v="Lathrop Lougheed"/>
    <n v="36"/>
  </r>
  <r>
    <x v="77"/>
    <s v="3 MR36, 1MR70 from Meraki"/>
    <s v="Won"/>
    <d v="2024-01-25T00:00:00"/>
    <n v="0"/>
    <s v="MR36-HW"/>
    <s v="Meraki MR36 802.11ax 1.70 Gbit/s Wireless Access Point - 2.40 GHz, 5 GHz - MIMO Technology - 1 x Network (RJ-45) - Gigabit Ethernet - Desktop, Ceiling Mountable, Wall Mountable, Rail-mountable"/>
    <s v="IT/LAN Equipment"/>
    <n v="3"/>
    <n v="0"/>
    <n v="0"/>
    <m/>
    <n v="0"/>
    <m/>
    <m/>
    <n v="448"/>
    <n v="1344"/>
    <n v="366.76"/>
    <n v="1100.28"/>
    <s v="Andrew Harp"/>
    <n v="19.497600000000002"/>
  </r>
  <r>
    <x v="77"/>
    <s v="3 MR36, 1MR70 from Meraki"/>
    <s v="Won"/>
    <d v="2024-01-25T00:00:00"/>
    <n v="0"/>
    <s v="MR70-HW"/>
    <s v="Cisco MR70 IEEE 802.11ac 1.30 Gbit/s Wireless Access Point - 5 GHz, 2.40 GHz - MIMO Technology - 1 x Network (RJ-45) - Wall Mountable, Pole-mountable"/>
    <s v="IT/LAN Equipment"/>
    <n v="1"/>
    <n v="0"/>
    <n v="0"/>
    <m/>
    <n v="0"/>
    <m/>
    <m/>
    <n v="635"/>
    <n v="635"/>
    <n v="520"/>
    <n v="520"/>
    <s v="Andrew Harp"/>
    <n v="9.2000000000000011"/>
  </r>
  <r>
    <x v="77"/>
    <s v="3 MR36, 1MR70 from Meraki"/>
    <s v="Won"/>
    <d v="2024-01-25T00:00:00"/>
    <n v="0"/>
    <s v="LIC-ENT-1YR"/>
    <s v="Meraki MR Enterprise Cloud Controller License, 1 Year - Meraki MR Series Access Point - Subscription License 1 Access Point - 1 Year License Validation Period"/>
    <s v="IT/LAN Equipment"/>
    <n v="4"/>
    <n v="0"/>
    <n v="0"/>
    <m/>
    <n v="0"/>
    <m/>
    <m/>
    <n v="125"/>
    <n v="500"/>
    <n v="102.35"/>
    <n v="409.4"/>
    <s v="Andrew Harp"/>
    <n v="7.248000000000002"/>
  </r>
  <r>
    <x v="78"/>
    <s v="Dial2Teams Expansion for 3 offices"/>
    <s v="Won"/>
    <d v="2024-01-31T00:00:00"/>
    <n v="1.1000000000000001"/>
    <s v="UCS-D2T-LOC="/>
    <s v="Meriplex Dial2Teams - Location"/>
    <s v="UCaaS"/>
    <n v="1"/>
    <n v="18"/>
    <n v="5.38"/>
    <m/>
    <n v="18"/>
    <m/>
    <m/>
    <n v="50"/>
    <n v="50"/>
    <n v="0"/>
    <n v="0"/>
    <s v="Lathrop Lougheed"/>
    <n v="2"/>
  </r>
  <r>
    <x v="78"/>
    <s v="Dial2Teams Expansion for 3 offices"/>
    <s v="Won"/>
    <d v="2024-01-31T00:00:00"/>
    <n v="1.1000000000000001"/>
    <s v="UCS-D2T-LOC="/>
    <s v="Meriplex Dial2Teams - Location"/>
    <s v="UCaaS"/>
    <n v="1"/>
    <n v="18"/>
    <n v="5.38"/>
    <m/>
    <n v="18"/>
    <m/>
    <m/>
    <n v="50"/>
    <n v="50"/>
    <n v="0"/>
    <n v="0"/>
    <s v="Lathrop Lougheed"/>
    <n v="2"/>
  </r>
  <r>
    <x v="78"/>
    <s v="Dial2Teams Expansion for 3 offices"/>
    <s v="Won"/>
    <d v="2024-01-31T00:00:00"/>
    <n v="1.1000000000000001"/>
    <s v="UCS-D2T-CPO="/>
    <s v="Meriplex Dial2Teams - Calling Plan Only"/>
    <s v="Voice Services"/>
    <n v="10"/>
    <n v="10.5"/>
    <n v="3.21"/>
    <m/>
    <n v="105"/>
    <m/>
    <m/>
    <n v="50"/>
    <n v="500"/>
    <n v="0"/>
    <n v="0"/>
    <s v="Lathrop Lougheed"/>
    <n v="20"/>
  </r>
  <r>
    <x v="78"/>
    <s v="Dial2Teams Expansion for 3 offices"/>
    <s v="Won"/>
    <d v="2024-01-31T00:00:00"/>
    <n v="1.1000000000000001"/>
    <s v="UCS-D2T-LOC="/>
    <s v="Meriplex Dial2Teams - Location"/>
    <s v="UCaaS"/>
    <n v="1"/>
    <n v="18"/>
    <n v="5.38"/>
    <m/>
    <n v="18"/>
    <m/>
    <m/>
    <n v="50"/>
    <n v="50"/>
    <n v="0"/>
    <n v="0"/>
    <s v="Lathrop Lougheed"/>
    <n v="2"/>
  </r>
  <r>
    <x v="78"/>
    <s v="Dial2Teams Expansion for 3 offices"/>
    <s v="Won"/>
    <d v="2024-01-31T00:00:00"/>
    <n v="1.1000000000000001"/>
    <s v="UCS-D2T-LOC="/>
    <s v="Meriplex Dial2Teams - Location"/>
    <s v="UCaaS"/>
    <n v="1"/>
    <n v="18"/>
    <n v="5.38"/>
    <m/>
    <n v="18"/>
    <m/>
    <m/>
    <n v="50"/>
    <n v="50"/>
    <n v="0"/>
    <n v="0"/>
    <s v="Lathrop Lougheed"/>
    <n v="2"/>
  </r>
  <r>
    <x v="78"/>
    <s v="Dial2Teams Expansion for 3 offices"/>
    <s v="Won"/>
    <d v="2024-01-31T00:00:00"/>
    <n v="1.1000000000000001"/>
    <s v="UCS-D2T-CPO="/>
    <s v="Meriplex Dial2Teams - Calling Plan Only"/>
    <s v="Voice Services"/>
    <n v="5"/>
    <n v="10.5"/>
    <n v="3.21"/>
    <m/>
    <n v="52.5"/>
    <m/>
    <m/>
    <n v="50"/>
    <n v="250"/>
    <n v="0"/>
    <n v="0"/>
    <s v="Lathrop Lougheed"/>
    <n v="10"/>
  </r>
  <r>
    <x v="79"/>
    <s v="Addendum to MPS120730 - Additional ForensIT Licenses for Server and SharePoint Migration Phase 2"/>
    <s v="Won"/>
    <d v="2024-01-08T00:00:00"/>
    <n v="0"/>
    <s v="Forensit"/>
    <s v="User Profile Wizard for Domain Migrations"/>
    <s v="NRR - Agent Income"/>
    <n v="50"/>
    <n v="0"/>
    <n v="0"/>
    <m/>
    <n v="0"/>
    <m/>
    <m/>
    <n v="4.95"/>
    <n v="247.5"/>
    <n v="2.95"/>
    <n v="147.5"/>
    <s v="Rick Carlson"/>
    <n v="4"/>
  </r>
  <r>
    <x v="80"/>
    <s v="Ported DID's Houston"/>
    <s v="Won"/>
    <d v="2024-01-18T00:00:00"/>
    <n v="25.5"/>
    <s v="V-DID-ENH-P="/>
    <s v="Ported Enhanced DID"/>
    <s v="Voice Services"/>
    <n v="1"/>
    <n v="14"/>
    <n v="5.38"/>
    <m/>
    <n v="14"/>
    <m/>
    <m/>
    <n v="3"/>
    <n v="3"/>
    <n v="9"/>
    <n v="9"/>
    <s v="Erminio Lalli"/>
    <n v="0.12"/>
  </r>
  <r>
    <x v="80"/>
    <s v="Ported DID's Houston"/>
    <s v="Won"/>
    <d v="2024-01-18T00:00:00"/>
    <n v="25.5"/>
    <s v="V-DID-S1-P="/>
    <s v="Ported Standard Inbound DIDs (Tier 1)"/>
    <s v="Voice Services"/>
    <n v="23"/>
    <n v="0.5"/>
    <n v="0.17"/>
    <m/>
    <n v="11.5"/>
    <m/>
    <m/>
    <n v="3"/>
    <n v="69"/>
    <n v="9"/>
    <n v="207"/>
    <s v="Erminio Lalli"/>
    <n v="2.7600000000000002"/>
  </r>
  <r>
    <x v="81"/>
    <s v="Quote #MPS122137 Per Service Ticket #10400733 - SFP Modules"/>
    <s v="Won"/>
    <d v="2024-01-10T00:00:00"/>
    <n v="0"/>
    <s v="PAN-SFP-CG"/>
    <s v="Palo Alto SFP (mini-GBIC) Module - For Data Networking - 1 x RJ-45 1000Base-T LAN - Twisted PairGigabit Ethernet - 1000Base-T - Hot-pluggable"/>
    <s v="IT/LAN Equipment"/>
    <n v="1"/>
    <n v="0"/>
    <n v="0"/>
    <m/>
    <n v="0"/>
    <m/>
    <m/>
    <n v="860.24"/>
    <n v="860.24"/>
    <n v="714"/>
    <n v="714"/>
    <s v="Kade Thurman"/>
    <n v="0"/>
  </r>
  <r>
    <x v="81"/>
    <s v="Quote #MPS122137 Per Service Ticket #10400733 - SFP Modules"/>
    <s v="Won"/>
    <d v="2024-01-10T00:00:00"/>
    <n v="0"/>
    <s v="GLC-TE="/>
    <s v="Cisco SFP (mini-GBIC) Transceiver Module - For Data Networking - 1 x RJ-45 1000Base-T LAN - Twisted PairGigabit Ethernet - 1000Base-T"/>
    <s v="IT/LAN Equipment"/>
    <n v="2"/>
    <n v="0"/>
    <n v="0"/>
    <m/>
    <n v="0"/>
    <m/>
    <m/>
    <n v="258.58"/>
    <n v="517.16"/>
    <n v="214.62"/>
    <n v="429.24"/>
    <s v="Kade Thurman"/>
    <n v="0"/>
  </r>
  <r>
    <x v="82"/>
    <s v="Managed Services Offboarding/Transition Proposal"/>
    <s v="Won"/>
    <d v="2024-01-12T00:00:00"/>
    <n v="0"/>
    <s v="MPC-PS-T3"/>
    <s v="Meriplex Offboarding"/>
    <s v="IT/LAN Installation"/>
    <n v="2"/>
    <n v="0"/>
    <n v="0"/>
    <m/>
    <n v="0"/>
    <m/>
    <m/>
    <n v="150"/>
    <n v="300"/>
    <n v="0"/>
    <n v="0"/>
    <s v="Lathrop Lougheed"/>
    <n v="12"/>
  </r>
  <r>
    <x v="83"/>
    <s v="MPX LA - Quote for Fortinet FortiCare renewal"/>
    <s v="Won"/>
    <d v="2024-01-15T00:00:00"/>
    <n v="0"/>
    <s v="FC-10-S108P-247-02-12"/>
    <s v="Fortinet Forticare 24x7 Premium Support - 1 Year"/>
    <s v="IT/LAN Equipment"/>
    <n v="1"/>
    <n v="0"/>
    <n v="0"/>
    <m/>
    <n v="0"/>
    <m/>
    <m/>
    <n v="56.46"/>
    <n v="56.46"/>
    <n v="45.17"/>
    <n v="45.17"/>
    <s v="Mitch Verma"/>
    <n v="0.4516"/>
  </r>
  <r>
    <x v="83"/>
    <s v="MPX LA - Quote for Fortinet FortiCare renewal"/>
    <s v="Won"/>
    <d v="2024-01-15T00:00:00"/>
    <n v="0"/>
    <s v="FC-10-F100F-950-02-12"/>
    <s v="Fortinet FortiGate FortiCare Bundle - UTP Subscription &amp; 24x7 Premium Support - 1 Year"/>
    <s v="IT/LAN Equipment"/>
    <n v="1"/>
    <n v="0"/>
    <n v="0"/>
    <m/>
    <n v="0"/>
    <m/>
    <m/>
    <n v="2023.52"/>
    <n v="2023.52"/>
    <n v="1623.21"/>
    <n v="1623.21"/>
    <s v="Mitch Verma"/>
    <n v="16.0124"/>
  </r>
  <r>
    <x v="83"/>
    <s v="MPX LA - Quote for Fortinet FortiCare renewal"/>
    <s v="Won"/>
    <d v="2024-01-15T00:00:00"/>
    <n v="0"/>
    <s v="FC-10-PF432-247-02-12"/>
    <s v="Fortinet Forticare 24x7 Premium Support - 1 Year"/>
    <s v="IT/LAN Equipment"/>
    <n v="10"/>
    <n v="0"/>
    <n v="0"/>
    <m/>
    <n v="0"/>
    <m/>
    <m/>
    <n v="198.85"/>
    <n v="1988.5"/>
    <n v="158.63999999999999"/>
    <n v="1586.3999999999999"/>
    <s v="Mitch Verma"/>
    <n v="16.084000000000007"/>
  </r>
  <r>
    <x v="84"/>
    <s v="HP Docking Stations"/>
    <s v="Won"/>
    <d v="2024-01-10T00:00:00"/>
    <n v="0"/>
    <s v="5TW10AA#ABA"/>
    <s v="HP USB-C Dock G5 - for Notebook - 100 W - USB Type C - 3 Displays Supported - 4K, QHD, Full HD - 4 x USB Type-A Ports - USB Type-A - USB Type-C - 1 x RJ-45 Ports - Network (RJ-45) - HDMI - DisplayPort - Black - Wired - Ethernet - Windows 11, Windows 10, C"/>
    <s v="IT/LAN Equipment"/>
    <n v="10"/>
    <n v="0"/>
    <n v="0"/>
    <m/>
    <n v="0"/>
    <m/>
    <m/>
    <n v="174"/>
    <n v="1740"/>
    <n v="142.02000000000001"/>
    <n v="1420.2"/>
    <s v="Michael True"/>
    <n v="27.183"/>
  </r>
  <r>
    <x v="85"/>
    <s v="Service Ticket #10406659 - New Hire EQUIPMENT - JENNIFER TSAO"/>
    <s v="Won"/>
    <d v="2024-01-05T00:00:00"/>
    <n v="0"/>
    <s v="Shipped"/>
    <s v="PC(s) will be built, updated and configured and then shipped to the client from the Meriplex Office"/>
    <s v="IT/LAN Installation"/>
    <n v="1"/>
    <n v="0"/>
    <n v="0"/>
    <m/>
    <n v="0"/>
    <m/>
    <m/>
    <n v="149"/>
    <n v="149"/>
    <n v="0"/>
    <n v="0"/>
    <s v="Jonathan DeFez"/>
    <n v="5.96"/>
  </r>
  <r>
    <x v="85"/>
    <s v="Service Ticket #10406659 - New Hire EQUIPMENT - JENNIFER TSAO"/>
    <s v="Won"/>
    <d v="2024-01-05T00:00:00"/>
    <n v="0"/>
    <s v="DISPLPORT6L"/>
    <s v="DisplayPort to DisplayPort 6' Cable"/>
    <s v="IT/LAN Equipment"/>
    <n v="2"/>
    <n v="0"/>
    <n v="0"/>
    <m/>
    <n v="0"/>
    <m/>
    <m/>
    <n v="12.16"/>
    <n v="24.32"/>
    <n v="13.79"/>
    <n v="27.58"/>
    <s v="Jonathan DeFez"/>
    <n v="-0.26079999999999987"/>
  </r>
  <r>
    <x v="85"/>
    <s v="Service Ticket #10406659 - New Hire EQUIPMENT - JENNIFER TSAO"/>
    <s v="Won"/>
    <d v="2024-01-05T00:00:00"/>
    <n v="0"/>
    <s v="VX3276-MHD"/>
    <s v="ViewSonic 32 Inch 1080p Widescreen IPS Monitor with Ultra-Thin Bezels, Screen Split Capability HDMI and DisplayPort - - 1080p Widescreen IPS Monitor with HDMI and DisplayPort - 250 cd/m² - 32&quot;"/>
    <s v="IT/LAN Equipment"/>
    <n v="1"/>
    <n v="0"/>
    <n v="0"/>
    <m/>
    <n v="0"/>
    <m/>
    <m/>
    <n v="221.27"/>
    <n v="221.27"/>
    <n v="192.42"/>
    <n v="192.42"/>
    <s v="Jonathan DeFez"/>
    <n v="2.308000000000002"/>
  </r>
  <r>
    <x v="85"/>
    <s v="Service Ticket #10406659 - New Hire EQUIPMENT - JENNIFER TSAO"/>
    <s v="Won"/>
    <d v="2024-01-05T00:00:00"/>
    <n v="0"/>
    <s v="KCP556SD8-32"/>
    <s v="Kingston 32GB DDR5 SDRAM Memory Module - For Notebook - 32 GB - DDR5-5600/PC5-44800 DDR5 SDRAM - 5600 MHz Dual-rank Memory - CL46 - 1.10 V - Non-ECC - Unbuffered - 262-pin - SoDIMM - Lifetime Warranty"/>
    <s v="IT/LAN Equipment"/>
    <n v="1"/>
    <n v="0"/>
    <n v="0"/>
    <m/>
    <n v="0"/>
    <m/>
    <m/>
    <n v="113.68"/>
    <n v="113.68"/>
    <n v="98.85"/>
    <n v="98.85"/>
    <s v="Jonathan DeFez"/>
    <n v="1.186400000000001"/>
  </r>
  <r>
    <x v="85"/>
    <s v="Service Ticket #10406659 - New Hire EQUIPMENT - JENNIFER TSAO"/>
    <s v="Won"/>
    <d v="2024-01-05T00:00:00"/>
    <n v="0"/>
    <s v="920-004536"/>
    <s v="Logitech Wireless Keyboard and Mouse Combo"/>
    <s v="IT/LAN Equipment"/>
    <n v="1"/>
    <n v="0"/>
    <n v="0"/>
    <m/>
    <n v="0"/>
    <m/>
    <m/>
    <n v="28.18"/>
    <n v="28.18"/>
    <n v="25.33"/>
    <n v="25.33"/>
    <s v="Jonathan DeFez"/>
    <n v="0.22800000000000012"/>
  </r>
  <r>
    <x v="85"/>
    <s v="Service Ticket #10406659 - New Hire EQUIPMENT - JENNIFER TSAO"/>
    <s v="Won"/>
    <d v="2024-01-05T00:00:00"/>
    <n v="0"/>
    <s v="40B00135US"/>
    <s v="Lenovo ThinkPad Thunderbolt Dock"/>
    <s v="IT/LAN Equipment"/>
    <n v="1"/>
    <n v="0"/>
    <n v="0"/>
    <m/>
    <n v="0"/>
    <m/>
    <m/>
    <n v="301.07"/>
    <n v="301.07"/>
    <n v="277.62"/>
    <n v="277.62"/>
    <s v="Jonathan DeFez"/>
    <n v="1.8759999999999992"/>
  </r>
  <r>
    <x v="85"/>
    <s v="Service Ticket #10406659 - New Hire EQUIPMENT - JENNIFER TSAO"/>
    <s v="Won"/>
    <d v="2024-01-05T00:00:00"/>
    <n v="0"/>
    <s v="21FV001UUS"/>
    <s v="Lenovo ThinkPad P1 Gen 6 21FV001UUS 16&quot; Mobile Workstation - WQXGA - 2560 x 1600 - Intel Core i9 13th Gen i9-13900H Tetradeca-core (14 Core) 2.60 GHz - 32 GB Total RAM - 1 TB SSD - Black Paint - Intel Chip - Windows 11 Pro - NVIDIA GeForce RTX 4090 with 1"/>
    <s v="IT/LAN Equipment"/>
    <n v="1"/>
    <n v="0"/>
    <n v="0"/>
    <m/>
    <n v="0"/>
    <m/>
    <m/>
    <n v="4080.14"/>
    <n v="4080.14"/>
    <n v="3931.73"/>
    <n v="3931.73"/>
    <s v="Jonathan DeFez"/>
    <n v="11.872799999999989"/>
  </r>
  <r>
    <x v="85"/>
    <s v="Service Ticket #10406659 - New Hire EQUIPMENT - JENNIFER TSAO"/>
    <s v="Won"/>
    <d v="2024-01-05T00:00:00"/>
    <n v="0"/>
    <s v="7WHI-C5MB"/>
    <s v="7' Cat5E 350Mhz UTP Molded Cable with Boot"/>
    <s v="IT/LAN Equipment"/>
    <n v="1"/>
    <n v="0"/>
    <n v="0"/>
    <m/>
    <n v="0"/>
    <m/>
    <m/>
    <n v="5"/>
    <n v="5"/>
    <n v="7.39"/>
    <n v="7.39"/>
    <s v="Jonathan DeFez"/>
    <n v="-0.19119999999999998"/>
  </r>
  <r>
    <x v="85"/>
    <s v="Service Ticket #10406659 - New Hire EQUIPMENT - JENNIFER TSAO"/>
    <s v="Won"/>
    <d v="2024-01-05T00:00:00"/>
    <n v="0"/>
    <s v="TLP606"/>
    <s v="Tripp Lite Surge Protector Power Strip 120V 6 Outlets"/>
    <s v="IT/LAN Equipment"/>
    <n v="1"/>
    <n v="0"/>
    <n v="0"/>
    <m/>
    <n v="0"/>
    <m/>
    <m/>
    <n v="18.940000000000001"/>
    <n v="18.940000000000001"/>
    <n v="12.54"/>
    <n v="12.54"/>
    <s v="Jonathan DeFez"/>
    <n v="0.51200000000000023"/>
  </r>
  <r>
    <x v="86"/>
    <s v="Quote #MPS122177 Per Service Ticket # 10406255 - Palo Alto PA-440 Firewall"/>
    <s v="Won"/>
    <d v="2024-01-15T00:00:00"/>
    <n v="0"/>
    <s v="PAN-PA-440"/>
    <s v="Palo Alto PA-440 Network Security/Firewall Appliance - 8 Port - 10/100/1000Base-T - Gigabit Ethernet - 3DES, AES (128-bit), AES (192-bit), AES (256-bit), MD5, SHA-1, SHA-256, SHA-384, SHA-512 - 8 x RJ-45 - Desktop"/>
    <s v="IT/LAN Equipment"/>
    <n v="1"/>
    <n v="0"/>
    <n v="0"/>
    <m/>
    <n v="0"/>
    <m/>
    <m/>
    <n v="1201.54"/>
    <n v="1201.54"/>
    <n v="937.2"/>
    <n v="937.2"/>
    <s v="Lathrop Lougheed"/>
    <n v="21.147199999999994"/>
  </r>
  <r>
    <x v="86"/>
    <s v="Quote #MPS122177 Per Service Ticket # 10406255 - Palo Alto PA-440 Firewall"/>
    <s v="Won"/>
    <d v="2024-01-15T00:00:00"/>
    <n v="0"/>
    <s v="PAN-PA-440-ATP-3YR"/>
    <s v="Palo Alto Advanced Threat Prevention - Subscription License - 1 Device - 3 Year"/>
    <s v="IT/LAN Equipment"/>
    <n v="1"/>
    <n v="0"/>
    <n v="0"/>
    <m/>
    <n v="0"/>
    <m/>
    <m/>
    <n v="981.54"/>
    <n v="981.54"/>
    <n v="765.6"/>
    <n v="765.6"/>
    <s v="Lathrop Lougheed"/>
    <n v="17.275199999999995"/>
  </r>
  <r>
    <x v="86"/>
    <s v="Quote #MPS122177 Per Service Ticket # 10406255 - Palo Alto PA-440 Firewall"/>
    <s v="Won"/>
    <d v="2024-01-15T00:00:00"/>
    <n v="0"/>
    <s v="PAN-SVC-BKLN-440-3YR"/>
    <s v="Palo Alto Networks Partner Enabled Premium Support - Extended Service - 3 Year - Service - Service Depot - Exchange - Parts"/>
    <s v="IT/LAN Equipment"/>
    <n v="1"/>
    <n v="0"/>
    <n v="0"/>
    <m/>
    <n v="0"/>
    <m/>
    <m/>
    <n v="765"/>
    <n v="765"/>
    <n v="612"/>
    <n v="612"/>
    <s v="Lathrop Lougheed"/>
    <n v="12.24"/>
  </r>
  <r>
    <x v="86"/>
    <s v="Quote #MPS122177 Per Service Ticket # 10406255 - Palo Alto PA-440 Firewall"/>
    <s v="Won"/>
    <d v="2024-01-15T00:00:00"/>
    <n v="0"/>
    <s v="PAN-PA-400-RACKTRAY"/>
    <s v="Palo Alto Rack Rail - For Firewall - 4 Post - Metal"/>
    <s v="IT/LAN Equipment"/>
    <n v="1"/>
    <n v="0"/>
    <n v="0"/>
    <m/>
    <n v="0"/>
    <m/>
    <m/>
    <n v="177.69"/>
    <n v="177.69"/>
    <n v="138.6"/>
    <n v="138.6"/>
    <s v="Lathrop Lougheed"/>
    <n v="3.1272000000000002"/>
  </r>
  <r>
    <x v="86"/>
    <s v="Quote #MPS122177 Per Service Ticket # 10406255 - Palo Alto PA-440 Firewall"/>
    <s v="Won"/>
    <d v="2024-01-15T00:00:00"/>
    <n v="0"/>
    <s v="MPC-PS-T2"/>
    <s v="Advanced Technical Services - Technology Consulting"/>
    <s v="IT/LAN Installation"/>
    <n v="10"/>
    <n v="0"/>
    <n v="0"/>
    <m/>
    <n v="0"/>
    <m/>
    <m/>
    <n v="145"/>
    <n v="1450"/>
    <n v="0"/>
    <n v="0"/>
    <s v="Lathrop Lougheed"/>
    <n v="58"/>
  </r>
  <r>
    <x v="87"/>
    <s v="Quote #MPS122206 Per Service Ticket #10292623 - Meraki License Renewal"/>
    <s v="Won"/>
    <d v="2024-01-09T00:00:00"/>
    <n v="0"/>
    <s v="LIC-MX67-ENT-3YR"/>
    <s v="Meraki Enterprise + 3 Years Enterprise Support - Subscription License - 1 Security Appliance - 3 Year - MX67 Cloud Managed Firewall - License and Support - 3 Year License Validation Period"/>
    <s v="IT/LAN Equipment"/>
    <n v="1"/>
    <n v="0"/>
    <n v="0"/>
    <m/>
    <n v="0"/>
    <m/>
    <m/>
    <n v="512.04"/>
    <n v="512.04"/>
    <n v="424.99"/>
    <n v="424.99"/>
    <s v="Kade Thurman"/>
    <n v="0"/>
  </r>
  <r>
    <x v="88"/>
    <s v="Quote #MPS122173 Per Service Ticket #10406131 - Microsoft Agreement V9482970 Year 3 Payment"/>
    <s v="Won"/>
    <d v="2024-01-15T00:00:00"/>
    <n v="0"/>
    <s v="R18-01863"/>
    <s v="Microsoft Windows Server - Software Assurance - 1 User CAL - 1 Year Acquired Year 1, Additional Product - Microsoft Open Value"/>
    <s v="IT/LAN Equipment"/>
    <n v="60"/>
    <n v="0"/>
    <n v="0"/>
    <m/>
    <n v="0"/>
    <m/>
    <m/>
    <n v="12"/>
    <n v="720"/>
    <n v="10.16"/>
    <n v="609.6"/>
    <s v="Lathrop Lougheed"/>
    <n v="8.831999999999999"/>
  </r>
  <r>
    <x v="88"/>
    <s v="Quote #MPS122173 Per Service Ticket #10406131 - Microsoft Agreement V9482970 Year 3 Payment"/>
    <s v="Won"/>
    <d v="2024-01-15T00:00:00"/>
    <n v="0"/>
    <s v="6VC-00705"/>
    <s v="Microsoft Windows Remote Desktop Services - Software Assurance - 1 User CAL - 1 Year Acquired Year 1, Additional Product - Microsoft Open Value - PC"/>
    <s v="IT/LAN Equipment"/>
    <n v="20"/>
    <n v="0"/>
    <n v="0"/>
    <m/>
    <n v="0"/>
    <m/>
    <m/>
    <n v="37"/>
    <n v="740"/>
    <n v="32.44"/>
    <n v="648.79999999999995"/>
    <s v="Lathrop Lougheed"/>
    <n v="7.2960000000000038"/>
  </r>
  <r>
    <x v="88"/>
    <s v="Quote #MPS122173 Per Service Ticket #10406131 - Microsoft Agreement V9482970 Year 3 Payment"/>
    <s v="Won"/>
    <d v="2024-01-15T00:00:00"/>
    <n v="0"/>
    <s v="269-09061"/>
    <s v="Microsoft Office Professional Edition - Software Assurance - 1 PC - 1 Year Acquired Year 1, Additional Product - Microsoft Open Value - PC"/>
    <s v="IT/LAN Equipment"/>
    <n v="2"/>
    <n v="0"/>
    <n v="0"/>
    <m/>
    <n v="0"/>
    <m/>
    <m/>
    <n v="179"/>
    <n v="358"/>
    <n v="159.37"/>
    <n v="318.74"/>
    <s v="Lathrop Lougheed"/>
    <n v="3.1407999999999991"/>
  </r>
  <r>
    <x v="88"/>
    <s v="Quote #MPS122173 Per Service Ticket #10406131 - Microsoft Agreement V9482970 Year 3 Payment"/>
    <s v="Won"/>
    <d v="2024-01-15T00:00:00"/>
    <n v="0"/>
    <s v="312-03040"/>
    <s v="Microsoft Exchange Server Standard Edition - Software Assurance - 1 Server - 1 Year Acquired Year 1, Additional Product - Microsoft Open Value - PC"/>
    <s v="IT/LAN Equipment"/>
    <n v="1"/>
    <n v="0"/>
    <n v="0"/>
    <m/>
    <n v="0"/>
    <m/>
    <m/>
    <n v="196"/>
    <n v="196"/>
    <n v="172.84"/>
    <n v="172.84"/>
    <s v="Lathrop Lougheed"/>
    <n v="1.8527999999999998"/>
  </r>
  <r>
    <x v="88"/>
    <s v="Quote #MPS122173 Per Service Ticket #10406131 - Microsoft Agreement V9482970 Year 3 Payment"/>
    <s v="Won"/>
    <d v="2024-01-15T00:00:00"/>
    <n v="0"/>
    <s v="021-07262"/>
    <s v="Microsoft Office Standard Edition - Software Assurance - 1 PC - 1 Year Acquired Year 1, Additional Product - Microsoft Open Value - PC"/>
    <s v="IT/LAN Equipment"/>
    <n v="8"/>
    <n v="0"/>
    <n v="0"/>
    <m/>
    <n v="0"/>
    <m/>
    <m/>
    <n v="132"/>
    <n v="1056"/>
    <n v="116.06"/>
    <n v="928.48"/>
    <s v="Lathrop Lougheed"/>
    <n v="10.201599999999999"/>
  </r>
  <r>
    <x v="88"/>
    <s v="Quote #MPS122173 Per Service Ticket #10406131 - Microsoft Agreement V9482970 Year 3 Payment"/>
    <s v="Won"/>
    <d v="2024-01-15T00:00:00"/>
    <n v="0"/>
    <s v="381-02265"/>
    <s v="Microsoft Exchange Server - Software Assurance - 1 User CAL - 1 Year Acquired Year 1, Additional Product - Microsoft Open Value - PC"/>
    <s v="IT/LAN Equipment"/>
    <n v="60"/>
    <n v="0"/>
    <n v="0"/>
    <m/>
    <n v="0"/>
    <m/>
    <m/>
    <n v="25"/>
    <n v="1500"/>
    <n v="21.71"/>
    <n v="1302.6000000000001"/>
    <s v="Lathrop Lougheed"/>
    <n v="15.791999999999989"/>
  </r>
  <r>
    <x v="88"/>
    <s v="Quote #MPS122173 Per Service Ticket #10406131 - Microsoft Agreement V9482970 Year 3 Payment"/>
    <s v="Won"/>
    <d v="2024-01-15T00:00:00"/>
    <n v="0"/>
    <s v="9EM-00299"/>
    <s v="Microsoft Windows Server Standard Edition - Software Assurance - 16 Core - Additional Product, 1 Year Acquired Year 1 - Microsoft Open Value - PC"/>
    <s v="IT/LAN Equipment"/>
    <n v="2"/>
    <n v="0"/>
    <n v="0"/>
    <m/>
    <n v="0"/>
    <m/>
    <m/>
    <n v="269"/>
    <n v="538"/>
    <n v="237.26"/>
    <n v="474.52"/>
    <s v="Lathrop Lougheed"/>
    <n v="5.0784000000000011"/>
  </r>
  <r>
    <x v="89"/>
    <s v="Samartnet Renewal"/>
    <s v="Won"/>
    <d v="2024-01-17T00:00:00"/>
    <n v="0"/>
    <s v="L-AC-PLS-1Y-S3"/>
    <s v="Cisco AnyConnect Plus with 1 Year Software Application Support plus Upgrades (SASU) - Subscription License - 1 User - 1 Year - Price Level (250-499) License - Volume - Electronic"/>
    <s v="IT/LAN Equipment"/>
    <n v="250"/>
    <n v="0"/>
    <n v="0"/>
    <m/>
    <n v="0"/>
    <m/>
    <m/>
    <n v="3"/>
    <n v="750"/>
    <n v="1.9"/>
    <n v="475"/>
    <s v="Ron Walker"/>
    <n v="23.375"/>
  </r>
  <r>
    <x v="90"/>
    <s v="31 monitors"/>
    <s v="Won"/>
    <d v="2024-01-09T00:00:00"/>
    <n v="0"/>
    <s v="6N6E9AA#ABA"/>
    <s v="HP E24 G5 24&quot; Class Full HD LCD Monitor - 16:9 - Black - 23.8&quot; Viewable - In-plane Switching (IPS) Technology - Edge LED Backlight - 1920 x 1080 - 250 Nit - 5 ms - 75 Hz Refresh Rate - HDMI - DisplayPort - USB Hub"/>
    <s v="IT/LAN Equipment"/>
    <n v="31"/>
    <n v="0"/>
    <n v="0"/>
    <m/>
    <n v="0"/>
    <m/>
    <m/>
    <n v="222"/>
    <n v="6882"/>
    <n v="181.78"/>
    <n v="5635.18"/>
    <s v="Cynthia Newsom"/>
    <n v="105.97969999999998"/>
  </r>
  <r>
    <x v="91"/>
    <s v="Southhaven POTs line"/>
    <s v="Won"/>
    <d v="2024-01-09T00:00:00"/>
    <n v="35"/>
    <s v="V-POTS="/>
    <s v="Local Exchange Business Line"/>
    <s v="Voice Services"/>
    <n v="1"/>
    <n v="35"/>
    <n v="70"/>
    <m/>
    <n v="35"/>
    <m/>
    <m/>
    <n v="35"/>
    <n v="35"/>
    <n v="0"/>
    <n v="0"/>
    <s v="Michael True"/>
    <n v="1.4000000000000001"/>
  </r>
  <r>
    <x v="92"/>
    <s v="LWB: WatchGuard Total AP Renewal - Due 2/15/2024"/>
    <s v="Won"/>
    <d v="2024-01-22T00:00:00"/>
    <n v="0"/>
    <s v="WGBULKCRT"/>
    <s v="WatchGuard Prorated Renewal for Total Wifi"/>
    <s v="IT/LAN Equipment"/>
    <n v="1488"/>
    <n v="0"/>
    <n v="0"/>
    <m/>
    <n v="0"/>
    <m/>
    <m/>
    <n v="1"/>
    <n v="1488"/>
    <n v="0.73"/>
    <n v="1086.24"/>
    <s v="Jackie Moore"/>
    <n v="0"/>
  </r>
  <r>
    <x v="93"/>
    <s v="MPX LA - Ethernet Port Setup"/>
    <s v="Won"/>
    <d v="2024-01-04T00:00:00"/>
    <n v="0"/>
    <s v="VMS - FP 2 Port - Ivory"/>
    <s v="Face Plate 2 Port - Electrical Ivory"/>
    <s v="IT/LAN Equipment"/>
    <n v="2"/>
    <n v="0"/>
    <n v="0"/>
    <m/>
    <n v="0"/>
    <m/>
    <m/>
    <n v="2.75"/>
    <n v="5.5"/>
    <n v="1.55"/>
    <n v="3.1"/>
    <s v="Mitch Verma"/>
    <n v="9.6000000000000002E-2"/>
  </r>
  <r>
    <x v="93"/>
    <s v="MPX LA - Ethernet Port Setup"/>
    <s v="Won"/>
    <d v="2024-01-04T00:00:00"/>
    <n v="0"/>
    <s v="VMS - Patch 5e 3ft Blue"/>
    <s v="3ft Blue Cat5e Patch Cable"/>
    <s v="IT/LAN Equipment"/>
    <n v="4"/>
    <n v="0"/>
    <n v="0"/>
    <m/>
    <n v="0"/>
    <m/>
    <m/>
    <n v="4"/>
    <n v="16"/>
    <n v="1.88"/>
    <n v="7.52"/>
    <s v="Mitch Verma"/>
    <n v="0.3392"/>
  </r>
  <r>
    <x v="93"/>
    <s v="MPX LA - Ethernet Port Setup"/>
    <s v="Won"/>
    <d v="2024-01-04T00:00:00"/>
    <n v="0"/>
    <s v="VMS - VSI-Jack Cat5e - Blue"/>
    <s v="Jack Cat5e - Blue"/>
    <s v="IT/LAN Equipment"/>
    <n v="4"/>
    <n v="0"/>
    <n v="0"/>
    <m/>
    <n v="0"/>
    <m/>
    <m/>
    <n v="6.5"/>
    <n v="26"/>
    <n v="4.8099999999999996"/>
    <n v="19.239999999999998"/>
    <s v="Mitch Verma"/>
    <n v="0.27040000000000008"/>
  </r>
  <r>
    <x v="93"/>
    <s v="MPX LA - Ethernet Port Setup"/>
    <s v="Won"/>
    <d v="2024-01-04T00:00:00"/>
    <n v="0"/>
    <s v="VMS - Patch 5e 7ft Blue"/>
    <s v="7ft Blue Cat5e Patch Cable"/>
    <s v="IT/LAN Equipment"/>
    <n v="4"/>
    <n v="0"/>
    <n v="0"/>
    <m/>
    <n v="0"/>
    <m/>
    <m/>
    <n v="6"/>
    <n v="24"/>
    <n v="2.19"/>
    <n v="8.76"/>
    <s v="Mitch Verma"/>
    <n v="0.60960000000000003"/>
  </r>
  <r>
    <x v="93"/>
    <s v="MPX LA - Ethernet Port Setup"/>
    <s v="Won"/>
    <d v="2024-01-04T00:00:00"/>
    <n v="0"/>
    <s v="MPC-PS-T1"/>
    <s v="Meriplex Tier 1 Technician Labor"/>
    <s v="IT/LAN Installation"/>
    <n v="4"/>
    <n v="0"/>
    <n v="0"/>
    <m/>
    <n v="0"/>
    <m/>
    <m/>
    <n v="165"/>
    <n v="660"/>
    <n v="0"/>
    <n v="0"/>
    <s v="Mitch Verma"/>
    <n v="26.400000000000002"/>
  </r>
  <r>
    <x v="94"/>
    <s v="OS Upgrade and Computer Build"/>
    <s v="Won"/>
    <d v="2024-01-04T00:00:00"/>
    <n v="0"/>
    <s v="Pickup"/>
    <s v="PC(s) will be built, updated and configured and then picked up by the client from the Meriplex Office"/>
    <s v="IT/LAN Equipment"/>
    <n v="2"/>
    <n v="0"/>
    <n v="0"/>
    <m/>
    <n v="0"/>
    <m/>
    <m/>
    <n v="149"/>
    <n v="298"/>
    <n v="0"/>
    <n v="0"/>
    <s v="Jonathan DeFez"/>
    <n v="23.84"/>
  </r>
  <r>
    <x v="94"/>
    <s v="OS Upgrade and Computer Build"/>
    <s v="Won"/>
    <d v="2024-01-04T00:00:00"/>
    <n v="0"/>
    <s v="DG7GMGF0D8H4:0002"/>
    <s v="Windows 11 Home to Pro Upgrade for Microsoft 365 Business (NCE COM BAS PER 1TM)"/>
    <s v="IT/LAN Equipment"/>
    <n v="2"/>
    <n v="0"/>
    <n v="0"/>
    <m/>
    <n v="0"/>
    <m/>
    <m/>
    <n v="49.58"/>
    <n v="99.16"/>
    <n v="42.9"/>
    <n v="85.8"/>
    <s v="Jonathan DeFez"/>
    <n v="1.0688"/>
  </r>
  <r>
    <x v="95"/>
    <s v="Quote #MPS122251 Per Service Ticket # 10410891 - Dell AC Adapter - 130 W"/>
    <s v="Won"/>
    <d v="2024-01-08T00:00:00"/>
    <n v="0"/>
    <s v="450-AHOM"/>
    <s v="Dell AC Adapter - 130 W - 5 V DC Output"/>
    <s v="IT/LAN Equipment"/>
    <n v="1"/>
    <n v="0"/>
    <n v="0"/>
    <m/>
    <n v="0"/>
    <m/>
    <m/>
    <n v="83.62"/>
    <n v="83.62"/>
    <n v="71.59"/>
    <n v="71.59"/>
    <s v="Kade Thurman"/>
    <n v="0"/>
  </r>
  <r>
    <x v="96"/>
    <s v="10413148 - Network Infrastructure and Security Assessment"/>
    <s v="Won"/>
    <d v="2024-01-18T00:00:00"/>
    <n v="0"/>
    <s v="MPC-PS-T3"/>
    <s v="One-Time CIS Controls Assessment"/>
    <s v="IT/LAN Installation"/>
    <n v="1"/>
    <n v="0"/>
    <n v="0"/>
    <m/>
    <n v="0"/>
    <m/>
    <m/>
    <n v="7125"/>
    <n v="7125"/>
    <n v="0"/>
    <n v="0"/>
    <s v="Steve Croll"/>
    <n v="285"/>
  </r>
  <r>
    <x v="96"/>
    <s v="10413148 - Network Infrastructure and Security Assessment"/>
    <s v="Won"/>
    <d v="2024-01-18T00:00:00"/>
    <n v="0"/>
    <s v="MPC-3P-PS"/>
    <s v="One-Time Wireless Penetration Testing - 1 Location"/>
    <s v="IT/LAN Installation"/>
    <n v="1"/>
    <n v="0"/>
    <n v="0"/>
    <m/>
    <n v="0"/>
    <m/>
    <m/>
    <n v="6000"/>
    <n v="6000"/>
    <n v="2730"/>
    <n v="2730"/>
    <s v="Steve Croll"/>
    <n v="240"/>
  </r>
  <r>
    <x v="96"/>
    <s v="10413148 - Network Infrastructure and Security Assessment"/>
    <s v="Won"/>
    <d v="2024-01-18T00:00:00"/>
    <n v="0"/>
    <s v="MPC-PS-T3"/>
    <s v="One-Time Internal Security Assessment"/>
    <s v="IT/LAN Installation"/>
    <n v="1"/>
    <n v="0"/>
    <n v="0"/>
    <m/>
    <n v="0"/>
    <m/>
    <m/>
    <n v="2250"/>
    <n v="2250"/>
    <n v="0"/>
    <n v="0"/>
    <s v="Steve Croll"/>
    <n v="90"/>
  </r>
  <r>
    <x v="96"/>
    <s v="10413148 - Network Infrastructure and Security Assessment"/>
    <s v="Won"/>
    <d v="2024-01-18T00:00:00"/>
    <n v="0"/>
    <s v="MPC-PS-T3"/>
    <s v="One-Time Infrastructure and Network Assessment"/>
    <s v="IT/LAN Installation"/>
    <n v="1"/>
    <n v="0"/>
    <n v="0"/>
    <m/>
    <n v="0"/>
    <m/>
    <m/>
    <n v="2000"/>
    <n v="2000"/>
    <n v="0"/>
    <n v="0"/>
    <s v="Steve Croll"/>
    <n v="80"/>
  </r>
  <r>
    <x v="96"/>
    <s v="10413148 - Network Infrastructure and Security Assessment"/>
    <s v="Won"/>
    <d v="2024-01-18T00:00:00"/>
    <n v="0"/>
    <s v="MPC-PS-T3"/>
    <s v="One-Time External Security Assessment"/>
    <s v="IT/LAN Installation"/>
    <n v="1"/>
    <n v="0"/>
    <n v="0"/>
    <m/>
    <n v="0"/>
    <m/>
    <m/>
    <n v="1575"/>
    <n v="1575"/>
    <n v="0"/>
    <n v="0"/>
    <s v="Steve Croll"/>
    <n v="63"/>
  </r>
  <r>
    <x v="96"/>
    <s v="10413148 - Network Infrastructure and Security Assessment"/>
    <s v="Won"/>
    <d v="2024-01-18T00:00:00"/>
    <n v="0"/>
    <s v="MPC-PS-T3"/>
    <s v="One-Time Phishing Email Security Assessment"/>
    <s v="IT/LAN Installation"/>
    <n v="1"/>
    <n v="0"/>
    <n v="0"/>
    <m/>
    <n v="0"/>
    <m/>
    <m/>
    <n v="3500"/>
    <n v="3500"/>
    <n v="0"/>
    <n v="0"/>
    <s v="Steve Croll"/>
    <n v="140"/>
  </r>
  <r>
    <x v="96"/>
    <s v="10413148 - Network Infrastructure and Security Assessment"/>
    <s v="Won"/>
    <d v="2024-01-18T00:00:00"/>
    <n v="0"/>
    <s v="MPC-PS-T3"/>
    <s v="One-Time SaaS M365 Security Assessment"/>
    <s v="IT/LAN Installation"/>
    <n v="1"/>
    <n v="0"/>
    <n v="0"/>
    <m/>
    <n v="0"/>
    <m/>
    <m/>
    <n v="4950"/>
    <n v="4950"/>
    <n v="0"/>
    <n v="0"/>
    <s v="Steve Croll"/>
    <n v="198"/>
  </r>
  <r>
    <x v="97"/>
    <s v="MSP"/>
    <s v="Won"/>
    <d v="2024-01-24T00:00:00"/>
    <n v="322.5"/>
    <s v="MPC-PS-MSP-OBT"/>
    <s v="Onboarding and Training"/>
    <s v="Managed Services"/>
    <n v="1"/>
    <n v="0"/>
    <n v="0"/>
    <m/>
    <n v="0"/>
    <m/>
    <m/>
    <n v="500"/>
    <n v="500"/>
    <n v="0"/>
    <n v="0"/>
    <s v="Cynthia Newsom"/>
    <n v="20"/>
  </r>
  <r>
    <x v="98"/>
    <s v="1 Wireless Access Point for Shreveport Store"/>
    <s v="Won"/>
    <d v="2024-01-09T00:00:00"/>
    <n v="0"/>
    <s v="R9B27A"/>
    <s v="Aruba Instant On AP25 Dual Band 802.11ax 5.30 Gbit/s Wireless Access Point - Indoor - 2.40 GHz, 5 GHz - MIMO Technology - 1 x Network (RJ-45) - 2.5 Gigabit Ethernet - 20.10 W - Wall Mountable, Ceiling Mountable, Rail-mountable"/>
    <s v="IT/LAN Equipment"/>
    <n v="1"/>
    <n v="0"/>
    <n v="0"/>
    <m/>
    <n v="0"/>
    <m/>
    <m/>
    <n v="269"/>
    <n v="269"/>
    <n v="214.64"/>
    <n v="214.64"/>
    <s v="Kennon Jayne"/>
    <n v="4.3488000000000016"/>
  </r>
  <r>
    <x v="99"/>
    <s v="HP Server Support Renewals"/>
    <s v="Won"/>
    <d v="2024-01-24T00:00:00"/>
    <n v="0"/>
    <s v="SP-SVR-4HO-12"/>
    <s v="Extended Server Warranty - Onsite - 4 Hour Response. DMR Included. Co-Terminate -01/29/2024 to 02/14/2025. SN: 2M20280LZM."/>
    <s v="IT/LAN Equipment"/>
    <n v="1"/>
    <n v="0"/>
    <n v="0"/>
    <m/>
    <n v="0"/>
    <m/>
    <m/>
    <n v="318"/>
    <n v="318"/>
    <n v="188.98"/>
    <n v="188.98"/>
    <s v="Andrew Harp"/>
    <n v="10.321600000000002"/>
  </r>
  <r>
    <x v="99"/>
    <s v="HP Server Support Renewals"/>
    <s v="Won"/>
    <d v="2024-01-24T00:00:00"/>
    <n v="0"/>
    <s v="SP-SVR-4HO-12"/>
    <s v="Extended Server Warranty - Onsite - 4 Hour Response. DMR Included. 1 Year -02/15/2024 to 02/14/2025.SN: 2M29340286"/>
    <s v="IT/LAN Equipment"/>
    <n v="1"/>
    <n v="0"/>
    <n v="0"/>
    <m/>
    <n v="0"/>
    <m/>
    <m/>
    <n v="303"/>
    <n v="303"/>
    <n v="178.56"/>
    <n v="178.56"/>
    <s v="Andrew Harp"/>
    <n v="9.9551999999999996"/>
  </r>
  <r>
    <x v="99"/>
    <s v="HP Server Support Renewals"/>
    <s v="Won"/>
    <d v="2024-01-24T00:00:00"/>
    <n v="0"/>
    <s v="SP-SVR-4HO-12"/>
    <s v="Extended Server Warranty - Onsite - 4 Hour Response. DMR Included. 1 Year -02/15/2024 to 02/14/2025. SN: 2M29340283"/>
    <s v="IT/LAN Equipment"/>
    <n v="1"/>
    <n v="0"/>
    <n v="0"/>
    <m/>
    <n v="0"/>
    <m/>
    <m/>
    <n v="303"/>
    <n v="303"/>
    <n v="178.56"/>
    <n v="178.56"/>
    <s v="Andrew Harp"/>
    <n v="9.9551999999999996"/>
  </r>
  <r>
    <x v="99"/>
    <s v="HP Server Support Renewals"/>
    <s v="Won"/>
    <d v="2024-01-24T00:00:00"/>
    <n v="0"/>
    <s v="SP-SVR-4HO-12"/>
    <s v="Extended Server Warranty - Onsite - 4 Hour Response. DMR Included. 1 Year -02/15/2024 to 02/14/2025. SN: 2M29340284"/>
    <s v="IT/LAN Equipment"/>
    <n v="1"/>
    <n v="0"/>
    <n v="0"/>
    <m/>
    <n v="0"/>
    <m/>
    <m/>
    <n v="303"/>
    <n v="303"/>
    <n v="178.56"/>
    <n v="178.56"/>
    <s v="Andrew Harp"/>
    <n v="9.9551999999999996"/>
  </r>
  <r>
    <x v="99"/>
    <s v="HP Server Support Renewals"/>
    <s v="Won"/>
    <d v="2024-01-24T00:00:00"/>
    <n v="0"/>
    <s v="SP-SVR-4HO-12"/>
    <s v="Extended Server Warranty - Onsite - 4 Hour Response. DMR Included. 1 Year -02/15/2024 to 02/14/2025.SN: 2M29340285"/>
    <s v="IT/LAN Equipment"/>
    <n v="1"/>
    <n v="0"/>
    <n v="0"/>
    <m/>
    <n v="0"/>
    <m/>
    <m/>
    <n v="303"/>
    <n v="303"/>
    <n v="178.56"/>
    <n v="178.56"/>
    <s v="Andrew Harp"/>
    <n v="9.9551999999999996"/>
  </r>
  <r>
    <x v="99"/>
    <s v="HP Server Support Renewals"/>
    <s v="Won"/>
    <d v="2024-01-24T00:00:00"/>
    <n v="0"/>
    <s v="SP-SVR-4HO-12"/>
    <s v="Extended Server Warranty - Onsite - 4 Hour Response. DMR Included. Co-Terminate -01/29/2024 to 02/14/2025. SN: MXQ91500ZD."/>
    <s v="IT/LAN Equipment"/>
    <n v="1"/>
    <n v="0"/>
    <n v="0"/>
    <m/>
    <n v="0"/>
    <m/>
    <m/>
    <n v="877"/>
    <n v="877"/>
    <n v="579.12"/>
    <n v="579.12"/>
    <s v="Andrew Harp"/>
    <n v="23.830400000000001"/>
  </r>
  <r>
    <x v="100"/>
    <s v="Physical Security"/>
    <s v="Won"/>
    <d v="2024-01-18T00:00:00"/>
    <n v="60"/>
    <s v="SYS-8ENT-DVE2"/>
    <s v="E2 12/24V 8-Door Smart Hub"/>
    <s v="IT/LAN Equipment"/>
    <n v="1"/>
    <n v="0"/>
    <n v="0"/>
    <m/>
    <n v="0"/>
    <m/>
    <m/>
    <n v="2048.7800000000002"/>
    <n v="2048.7800000000002"/>
    <n v="1680"/>
    <n v="1680"/>
    <s v="Daniel Tarkowski"/>
    <n v="29.502400000000016"/>
  </r>
  <r>
    <x v="100"/>
    <s v="Physical Security"/>
    <s v="Won"/>
    <d v="2024-01-18T00:00:00"/>
    <n v="60"/>
    <s v="OP-ACL-10"/>
    <s v="Prox Card, use with low frequency readers"/>
    <s v="Physical Security"/>
    <n v="5"/>
    <n v="0"/>
    <n v="0"/>
    <m/>
    <n v="0"/>
    <m/>
    <m/>
    <n v="36.590000000000003"/>
    <n v="182.95"/>
    <n v="30"/>
    <n v="150"/>
    <s v="Daniel Tarkowski"/>
    <n v="2.6359999999999992"/>
  </r>
  <r>
    <x v="100"/>
    <s v="Physical Security"/>
    <s v="Won"/>
    <d v="2024-01-18T00:00:00"/>
    <n v="60"/>
    <s v="MPC-3P-CAB"/>
    <s v="Meriplex Partner Cabling"/>
    <s v="IT/LAN Installation"/>
    <n v="1"/>
    <n v="0"/>
    <n v="0"/>
    <m/>
    <n v="0"/>
    <m/>
    <m/>
    <n v="13019.65"/>
    <n v="13019.65"/>
    <n v="11066.7"/>
    <n v="11066.7"/>
    <s v="Daniel Tarkowski"/>
    <n v="520.78599999999994"/>
  </r>
  <r>
    <x v="100"/>
    <s v="Physical Security"/>
    <s v="Won"/>
    <d v="2024-01-18T00:00:00"/>
    <n v="60"/>
    <s v="OP-R2X-MULL"/>
    <s v="Openpath R2X Reader"/>
    <s v="IT/LAN Equipment"/>
    <n v="3"/>
    <n v="0"/>
    <n v="0"/>
    <m/>
    <n v="0"/>
    <m/>
    <m/>
    <n v="201.22"/>
    <n v="603.66"/>
    <n v="165"/>
    <n v="495"/>
    <s v="Daniel Tarkowski"/>
    <n v="8.6927999999999983"/>
  </r>
  <r>
    <x v="100"/>
    <s v="Physical Security"/>
    <s v="Won"/>
    <d v="2024-01-18T00:00:00"/>
    <n v="60"/>
    <s v="SW-BSC-P5-3Y"/>
    <s v="Basic - Pack of 5 entry"/>
    <s v="IT/LAN Equipment"/>
    <n v="1"/>
    <n v="0"/>
    <n v="0"/>
    <m/>
    <n v="0"/>
    <m/>
    <m/>
    <n v="1580.49"/>
    <n v="1580.49"/>
    <n v="1296"/>
    <n v="1296"/>
    <s v="Daniel Tarkowski"/>
    <n v="22.7592"/>
  </r>
  <r>
    <x v="100"/>
    <s v="Physical Security"/>
    <s v="Won"/>
    <d v="2024-01-18T00:00:00"/>
    <n v="60"/>
    <s v="MPC-PS-T3"/>
    <s v="Meriplex Tier 3 Engineer Labor"/>
    <s v="IT/LAN Installation"/>
    <n v="12"/>
    <n v="0"/>
    <n v="0"/>
    <m/>
    <n v="0"/>
    <m/>
    <m/>
    <n v="185"/>
    <n v="2220"/>
    <n v="0"/>
    <n v="0"/>
    <s v="Daniel Tarkowski"/>
    <n v="88.8"/>
  </r>
  <r>
    <x v="101"/>
    <s v="Quote #MPS122335 Per Service Ticket # 10417154 - SASSI Laptops &amp; Docks"/>
    <s v="Won"/>
    <d v="2024-01-04T00:00:00"/>
    <n v="0"/>
    <s v="21HH001MUS"/>
    <s v="Lenovo ThinkPad T16 Gen 2 16&quot; Touchscreen Notebook - WUXGA - 1920 x 1200 - Intel Core i7 13th Gen i7-1355U Deca-core (10 Core) 1.70 GHz - 16 GB Total RAM - 16 GB On-board Memory - 512 GB SSD - Storm Gray - Intel Chip - Windows 11 Pro - Intel Ir"/>
    <s v="IT/LAN Equipment"/>
    <n v="4"/>
    <n v="0"/>
    <n v="0"/>
    <m/>
    <n v="0"/>
    <m/>
    <m/>
    <n v="1522.85"/>
    <n v="6091.4"/>
    <n v="1431.48"/>
    <n v="5725.92"/>
    <s v="Kade Thurman"/>
    <n v="0"/>
  </r>
  <r>
    <x v="101"/>
    <s v="Quote #MPS122335 Per Service Ticket # 10417154 - SASSI Laptops &amp; Docks"/>
    <s v="Won"/>
    <d v="2024-01-04T00:00:00"/>
    <n v="0"/>
    <s v="40B00135US"/>
    <s v="Lenovo - Open Source Docking Station - for Notebook/Monitor - 100 W - USB Type C - 4 Displays Supported - 4K - 3840 x 2160 - 4 x USB Type-A Ports - USB Type-A - 1 x USB Type-C Ports - USB Type-C - 1 x RJ-45 Ports - Network (RJ-45) - HDMI - DisplayPort - T"/>
    <s v="IT/LAN Equipment"/>
    <n v="4"/>
    <n v="0"/>
    <n v="0"/>
    <m/>
    <n v="0"/>
    <m/>
    <m/>
    <n v="278.91000000000003"/>
    <n v="1115.6400000000001"/>
    <n v="262.18"/>
    <n v="1048.72"/>
    <s v="Kade Thurman"/>
    <n v="0"/>
  </r>
  <r>
    <x v="101"/>
    <s v="Quote #MPS122335 Per Service Ticket # 10417154 - SASSI Laptops &amp; Docks"/>
    <s v="Won"/>
    <d v="2024-01-04T00:00:00"/>
    <n v="0"/>
    <s v="CED15-35"/>
    <s v="E-Waste Recycling Fee"/>
    <s v="IT/LAN Equipment"/>
    <n v="4"/>
    <n v="0"/>
    <n v="0"/>
    <m/>
    <n v="0"/>
    <m/>
    <m/>
    <n v="5"/>
    <n v="20"/>
    <n v="5"/>
    <n v="20"/>
    <s v="Kade Thurman"/>
    <n v="0"/>
  </r>
  <r>
    <x v="101"/>
    <s v="Quote #MPS122335 Per Service Ticket # 10417154 - SASSI Laptops &amp; Docks"/>
    <s v="Won"/>
    <d v="2024-01-04T00:00:00"/>
    <n v="0"/>
    <s v="MPC-PS-T2"/>
    <s v="PC Migration or Installation Services"/>
    <s v="IT/LAN Installation"/>
    <n v="4"/>
    <n v="0"/>
    <n v="0"/>
    <m/>
    <n v="0"/>
    <m/>
    <m/>
    <n v="200"/>
    <n v="800"/>
    <n v="0"/>
    <n v="0"/>
    <s v="Kade Thurman"/>
    <n v="0"/>
  </r>
  <r>
    <x v="102"/>
    <s v="10401394 - Upgrade to DS687 Duplex A6 ID Card Scanners (3 units) for Front desk reception"/>
    <s v="Won"/>
    <d v="2024-01-02T00:00:00"/>
    <n v="0"/>
    <s v="DS687-BCS"/>
    <s v="Ambir ImageScan Pro DS687 Card Scanner - Duplex Scanning"/>
    <s v="IT/LAN Equipment"/>
    <n v="3"/>
    <n v="0"/>
    <n v="0"/>
    <m/>
    <n v="0"/>
    <m/>
    <m/>
    <n v="374"/>
    <n v="1122"/>
    <n v="306.19"/>
    <n v="918.56999999999994"/>
    <s v="Lathrop Lougheed"/>
    <n v="16.274400000000007"/>
  </r>
  <r>
    <x v="103"/>
    <s v="Quote #MPS122355 Per Service Ticket #10419786 - BNV Switch"/>
    <s v="Won"/>
    <d v="2024-01-04T00:00:00"/>
    <n v="0"/>
    <s v="CON-SNT-C1062G16"/>
    <s v="Cisco Smart Net Total Care - Extended Service - Service - 8 x 5 x Next Business Day - Exchange - Parts - 3-Years"/>
    <s v="IT/LAN Equipment"/>
    <n v="2"/>
    <n v="0"/>
    <n v="0"/>
    <m/>
    <n v="0"/>
    <m/>
    <m/>
    <n v="321"/>
    <n v="642"/>
    <n v="227.11"/>
    <n v="454.22"/>
    <s v="Kade Thurman"/>
    <n v="0"/>
  </r>
  <r>
    <x v="103"/>
    <s v="Quote #MPS122355 Per Service Ticket #10419786 - BNV Switch"/>
    <s v="Won"/>
    <d v="2024-01-04T00:00:00"/>
    <n v="0"/>
    <s v="C1000-16P-2G-L"/>
    <s v="Cisco Catalyst C1000-16P Ethernet Switch - 16 Ports - Manageable - 2 Layer Supported - Modular - 2 SFP Slots - 136.92 W Power Consumption - Twisted Pair, Optical Fiber - Rack-mountable"/>
    <s v="IT/LAN Equipment"/>
    <n v="2"/>
    <n v="0"/>
    <n v="0"/>
    <m/>
    <n v="0"/>
    <m/>
    <m/>
    <n v="750.05"/>
    <n v="1500.1"/>
    <n v="600.04"/>
    <n v="1200.08"/>
    <s v="Kade Thurman"/>
    <n v="0"/>
  </r>
  <r>
    <x v="103"/>
    <s v="Quote #MPS122355 Per Service Ticket #10419786 - BNV Switch"/>
    <s v="Won"/>
    <d v="2024-01-04T00:00:00"/>
    <n v="0"/>
    <s v="MPC-PS-T2"/>
    <s v="Meriplex Tier 2 Engineer Labor"/>
    <s v="IT/LAN Installation"/>
    <n v="8"/>
    <n v="0"/>
    <n v="0"/>
    <m/>
    <n v="0"/>
    <m/>
    <m/>
    <n v="195"/>
    <n v="1560"/>
    <n v="0"/>
    <n v="0"/>
    <s v="Kade Thurman"/>
    <n v="0"/>
  </r>
  <r>
    <x v="103"/>
    <s v="Quote #MPS122355 Per Service Ticket #10419786 - BNV Switch"/>
    <s v="Won"/>
    <d v="2024-01-04T00:00:00"/>
    <n v="0"/>
    <s v="GLC-LH-SMD="/>
    <s v="Cisco SFP (mini-GBIC) Module - 1 x LC/PC Duplex 1000Base-LX/LH Network1"/>
    <s v="IT/LAN Equipment"/>
    <n v="4"/>
    <n v="0"/>
    <n v="0"/>
    <m/>
    <n v="0"/>
    <m/>
    <m/>
    <n v="503.15"/>
    <n v="2012.6"/>
    <n v="412.58"/>
    <n v="1650.32"/>
    <s v="Kade Thurman"/>
    <n v="0"/>
  </r>
  <r>
    <x v="104"/>
    <s v="MPX LA - New computer"/>
    <s v="Won"/>
    <d v="2024-01-05T00:00:00"/>
    <n v="0"/>
    <s v="T5D-03518"/>
    <s v="Microsoft Office 2021 Home &amp; Business - Box Pack - 1 PC/Mac - Medialess - English - PC, Intel-based Mac"/>
    <s v="IT/LAN Equipment"/>
    <n v="1"/>
    <n v="0"/>
    <n v="0"/>
    <m/>
    <n v="0"/>
    <m/>
    <m/>
    <n v="258.08"/>
    <n v="258.08"/>
    <n v="220.99"/>
    <n v="220.99"/>
    <s v="Brandon Philips"/>
    <n v="0"/>
  </r>
  <r>
    <x v="104"/>
    <s v="MPX LA - New computer"/>
    <s v="Won"/>
    <d v="2024-01-05T00:00:00"/>
    <n v="0"/>
    <s v="83Q60UT#ABA"/>
    <s v="HP Pro Mini 400 G9 Desktop Computer - Intel Core i5 12th Gen i5-12500T Hexa-core (6 Core) 2 GHz - 16 GB RAM DDR4 SDRAM - 256 GB M.2 PCI Express NVMe SSD - Desktop Mini - Black - Intel Q670 Chip - Windows 11 Pro"/>
    <s v="IT/LAN Equipment"/>
    <n v="1"/>
    <n v="0"/>
    <n v="0"/>
    <m/>
    <n v="0"/>
    <m/>
    <m/>
    <n v="887.11"/>
    <n v="887.11"/>
    <n v="691.36"/>
    <n v="691.36"/>
    <s v="Brandon Philips"/>
    <n v="0"/>
  </r>
  <r>
    <x v="104"/>
    <s v="MPX LA - New computer"/>
    <s v="Won"/>
    <d v="2024-01-05T00:00:00"/>
    <n v="0"/>
    <s v="MPC-PS-T2"/>
    <s v="Meriplex Tier 2 Engineer Labor - PSP Platinum"/>
    <s v="IT/LAN Installation"/>
    <n v="4"/>
    <n v="0"/>
    <n v="0"/>
    <m/>
    <n v="0"/>
    <m/>
    <m/>
    <n v="166"/>
    <n v="664"/>
    <n v="0"/>
    <n v="0"/>
    <s v="Brandon Philips"/>
    <n v="0"/>
  </r>
  <r>
    <x v="104"/>
    <s v="MPX LA - New computer"/>
    <s v="Won"/>
    <d v="2024-01-05T00:00:00"/>
    <n v="0"/>
    <s v="VMS - DP2VGA M6ft"/>
    <s v="Video Cable - 6.56 ft 2M Displayport To VGA"/>
    <s v="IT/LAN Equipment"/>
    <n v="1"/>
    <n v="0"/>
    <n v="0"/>
    <m/>
    <n v="0"/>
    <m/>
    <m/>
    <n v="32.57"/>
    <n v="32.57"/>
    <n v="24.43"/>
    <n v="24.43"/>
    <s v="Brandon Philips"/>
    <n v="0"/>
  </r>
  <r>
    <x v="105"/>
    <s v="Quote #MPS122400 Per Service Ticket #10430285 - Dell Post Warranty Renewal"/>
    <s v="Won"/>
    <d v="2024-01-25T00:00:00"/>
    <n v="0"/>
    <s v="4U"/>
    <s v="ProSupport and 4Hr Mission Critical Variable"/>
    <s v="IT/LAN Equipment"/>
    <n v="2"/>
    <n v="0"/>
    <n v="0"/>
    <m/>
    <n v="0"/>
    <m/>
    <m/>
    <n v="1456.77"/>
    <n v="2913.54"/>
    <n v="1209.1199999999999"/>
    <n v="2418.2399999999998"/>
    <s v="Lathrop Lougheed"/>
    <n v="39.624000000000017"/>
  </r>
  <r>
    <x v="105"/>
    <s v="Quote #MPS122400 Per Service Ticket #10430285 - Dell Post Warranty Renewal"/>
    <s v="Won"/>
    <d v="2024-01-25T00:00:00"/>
    <n v="0"/>
    <s v="XG"/>
    <s v="Post Standard Support and 4hr On-Site Service After Problem Diagnosis Variable"/>
    <s v="IT/LAN Equipment"/>
    <n v="1"/>
    <n v="0"/>
    <n v="0"/>
    <m/>
    <n v="0"/>
    <m/>
    <m/>
    <n v="1367.11"/>
    <n v="1367.11"/>
    <n v="1230.4000000000001"/>
    <n v="1230.4000000000001"/>
    <s v="Lathrop Lougheed"/>
    <n v="10.936799999999986"/>
  </r>
  <r>
    <x v="106"/>
    <s v="10401491 - New Business Class Laptop for New Foster Care Coordinator - Julie - Starting 1/16"/>
    <s v="Won"/>
    <d v="2024-01-02T00:00:00"/>
    <n v="0"/>
    <s v="Y25FC"/>
    <s v="Dell Latitude 3440 14&quot; Notebook - Full HD - 1920 x 1080 - Intel Core i5 13th Gen i5-1335U Deca-core (10 Core) - 8 GB Total RAM - 256 GB SSD - Soft Charcoal - Intel Chip - Windows 11 Pro - Intel Iris Xe Graphics - In-plane Switching (IPS) Technology -"/>
    <s v="IT/LAN Equipment"/>
    <n v="1"/>
    <n v="0"/>
    <n v="0"/>
    <m/>
    <n v="0"/>
    <m/>
    <m/>
    <n v="800.71"/>
    <n v="800.71"/>
    <n v="696.27"/>
    <n v="696.27"/>
    <s v="Lathrop Lougheed"/>
    <n v="8.3552000000000053"/>
  </r>
  <r>
    <x v="107"/>
    <s v="Three New Laptops"/>
    <s v="Won"/>
    <d v="2024-01-16T00:00:00"/>
    <n v="0"/>
    <s v="Travel Time - Hourly"/>
    <s v="Travel Time - Hourly"/>
    <s v="IT/LAN Installation"/>
    <n v="0.5"/>
    <n v="0"/>
    <n v="0"/>
    <m/>
    <n v="0"/>
    <m/>
    <m/>
    <n v="135"/>
    <n v="67.5"/>
    <n v="0"/>
    <n v="0"/>
    <s v="Jonathan DeFez"/>
    <n v="2.7"/>
  </r>
  <r>
    <x v="107"/>
    <s v="Three New Laptops"/>
    <s v="Won"/>
    <d v="2024-01-16T00:00:00"/>
    <n v="0"/>
    <s v="21HD002BUS"/>
    <s v="Lenovo ThinkPad T14 Gen 4 14&quot; Notebook - WUXGA - 1920 x 1200 - Intel Core i7 13th Gen i7-1355U Deca-core (10 Core) - 16 GB Total RAM - 16 GB On-board Memory - 512 GB SSD - Storm Gray - Intel Chip - Windows 11 Pro - Intel Iris Xe Graphics - In-p"/>
    <s v="IT/LAN Equipment"/>
    <n v="3"/>
    <n v="0"/>
    <n v="0"/>
    <m/>
    <n v="0"/>
    <m/>
    <m/>
    <n v="1657.47"/>
    <n v="4972.41"/>
    <n v="1439.32"/>
    <n v="4317.96"/>
    <s v="Jonathan DeFez"/>
    <n v="52.355999999999987"/>
  </r>
  <r>
    <x v="107"/>
    <s v="Three New Laptops"/>
    <s v="Won"/>
    <d v="2024-01-16T00:00:00"/>
    <n v="0"/>
    <s v="Delivered"/>
    <s v="PC(s) will be built, updated and configured and then delivered and installed by Meriplex"/>
    <s v="IT/LAN Installation"/>
    <n v="3"/>
    <n v="0"/>
    <n v="0"/>
    <m/>
    <n v="0"/>
    <m/>
    <m/>
    <n v="295"/>
    <n v="885"/>
    <n v="0"/>
    <n v="0"/>
    <s v="Jonathan DeFez"/>
    <n v="35.4"/>
  </r>
  <r>
    <x v="108"/>
    <s v="Monitors"/>
    <s v="Won"/>
    <d v="2024-01-02T00:00:00"/>
    <n v="0"/>
    <s v="64W41AA#ABA"/>
    <s v="HP P27h G5 27&quot; Class Full HD LCD Monitor - 16:9 - Black - 27&quot; Viewable - In-plane Switching (IPS) Technology - LED Backlight - 1920 x 1080 - 16.7 Million Colors - 250 Nit - 5 ms - 75 Hz Refresh Rate - HDMI - VGA - DisplayPort"/>
    <s v="IT/LAN Equipment"/>
    <n v="8"/>
    <n v="0"/>
    <n v="0"/>
    <m/>
    <n v="0"/>
    <m/>
    <m/>
    <n v="206"/>
    <n v="1648"/>
    <n v="165"/>
    <n v="1320"/>
    <s v="Andrew Harp"/>
    <n v="26.240000000000002"/>
  </r>
  <r>
    <x v="108"/>
    <s v="Monitors"/>
    <s v="Won"/>
    <d v="2024-01-02T00:00:00"/>
    <n v="0"/>
    <s v="MPSSHIP"/>
    <s v="Shipping Insurance to Site Office"/>
    <s v="IT/LAN Equipment"/>
    <n v="1"/>
    <n v="0"/>
    <n v="0"/>
    <m/>
    <n v="0"/>
    <m/>
    <m/>
    <n v="80.98"/>
    <n v="80.98"/>
    <n v="80.98"/>
    <n v="80.98"/>
    <s v="Andrew Harp"/>
    <n v="0"/>
  </r>
  <r>
    <x v="109"/>
    <s v="MPX LA - New Laptop for Beau"/>
    <s v="Won"/>
    <d v="2024-01-02T00:00:00"/>
    <n v="0"/>
    <s v="B0BH16CM15"/>
    <s v="HP Envy x360 2-in-1 Convertible Business Laptop, 15.6? FHD Touchscreen, AMD Ryzen 5 5625U Up to 4.3GHz, Windows 11 Pro, 16GB RAM, 512GB SSD, WiFi 6, Backlit Keyboard, Nightfall Black"/>
    <s v="IT/LAN Equipment"/>
    <n v="1"/>
    <n v="0"/>
    <n v="0"/>
    <m/>
    <n v="0"/>
    <m/>
    <m/>
    <n v="1049"/>
    <n v="1049"/>
    <n v="819"/>
    <n v="819"/>
    <s v="Brandon Philips"/>
    <n v="0"/>
  </r>
  <r>
    <x v="109"/>
    <s v="MPX LA - New Laptop for Beau"/>
    <s v="Won"/>
    <d v="2024-01-02T00:00:00"/>
    <n v="0"/>
    <s v="MPC-PS-T2"/>
    <s v="Meriplex Tier 2 Engineer Labor"/>
    <s v="IT/LAN Installation"/>
    <n v="3"/>
    <n v="0"/>
    <n v="0"/>
    <m/>
    <n v="0"/>
    <m/>
    <m/>
    <n v="200"/>
    <n v="600"/>
    <n v="0"/>
    <n v="0"/>
    <s v="Brandon Philips"/>
    <n v="0"/>
  </r>
  <r>
    <x v="110"/>
    <s v="MPX LA - SSL Renewal"/>
    <s v="Won"/>
    <d v="2024-01-03T00:00:00"/>
    <n v="0"/>
    <s v="VMS - VSI-SSL Cert Standard"/>
    <s v="Standard SSL Certificate - 1 Year"/>
    <s v="IT/LAN Equipment"/>
    <n v="1"/>
    <n v="0"/>
    <n v="0"/>
    <m/>
    <n v="0"/>
    <m/>
    <m/>
    <n v="98"/>
    <n v="98"/>
    <n v="67.989999999999995"/>
    <n v="67.989999999999995"/>
    <s v="Brandon Philips"/>
    <n v="0"/>
  </r>
  <r>
    <x v="111"/>
    <s v="Fiber Modules"/>
    <s v="Won"/>
    <d v="2024-01-02T00:00:00"/>
    <n v="0"/>
    <s v="JF832A-AO"/>
    <s v="AddOn HP JF832A Compatible TAA Compliant 1000Base-LX SFP Transceiver (SMF, 1310nm, 10km, LC) - 100% compatible and guaranteed to work"/>
    <s v="IT/LAN Equipment"/>
    <n v="2"/>
    <n v="0"/>
    <n v="0"/>
    <m/>
    <n v="0"/>
    <m/>
    <m/>
    <n v="62"/>
    <n v="124"/>
    <n v="47.24"/>
    <n v="94.48"/>
    <s v="Ron Walker"/>
    <n v="2.5091999999999999"/>
  </r>
  <r>
    <x v="112"/>
    <s v="Parker PT Patch Cables"/>
    <s v="Won"/>
    <d v="2024-01-04T00:00:00"/>
    <n v="0"/>
    <s v="N201-S01-BK"/>
    <s v="Tripp Lite by Eaton Cat6 Gigabit Snagless Slim UTP Ethernet Cable (RJ45 M/M) PoE Black 1 ft. (0.31 m) - 1 ft Category 6 Network Cable for Network Device, Printer, Photocopier, Router, Server, Computer, Modem, Switch, Workstation - First End: 1 x RJ-45 Net"/>
    <s v="IT/LAN Equipment"/>
    <n v="12"/>
    <n v="0"/>
    <n v="0"/>
    <m/>
    <n v="0"/>
    <m/>
    <m/>
    <n v="2"/>
    <n v="24"/>
    <n v="1.49"/>
    <n v="17.88"/>
    <s v="Michael True"/>
    <n v="0.52020000000000011"/>
  </r>
  <r>
    <x v="112"/>
    <s v="Parker PT Patch Cables"/>
    <s v="Won"/>
    <d v="2024-01-04T00:00:00"/>
    <n v="0"/>
    <s v="N201-002-YW"/>
    <s v="Tripp Lite by Eaton Cat6 Gigabit Snagless Molded (UTP) Ethernet Cable (RJ45 M/M) PoE Yellow 2 ft. (0.61 m) - Category 6 for Network Device - 2ft - 1 x RJ-45 Male Network - 1 x RJ-45 Male Network - Yellow"/>
    <s v="IT/LAN Equipment"/>
    <n v="1"/>
    <n v="0"/>
    <n v="0"/>
    <m/>
    <n v="0"/>
    <m/>
    <m/>
    <n v="3"/>
    <n v="3"/>
    <n v="1.74"/>
    <n v="1.74"/>
    <s v="Michael True"/>
    <n v="0.10710000000000001"/>
  </r>
  <r>
    <x v="112"/>
    <s v="Parker PT Patch Cables"/>
    <s v="Won"/>
    <d v="2024-01-04T00:00:00"/>
    <n v="0"/>
    <s v="N201-001-YW"/>
    <s v="Tripp Lite by Eaton Cat6 Gigabit Snagless Molded (UTP) Ethernet Cable (RJ45 M/M) PoE Yellow 1 ft. (0.31 m) - Category 6 - 1ft - 1 x RJ-45 Male Network - 1 x RJ-45 Male Network - Yellow"/>
    <s v="IT/LAN Equipment"/>
    <n v="1"/>
    <n v="0"/>
    <n v="0"/>
    <m/>
    <n v="0"/>
    <m/>
    <m/>
    <n v="2"/>
    <n v="2"/>
    <n v="1.57"/>
    <n v="1.57"/>
    <s v="Michael True"/>
    <n v="3.6549999999999999E-2"/>
  </r>
  <r>
    <x v="113"/>
    <s v="Docking Station - Dan Baughman"/>
    <s v="Won"/>
    <d v="2024-01-02T00:00:00"/>
    <n v="0"/>
    <s v="wd22tb4sap"/>
    <s v="Dell Thunderbolt Dock ? WD22TB4"/>
    <s v="IT/LAN Equipment"/>
    <n v="1"/>
    <n v="0"/>
    <n v="0"/>
    <m/>
    <n v="0"/>
    <m/>
    <m/>
    <n v="330"/>
    <n v="330"/>
    <n v="264.95"/>
    <n v="264.95"/>
    <s v="Lathrop Lougheed"/>
    <n v="5.2040000000000006"/>
  </r>
  <r>
    <x v="114"/>
    <s v="New Computer Jada Jane Pearl Swendsen"/>
    <s v="Won"/>
    <d v="2024-01-04T00:00:00"/>
    <n v="0"/>
    <s v="CP550SLG"/>
    <s v="CyberPower Standby UPS Systems - 550VA/330W, 120 VAC, NEMA 5-15P, Compact, 8 Outlets, PowerPanel® Personal, $100000 CEG, 3YR Warranty"/>
    <s v="IT/LAN Equipment"/>
    <n v="1"/>
    <n v="0"/>
    <n v="0"/>
    <m/>
    <n v="0"/>
    <m/>
    <m/>
    <n v="69.62"/>
    <n v="69.62"/>
    <n v="60.54"/>
    <n v="60.54"/>
    <s v="Jonathan DeFez"/>
    <n v="0.72640000000000049"/>
  </r>
  <r>
    <x v="114"/>
    <s v="New Computer Jada Jane Pearl Swendsen"/>
    <s v="Won"/>
    <d v="2024-01-04T00:00:00"/>
    <n v="0"/>
    <s v="920-004536"/>
    <s v="Logitech Wireless Keyboard and Mouse Combo"/>
    <s v="IT/LAN Equipment"/>
    <n v="1"/>
    <n v="0"/>
    <n v="0"/>
    <m/>
    <n v="0"/>
    <m/>
    <m/>
    <n v="28.18"/>
    <n v="28.18"/>
    <n v="24.43"/>
    <n v="24.43"/>
    <s v="Jonathan DeFez"/>
    <n v="0.3"/>
  </r>
  <r>
    <x v="114"/>
    <s v="New Computer Jada Jane Pearl Swendsen"/>
    <s v="Won"/>
    <d v="2024-01-04T00:00:00"/>
    <n v="0"/>
    <s v="40AY0090US"/>
    <s v="Lenovo ThinkPad Universal USB-C Dock"/>
    <s v="IT/LAN Equipment"/>
    <n v="1"/>
    <n v="0"/>
    <n v="0"/>
    <m/>
    <n v="0"/>
    <m/>
    <m/>
    <n v="201.25"/>
    <n v="201.25"/>
    <n v="170"/>
    <n v="170"/>
    <s v="Jonathan DeFez"/>
    <n v="2.5"/>
  </r>
  <r>
    <x v="114"/>
    <s v="New Computer Jada Jane Pearl Swendsen"/>
    <s v="Won"/>
    <d v="2024-01-04T00:00:00"/>
    <n v="0"/>
    <s v="DISPLPORT6L"/>
    <s v="DisplayPort to DisplayPort 6' Cable"/>
    <s v="IT/LAN Equipment"/>
    <n v="2"/>
    <n v="0"/>
    <n v="0"/>
    <m/>
    <n v="0"/>
    <m/>
    <m/>
    <n v="12.16"/>
    <n v="24.32"/>
    <n v="10.4"/>
    <n v="20.8"/>
    <s v="Jonathan DeFez"/>
    <n v="0.28159999999999996"/>
  </r>
  <r>
    <x v="114"/>
    <s v="New Computer Jada Jane Pearl Swendsen"/>
    <s v="Won"/>
    <d v="2024-01-04T00:00:00"/>
    <n v="0"/>
    <s v="21DH000VUS"/>
    <s v="Lenovo ThinkBook 14 G4 IAP 14&quot; Touchscreen Notebook - Full HD - 1920 x 1080 - Intel Core i7 12th Gen i7-1255U Deca-core (10 Core) 1.70 GHz - 16 GB Total RAM - 8 GB On-board Memory - 512 GB SSD - Mineral Gray - Intel Chip - Windows 11 Pro - Inte"/>
    <s v="IT/LAN Equipment"/>
    <n v="1"/>
    <n v="0"/>
    <n v="0"/>
    <m/>
    <n v="0"/>
    <m/>
    <m/>
    <n v="944.48"/>
    <n v="944.48"/>
    <n v="821.29"/>
    <n v="821.29"/>
    <s v="Jonathan DeFez"/>
    <n v="9.8552000000000053"/>
  </r>
  <r>
    <x v="114"/>
    <s v="New Computer Jada Jane Pearl Swendsen"/>
    <s v="Won"/>
    <d v="2024-01-04T00:00:00"/>
    <n v="0"/>
    <s v="Shipped"/>
    <s v="PC(s) will be built, updated and configured and then shipped to the client from the Meriplex Office"/>
    <s v="IT/LAN Installation"/>
    <n v="1"/>
    <n v="0"/>
    <n v="0"/>
    <m/>
    <n v="0"/>
    <m/>
    <m/>
    <n v="149"/>
    <n v="149"/>
    <n v="0"/>
    <n v="0"/>
    <s v="Jonathan DeFez"/>
    <n v="5.96"/>
  </r>
  <r>
    <x v="115"/>
    <s v="Visual Studio qty 1"/>
    <s v="Won"/>
    <d v="2024-01-03T00:00:00"/>
    <n v="0"/>
    <s v="DG7GMGF0D3SJ0003COM"/>
    <s v="VISUAL STUDIO PROFESSIONAL 2022MLIC"/>
    <s v="IT/LAN Equipment"/>
    <n v="1"/>
    <n v="0"/>
    <n v="0"/>
    <m/>
    <n v="0"/>
    <m/>
    <m/>
    <n v="488"/>
    <n v="488"/>
    <n v="429.14"/>
    <n v="429.14"/>
    <s v="Cynthia Newsom"/>
    <n v="5.0031000000000017"/>
  </r>
  <r>
    <x v="116"/>
    <s v="10406558 - VMware Support Renewal"/>
    <s v="Won"/>
    <d v="2024-01-06T00:00:00"/>
    <n v="0"/>
    <s v="VS6-ESSL-SUB-C"/>
    <s v="Subscription VMware vSphere 6 Essentials Kit for 3 hosts (Max 2 processors per host)"/>
    <s v="IT/LAN Equipment"/>
    <n v="1"/>
    <n v="0"/>
    <n v="0"/>
    <m/>
    <n v="0"/>
    <m/>
    <m/>
    <n v="92"/>
    <n v="92"/>
    <n v="75.12"/>
    <n v="75.12"/>
    <s v="Lathrop Lougheed"/>
    <n v="1.3503999999999996"/>
  </r>
  <r>
    <x v="117"/>
    <s v="Quote #MPS122441 Per Service Ticket #10438999 - New Laptops"/>
    <s v="Won"/>
    <d v="2024-01-02T00:00:00"/>
    <n v="0"/>
    <s v="822Q9UT#ABA"/>
    <s v="HP ProBook 440 G10 14&quot; Touchscreen Notebook - Full HD - 1920 x 1080 - Intel Core i7 13th Gen i7-1355U Deca-core (10 Core) 1.70 GHz - 16 GB Total RAM - 512 GB SSD - Pike Silver Plastic - Intel Chip - Windows 11 Pro - Intel UHD Graphics - In-plane Switching"/>
    <s v="IT/LAN Equipment"/>
    <n v="10"/>
    <n v="0"/>
    <n v="0"/>
    <m/>
    <n v="0"/>
    <m/>
    <m/>
    <n v="893.18"/>
    <n v="8931.7999999999993"/>
    <n v="803.86"/>
    <n v="8038.6"/>
    <s v="Kade Thurman"/>
    <n v="0"/>
  </r>
  <r>
    <x v="117"/>
    <s v="Quote #MPS122441 Per Service Ticket #10438999 - New Laptops"/>
    <s v="Won"/>
    <d v="2024-01-02T00:00:00"/>
    <n v="0"/>
    <s v="MPC-PS-T2"/>
    <s v="PC Migration or Installation Services"/>
    <s v="IT/LAN Installation"/>
    <n v="10"/>
    <n v="0"/>
    <n v="0"/>
    <m/>
    <n v="0"/>
    <m/>
    <m/>
    <n v="100"/>
    <n v="1000"/>
    <n v="0"/>
    <n v="0"/>
    <s v="Kade Thurman"/>
    <n v="0"/>
  </r>
  <r>
    <x v="117"/>
    <s v="Quote #MPS122441 Per Service Ticket #10438999 - New Laptops"/>
    <s v="Won"/>
    <d v="2024-01-02T00:00:00"/>
    <n v="0"/>
    <s v="CED4-15"/>
    <s v="E-Waste Recycling Fee"/>
    <s v="IT/LAN Equipment"/>
    <n v="10"/>
    <n v="0"/>
    <n v="0"/>
    <m/>
    <n v="0"/>
    <m/>
    <m/>
    <n v="4"/>
    <n v="40"/>
    <n v="4"/>
    <n v="40"/>
    <s v="Kade Thurman"/>
    <n v="0"/>
  </r>
  <r>
    <x v="118"/>
    <s v="#10378347 - City of Warrenton / Propose Camera and DVR Overhaul at Community Center"/>
    <s v="Won"/>
    <d v="2024-01-16T00:00:00"/>
    <n v="0"/>
    <s v="MPC-PS-T3"/>
    <s v="Meriplex Tier 3 Engineer Labor"/>
    <s v="IT/LAN Installation"/>
    <n v="25"/>
    <n v="0"/>
    <n v="0"/>
    <m/>
    <n v="0"/>
    <m/>
    <m/>
    <n v="150"/>
    <n v="3750"/>
    <n v="0"/>
    <n v="0"/>
    <s v="Lathrop Lougheed"/>
    <n v="150"/>
  </r>
  <r>
    <x v="118"/>
    <s v="#10378347 - City of Warrenton / Propose Camera and DVR Overhaul at Community Center"/>
    <s v="Won"/>
    <d v="2024-01-16T00:00:00"/>
    <n v="0"/>
    <s v="UVC-G4-PTZ"/>
    <s v="Ubiquiti UniFi Protect 8 Megapixel HD Network Camera - 328.08 ft - H.264 - 3840 x 2160 Zoom Lens - 22x Optical - 24 fps - CMOS - Wall Mount - Tamper Resistant, Weather Proof"/>
    <s v="IT/LAN Equipment"/>
    <n v="1"/>
    <n v="0"/>
    <n v="0"/>
    <m/>
    <n v="0"/>
    <m/>
    <m/>
    <n v="2042"/>
    <n v="2042"/>
    <n v="1691.16"/>
    <n v="1691.16"/>
    <s v="Lathrop Lougheed"/>
    <n v="28.067199999999993"/>
  </r>
  <r>
    <x v="118"/>
    <s v="#10378347 - City of Warrenton / Propose Camera and DVR Overhaul at Community Center"/>
    <s v="Won"/>
    <d v="2024-01-16T00:00:00"/>
    <n v="0"/>
    <s v="UNVR-PRO"/>
    <s v="Ubiquiti UNIFI PROTECT NTWRK VIDEO RECORDER PRO"/>
    <s v="IT/LAN Equipment"/>
    <n v="1"/>
    <n v="0"/>
    <n v="0"/>
    <m/>
    <n v="0"/>
    <m/>
    <m/>
    <n v="603"/>
    <n v="603"/>
    <n v="499.13"/>
    <n v="499.13"/>
    <s v="Lathrop Lougheed"/>
    <n v="8.3095999999999997"/>
  </r>
  <r>
    <x v="118"/>
    <s v="#10378347 - City of Warrenton / Propose Camera and DVR Overhaul at Community Center"/>
    <s v="Won"/>
    <d v="2024-01-16T00:00:00"/>
    <n v="0"/>
    <s v="ST6000NT001"/>
    <s v="Seagate IronWolf Pro 6 TB Hard Drive - 3.5&quot; Internal - SATA (SATA/600) - Conventional Magnetic Recording (CMR) Method - Server, Workstation Device Supported - 7200rpm - 5 Year Warranty"/>
    <s v="IT/LAN Equipment"/>
    <n v="5"/>
    <n v="0"/>
    <n v="0"/>
    <m/>
    <n v="0"/>
    <m/>
    <m/>
    <n v="256"/>
    <n v="1280"/>
    <n v="211.57"/>
    <n v="1057.8499999999999"/>
    <s v="Lathrop Lougheed"/>
    <n v="17.772000000000009"/>
  </r>
  <r>
    <x v="118"/>
    <s v="#10378347 - City of Warrenton / Propose Camera and DVR Overhaul at Community Center"/>
    <s v="Won"/>
    <d v="2024-01-16T00:00:00"/>
    <n v="0"/>
    <s v="USW-24-POE"/>
    <s v="Ubiquiti Ethernet Switch - 24 Ports - Manageable - 2 Layer Supported - Modular - 2 SFP Slots - Optical Fiber, Twisted Pair - 1U High - Rack-mountable, Desktop - 1 Year Limited Warranty"/>
    <s v="IT/LAN Equipment"/>
    <n v="1"/>
    <n v="0"/>
    <n v="0"/>
    <m/>
    <n v="0"/>
    <m/>
    <m/>
    <n v="434"/>
    <n v="434"/>
    <n v="359.37"/>
    <n v="359.37"/>
    <s v="Lathrop Lougheed"/>
    <n v="5.9703999999999997"/>
  </r>
  <r>
    <x v="118"/>
    <s v="#10378347 - City of Warrenton / Propose Camera and DVR Overhaul at Community Center"/>
    <s v="Won"/>
    <d v="2024-01-16T00:00:00"/>
    <n v="0"/>
    <s v="UACC-OM-MM-10G-D-2"/>
    <s v="Ubiquiti SFP+ Module - For Data Networking, Optical Network - 2 x LC Duplex Network - Optical Fiber - Multi-mode - 10 Gigabit Ethernet"/>
    <s v="IT/LAN Equipment"/>
    <n v="2"/>
    <n v="0"/>
    <n v="0"/>
    <m/>
    <n v="0"/>
    <m/>
    <m/>
    <n v="53"/>
    <n v="106"/>
    <n v="37.58"/>
    <n v="75.16"/>
    <s v="Lathrop Lougheed"/>
    <n v="2.4672000000000005"/>
  </r>
  <r>
    <x v="118"/>
    <s v="#10378347 - City of Warrenton / Propose Camera and DVR Overhaul at Community Center"/>
    <s v="Won"/>
    <d v="2024-01-16T00:00:00"/>
    <n v="0"/>
    <s v="MPC-PS-PM"/>
    <s v="Project Management"/>
    <s v="IT/LAN Installation"/>
    <n v="7"/>
    <n v="0"/>
    <n v="0"/>
    <m/>
    <n v="0"/>
    <m/>
    <m/>
    <n v="150"/>
    <n v="1050"/>
    <n v="0"/>
    <n v="0"/>
    <s v="Lathrop Lougheed"/>
    <n v="42"/>
  </r>
  <r>
    <x v="118"/>
    <s v="#10378347 - City of Warrenton / Propose Camera and DVR Overhaul at Community Center"/>
    <s v="Won"/>
    <d v="2024-01-16T00:00:00"/>
    <n v="0"/>
    <s v="USW-48-POE"/>
    <s v="Ubiquiti UniFi Ethernet Switch - 48 Ports - Manageable - 2 Layer Supported - Modular - 4 SFP Slots - 45 W Power Consumption - 195 W PoE Budget - Twisted Pair, Optical Fiber - PoE Ports - 1U High - Rack-mountable, Desktop - 1 Year Limited Warran"/>
    <s v="IT/LAN Equipment"/>
    <n v="1"/>
    <n v="0"/>
    <n v="0"/>
    <m/>
    <n v="0"/>
    <m/>
    <m/>
    <n v="677"/>
    <n v="677"/>
    <n v="560.20000000000005"/>
    <n v="560.20000000000005"/>
    <s v="Lathrop Lougheed"/>
    <n v="9.3439999999999959"/>
  </r>
  <r>
    <x v="118"/>
    <s v="#10378347 - City of Warrenton / Propose Camera and DVR Overhaul at Community Center"/>
    <s v="Won"/>
    <d v="2024-01-16T00:00:00"/>
    <n v="0"/>
    <s v="MPC-PS-T1"/>
    <s v="Meriplex Tier 1 Technician Labor"/>
    <s v="IT/LAN Installation"/>
    <n v="1"/>
    <n v="0"/>
    <n v="0"/>
    <m/>
    <n v="0"/>
    <m/>
    <m/>
    <n v="120"/>
    <n v="120"/>
    <n v="0"/>
    <n v="0"/>
    <s v="Lathrop Lougheed"/>
    <n v="4.8"/>
  </r>
  <r>
    <x v="118"/>
    <s v="#10378347 - City of Warrenton / Propose Camera and DVR Overhaul at Community Center"/>
    <s v="Won"/>
    <d v="2024-01-16T00:00:00"/>
    <n v="0"/>
    <s v="UVC-G5-Pro"/>
    <s v="Ubiquiti UniFi 8 Megapixel Indoor/Outdoor 4K Network Camera - Color - Bullet - 82.02 ft Infrared Night Vision - H.264, H.265 - 3840 x 2160 - 4.10 mm- 12.30 mm Varifocal Lens - 3x Optical - 30 fps - CMOS - Fast Ethernet - Wall Mount, Pole Mount"/>
    <s v="IT/LAN Equipment"/>
    <n v="7"/>
    <n v="0"/>
    <n v="0"/>
    <m/>
    <n v="0"/>
    <m/>
    <m/>
    <n v="433"/>
    <n v="3031"/>
    <n v="358.2"/>
    <n v="2507.4"/>
    <s v="Lathrop Lougheed"/>
    <n v="41.887999999999991"/>
  </r>
  <r>
    <x v="119"/>
    <s v="Stockmen National Bank of Cotulla Penetration testing"/>
    <s v="Won"/>
    <d v="2024-01-09T00:00:00"/>
    <n v="0"/>
    <s v="MPC-PS-T3"/>
    <s v="Meriplex Tier 3 Engineer Labor"/>
    <s v="IT/LAN Installation"/>
    <n v="16"/>
    <n v="0"/>
    <n v="0"/>
    <m/>
    <n v="0"/>
    <m/>
    <m/>
    <n v="200"/>
    <n v="3200"/>
    <n v="0"/>
    <n v="0"/>
    <s v="Elmer Mosbey"/>
    <n v="128"/>
  </r>
  <r>
    <x v="120"/>
    <s v="Two Surface Pro Laptops"/>
    <s v="Won"/>
    <d v="2024-01-04T00:00:00"/>
    <n v="0"/>
    <s v="QIA-00001"/>
    <s v="Microsoft Surface Pro 9 Tablet - 13&quot; - Core i5 12th Gen i5-1245U Deca-core (10 Core) - 16 GB RAM - 256 GB SSD - Windows 11 Pro 64-bit - Platinum - 2880 x 1920 - PixelSense Display - 15.50 Hours Maximum Battery Run Time"/>
    <s v="IT/LAN Equipment"/>
    <n v="2"/>
    <n v="0"/>
    <n v="0"/>
    <m/>
    <n v="0"/>
    <m/>
    <m/>
    <n v="1565.94"/>
    <n v="3131.88"/>
    <n v="1361.69"/>
    <n v="2723.38"/>
    <s v="Jonathan DeFez"/>
    <n v="32.68"/>
  </r>
  <r>
    <x v="120"/>
    <s v="Two Surface Pro Laptops"/>
    <s v="Won"/>
    <d v="2024-01-04T00:00:00"/>
    <n v="0"/>
    <s v="8XB-00061"/>
    <s v="Microsoft Signature Keyboard/Cover Case for 13&quot; Microsoft Surface Pro 8, Surface Pro X Tablet - Platinum - Alcantara Exterior Material - 8.9&quot; Height x 11.4&quot; Width x 0.2&quot; Depth - 1 Pack"/>
    <s v="IT/LAN Equipment"/>
    <n v="2"/>
    <n v="0"/>
    <n v="0"/>
    <m/>
    <n v="0"/>
    <m/>
    <m/>
    <n v="148.6"/>
    <n v="297.2"/>
    <n v="129.22"/>
    <n v="258.44"/>
    <s v="Jonathan DeFez"/>
    <n v="3.1007999999999996"/>
  </r>
  <r>
    <x v="121"/>
    <s v="New Computers for Ryan and Jeff - 10439703"/>
    <s v="Won"/>
    <d v="2024-01-04T00:00:00"/>
    <n v="0"/>
    <s v="Dell-CTO"/>
    <s v="Dell Dock- WD19S 90w Power Delivery - 130w AC"/>
    <s v="IT/LAN Equipment"/>
    <n v="1"/>
    <n v="0"/>
    <n v="0"/>
    <m/>
    <n v="0"/>
    <m/>
    <m/>
    <n v="248.39"/>
    <n v="248.39"/>
    <n v="206.99"/>
    <n v="206.99"/>
    <s v="Lathrop Lougheed"/>
    <n v="3.3119999999999981"/>
  </r>
  <r>
    <x v="121"/>
    <s v="New Computers for Ryan and Jeff - 10439703"/>
    <s v="Won"/>
    <d v="2024-01-04T00:00:00"/>
    <n v="0"/>
    <s v="Dell-CTO"/>
    <s v="Dell Latitude 9330"/>
    <s v="IT/LAN Equipment"/>
    <n v="1"/>
    <n v="0"/>
    <n v="0"/>
    <m/>
    <n v="0"/>
    <m/>
    <m/>
    <n v="2051.2800000000002"/>
    <n v="2051.2800000000002"/>
    <n v="1709.4"/>
    <n v="1709.4"/>
    <s v="Lathrop Lougheed"/>
    <n v="27.350400000000008"/>
  </r>
  <r>
    <x v="121"/>
    <s v="New Computers for Ryan and Jeff - 10439703"/>
    <s v="Won"/>
    <d v="2024-01-04T00:00:00"/>
    <n v="0"/>
    <s v="Dell-CTO"/>
    <s v="Dell OptiPlex Small Form Factor (Plus 7010)"/>
    <s v="IT/LAN Equipment"/>
    <n v="1"/>
    <n v="0"/>
    <n v="0"/>
    <m/>
    <n v="0"/>
    <m/>
    <m/>
    <n v="2144.87"/>
    <n v="2144.87"/>
    <n v="1787.39"/>
    <n v="1787.39"/>
    <s v="Lathrop Lougheed"/>
    <n v="28.598399999999984"/>
  </r>
  <r>
    <x v="121"/>
    <s v="New Computers for Ryan and Jeff - 10439703"/>
    <s v="Won"/>
    <d v="2024-01-04T00:00:00"/>
    <n v="0"/>
    <s v="PC Setup"/>
    <s v="PC Setup"/>
    <s v="IT/LAN Installation"/>
    <n v="2"/>
    <n v="0"/>
    <n v="0"/>
    <m/>
    <n v="0"/>
    <m/>
    <m/>
    <n v="250"/>
    <n v="500"/>
    <n v="0"/>
    <n v="0"/>
    <s v="Lathrop Lougheed"/>
    <n v="20"/>
  </r>
  <r>
    <x v="122"/>
    <s v="#10430545 - Eddie Gallagher / Two i7 laptop quote request"/>
    <s v="Won"/>
    <d v="2024-01-08T00:00:00"/>
    <n v="0"/>
    <s v="808-3108"/>
    <s v="Dell ProSupport - Upgrade - 3 Year - Service - 24 x 7 x Next Business Day - On-site - Technical - Electronic, Physical"/>
    <s v="IT/LAN Equipment"/>
    <n v="2"/>
    <n v="0"/>
    <n v="0"/>
    <m/>
    <n v="0"/>
    <m/>
    <m/>
    <n v="145"/>
    <n v="290"/>
    <n v="118.49"/>
    <n v="236.98"/>
    <s v="Lathrop Lougheed"/>
    <n v="4.2416000000000009"/>
  </r>
  <r>
    <x v="122"/>
    <s v="#10430545 - Eddie Gallagher / Two i7 laptop quote request"/>
    <s v="Won"/>
    <d v="2024-01-08T00:00:00"/>
    <n v="0"/>
    <s v="R3T1W"/>
    <s v="Dell Latitude 3540 15.6&quot; Notebook - Full HD - 1920 x 1080 - Intel Core i7 13th Gen i7-1355U Deca-core (10 Core) - 16 GB Total RAM - 256 GB SSD - Gray - Intel Chip - Windows 11 Pro - Intel Iris Xe Graphics - In-plane Switching (IPS) Technology - English (U"/>
    <s v="IT/LAN Equipment"/>
    <n v="2"/>
    <n v="0"/>
    <n v="0"/>
    <m/>
    <n v="0"/>
    <m/>
    <m/>
    <n v="1145"/>
    <n v="2290"/>
    <n v="938.5"/>
    <n v="1877"/>
    <s v="Lathrop Lougheed"/>
    <n v="33.04"/>
  </r>
  <r>
    <x v="122"/>
    <s v="#10430545 - Eddie Gallagher / Two i7 laptop quote request"/>
    <s v="Won"/>
    <d v="2024-01-08T00:00:00"/>
    <n v="0"/>
    <s v="KCP432SD8/16"/>
    <s v="Kingston 16GB DDR4 SDRAM Memory Module - For Noteb"/>
    <s v="IT/LAN Equipment"/>
    <n v="2"/>
    <n v="0"/>
    <n v="0"/>
    <m/>
    <n v="0"/>
    <m/>
    <m/>
    <n v="42"/>
    <n v="84"/>
    <n v="33.92"/>
    <n v="67.84"/>
    <s v="Lathrop Lougheed"/>
    <n v="1.2927999999999997"/>
  </r>
  <r>
    <x v="122"/>
    <s v="#10430545 - Eddie Gallagher / Two i7 laptop quote request"/>
    <s v="Won"/>
    <d v="2024-01-08T00:00:00"/>
    <n v="0"/>
    <s v="MPC-PS-T1"/>
    <s v="Meriplex Tier 1 Technician Labor"/>
    <s v="IT/LAN Installation"/>
    <n v="4"/>
    <n v="0"/>
    <n v="0"/>
    <m/>
    <n v="0"/>
    <m/>
    <m/>
    <n v="120"/>
    <n v="480"/>
    <n v="0"/>
    <n v="0"/>
    <s v="Lathrop Lougheed"/>
    <n v="19.2"/>
  </r>
  <r>
    <x v="123"/>
    <s v="New Terminal Server with 5 RDS CAL's"/>
    <s v="Won"/>
    <d v="2024-01-16T00:00:00"/>
    <n v="0"/>
    <s v="MPC-PS-T3"/>
    <s v="Meriplex Tier 3 Engineer Labor"/>
    <s v="IT/LAN Installation"/>
    <n v="7"/>
    <n v="0"/>
    <n v="0"/>
    <m/>
    <n v="0"/>
    <m/>
    <m/>
    <n v="225"/>
    <n v="1575"/>
    <n v="0"/>
    <n v="0"/>
    <s v="Jonathan DeFez"/>
    <n v="63"/>
  </r>
  <r>
    <x v="123"/>
    <s v="New Terminal Server with 5 RDS CAL's"/>
    <s v="Won"/>
    <d v="2024-01-16T00:00:00"/>
    <n v="0"/>
    <s v="MPC-PS-PC"/>
    <s v="Project Coordinator"/>
    <s v="IT/LAN Installation"/>
    <n v="1"/>
    <n v="0"/>
    <n v="0"/>
    <m/>
    <n v="0"/>
    <m/>
    <m/>
    <n v="155"/>
    <n v="155"/>
    <n v="0"/>
    <n v="0"/>
    <s v="Jonathan DeFez"/>
    <n v="6.2"/>
  </r>
  <r>
    <x v="123"/>
    <s v="New Terminal Server with 5 RDS CAL's"/>
    <s v="Won"/>
    <d v="2024-01-16T00:00:00"/>
    <n v="0"/>
    <s v="DG7GMGF0D7HX:0009"/>
    <s v="Windows Server 2022 RDS - 1 User CAL"/>
    <s v="IT/LAN Equipment"/>
    <n v="5"/>
    <n v="0"/>
    <n v="0"/>
    <m/>
    <n v="0"/>
    <m/>
    <m/>
    <n v="145"/>
    <n v="725"/>
    <n v="126.95"/>
    <n v="634.75"/>
    <s v="Jonathan DeFez"/>
    <n v="7.22"/>
  </r>
  <r>
    <x v="124"/>
    <s v="10439064 - Adobe Annual Renewal Quote"/>
    <s v="Won"/>
    <d v="2024-01-12T00:00:00"/>
    <n v="0"/>
    <s v="65324104BA01A12"/>
    <s v="Adobe Acrobat Pro for Teams - Subscription Renewal - 1 User - Price Level 1 (1-9) - Volume - Adobe Value Incentive Plan (VIP) - PC, Mac"/>
    <s v="IT/LAN Equipment"/>
    <n v="6"/>
    <n v="0"/>
    <n v="0"/>
    <m/>
    <n v="0"/>
    <m/>
    <m/>
    <n v="325"/>
    <n v="1950"/>
    <n v="265.99"/>
    <n v="1595.94"/>
    <s v="Jonathan DeFez"/>
    <n v="28.324799999999996"/>
  </r>
  <r>
    <x v="124"/>
    <s v="10439064 - Adobe Annual Renewal Quote"/>
    <s v="Won"/>
    <d v="2024-01-12T00:00:00"/>
    <n v="0"/>
    <s v="65297908BA01A12"/>
    <s v="Adobe Acrobat Standard DC for Teams - Team Licensing Subscription Renewal - 1 User - 1 Month - Price Level 1 - (1-9) - Volume - Adobe Value Incentive Plan (VIP) - PC"/>
    <s v="NRR - Agent Income"/>
    <n v="1"/>
    <n v="0"/>
    <n v="0"/>
    <m/>
    <n v="0"/>
    <m/>
    <m/>
    <n v="203"/>
    <n v="203"/>
    <n v="166.2"/>
    <n v="166.2"/>
    <s v="Jonathan DeFez"/>
    <n v="2.9440000000000008"/>
  </r>
  <r>
    <x v="125"/>
    <s v="CyberPower OR2200LCDRT2U Smart App LCD UPS"/>
    <s v="Won"/>
    <d v="2024-01-11T00:00:00"/>
    <n v="0"/>
    <s v="OR2200LCDRT2U"/>
    <s v="CyberPower OR2200LCDRT2U Smart App LCD UPS Systems - 2000VA/1320W, 120 VAC, NEMA 5-20P, 2U, Rack / Tower, 8 Outlets, LCD, PowerPanel® Business, $300000 CEG, 3YR Warranty"/>
    <s v="IT/LAN Equipment"/>
    <n v="1"/>
    <n v="0"/>
    <n v="0"/>
    <m/>
    <n v="0"/>
    <m/>
    <m/>
    <n v="648.41"/>
    <n v="648.41"/>
    <n v="531.70000000000005"/>
    <n v="531.70000000000005"/>
    <s v="Michael True"/>
    <n v="9.9203499999999938"/>
  </r>
  <r>
    <x v="126"/>
    <s v="Replacement Computer for Megan"/>
    <s v="Won"/>
    <d v="2024-01-04T00:00:00"/>
    <n v="0"/>
    <s v="83R13UT#ABA"/>
    <s v="HP Pro SFF 400 G9 Desktop Computer - Intel Core i5 12th Gen i5-12500 Hexa-core (6 Core) 3 GHz - 16 GB RAM DDR4 SDRAM - 256 GB M.2 PCI Express NVMe SSD - Small Form Factor - Black - Intel Q670 Chip - Windows 11 Pro - Intel UHD Graphics 770 DDR4 SDRAM - Eng"/>
    <s v="IT/LAN Equipment"/>
    <n v="1"/>
    <n v="0"/>
    <n v="0"/>
    <m/>
    <n v="0"/>
    <m/>
    <m/>
    <n v="844"/>
    <n v="844"/>
    <n v="674.78"/>
    <n v="674.78"/>
    <s v="Kennon Jayne"/>
    <n v="13.537600000000003"/>
  </r>
  <r>
    <x v="126"/>
    <s v="Replacement Computer for Megan"/>
    <s v="Won"/>
    <d v="2024-01-04T00:00:00"/>
    <n v="0"/>
    <s v="MPC-PS-T2"/>
    <s v="Meriplex Tier 2 Engineer Labor"/>
    <s v="IT/LAN Installation"/>
    <n v="5"/>
    <n v="0"/>
    <n v="0"/>
    <m/>
    <n v="0"/>
    <m/>
    <m/>
    <n v="185"/>
    <n v="925"/>
    <n v="0"/>
    <n v="0"/>
    <s v="Kennon Jayne"/>
    <n v="37"/>
  </r>
  <r>
    <x v="127"/>
    <s v="Adobe Acrobat license for user Connie Brisnehan"/>
    <s v="Won"/>
    <d v="2024-01-04T00:00:00"/>
    <n v="0"/>
    <s v="65324055BA02A12"/>
    <s v="Adobe Acrobat Pro for teams - Subscription - 1 User - Price Level 2 - (10-49) - Volume - Adobe Value Incentive Plan (VIP) - PC, Mac"/>
    <s v="NRR - Agent Income"/>
    <n v="2"/>
    <n v="0"/>
    <n v="0"/>
    <m/>
    <n v="0"/>
    <m/>
    <m/>
    <n v="180"/>
    <n v="360"/>
    <n v="147.38"/>
    <n v="294.76"/>
    <s v="Jonathan DeFez"/>
    <n v="5.2192000000000007"/>
  </r>
  <r>
    <x v="128"/>
    <s v="Quote #MPS122460 Per Service Ticket # 10441635 - Cisco SmartNet - Reno Renewal"/>
    <s v="Won"/>
    <d v="2024-01-22T00:00:00"/>
    <n v="0"/>
    <s v="CON-SNT-ASA556F9"/>
    <s v="Cisco SMARTnet - Extended Service - Service - 8 x 5 x Next Business Day - Exchange - Physical"/>
    <s v="IT/LAN Equipment"/>
    <n v="1"/>
    <n v="0"/>
    <n v="0"/>
    <m/>
    <n v="0"/>
    <m/>
    <m/>
    <n v="777.18"/>
    <n v="777.18"/>
    <n v="645.05999999999995"/>
    <n v="645.05999999999995"/>
    <s v="Kade Thurman"/>
    <n v="0"/>
  </r>
  <r>
    <x v="128"/>
    <s v="Quote #MPS122460 Per Service Ticket # 10441635 - Cisco SmartNet - Reno Renewal"/>
    <s v="Won"/>
    <d v="2024-01-22T00:00:00"/>
    <n v="0"/>
    <s v="CON-SNT-VG310ICV"/>
    <s v="Cisco SMARTnet - Extended Service - Service - 8 x 5 x Next Business Day - Exchange - Physical"/>
    <s v="IT/LAN Equipment"/>
    <n v="2"/>
    <n v="0"/>
    <n v="0"/>
    <m/>
    <n v="0"/>
    <m/>
    <m/>
    <n v="573"/>
    <n v="1146"/>
    <n v="475.59"/>
    <n v="951.18"/>
    <s v="Kade Thurman"/>
    <n v="0"/>
  </r>
  <r>
    <x v="129"/>
    <s v="#10439533 - HVJC: Krystal DeMartino / Headsets - Johnson Creek"/>
    <s v="Won"/>
    <d v="2024-01-22T00:00:00"/>
    <n v="0"/>
    <s v="80R98AA"/>
    <s v="Poly Blackwire 5210 Headset - Mono - USB Type C, USB, Mini-phone (3.5mm) - Wired - 20 Hz - 20 kHz - On-ear - Monaural - Supra-aural - Noise Cancelling Microphone"/>
    <s v="IT/LAN Equipment"/>
    <n v="2"/>
    <n v="0"/>
    <n v="0"/>
    <m/>
    <n v="0"/>
    <m/>
    <m/>
    <n v="98"/>
    <n v="196"/>
    <n v="78.59"/>
    <n v="157.18"/>
    <s v="Lathrop Lougheed"/>
    <n v="3.1055999999999995"/>
  </r>
  <r>
    <x v="130"/>
    <s v="Quote #MPS122463 Per Service Ticket #10441712 - Cisco SmartNet Renewal - Bakersfield"/>
    <s v="Won"/>
    <d v="2024-01-22T00:00:00"/>
    <n v="0"/>
    <s v="CON-SNT-VG310ICV"/>
    <s v="Cisco SMARTnet - Extended Service - Service - 8 x 5 x Next Business Day - Exchange - Physical"/>
    <s v="IT/LAN Equipment"/>
    <n v="2"/>
    <n v="0"/>
    <n v="0"/>
    <m/>
    <n v="0"/>
    <m/>
    <m/>
    <n v="573"/>
    <n v="1146"/>
    <n v="475.59"/>
    <n v="951.18"/>
    <s v="Kade Thurman"/>
    <n v="0"/>
  </r>
  <r>
    <x v="131"/>
    <s v="FortiGate 81E - Newport Harbor Pathology Medical Group"/>
    <s v="Won"/>
    <d v="2024-01-22T00:00:00"/>
    <n v="0"/>
    <s v="FG-81E-BDL-950-36"/>
    <s v="FGT81ETK20001684 | FORTINET COTERM PRICED PER QUOTE | UTM Protection 24x7 | 1/18/2024-11/14/2026"/>
    <s v="IT/LAN Equipment"/>
    <n v="1"/>
    <n v="0"/>
    <n v="0"/>
    <m/>
    <n v="0"/>
    <m/>
    <m/>
    <n v="3047.45"/>
    <n v="3047.45"/>
    <n v="2437.96"/>
    <n v="2437.96"/>
    <s v="Andrew Harp"/>
    <n v="48.759199999999986"/>
  </r>
  <r>
    <x v="132"/>
    <s v="MPX LA - Cisco Umbrella Renewal"/>
    <s v="Won"/>
    <d v="2024-01-03T00:00:00"/>
    <n v="0"/>
    <s v="VMS - ODNS-PRO-1YR-6-99"/>
    <s v="Cisco Umbrella Pro Seat 10-99 Users - 1 Year"/>
    <s v="Managed Security Services"/>
    <n v="55"/>
    <n v="0"/>
    <n v="0"/>
    <m/>
    <n v="0"/>
    <m/>
    <m/>
    <n v="38"/>
    <n v="2090"/>
    <n v="27.06"/>
    <n v="1488.3"/>
    <s v="Brandon Philips"/>
    <n v="0"/>
  </r>
  <r>
    <x v="133"/>
    <s v="Quote #MPS122467 Per Service Ticket #10441768 - Cisco SmartNet Renewal - Glendale"/>
    <s v="Won"/>
    <d v="2024-01-22T00:00:00"/>
    <n v="0"/>
    <s v="CON-SNT-VG310ICV"/>
    <s v="Cisco SMARTnet - Extended Service - Service - 8 x 5 x Next Business Day - Exchange - Physical"/>
    <s v="IT/LAN Equipment"/>
    <n v="1"/>
    <n v="0"/>
    <n v="0"/>
    <m/>
    <n v="0"/>
    <m/>
    <m/>
    <n v="573"/>
    <n v="573"/>
    <n v="475.59"/>
    <n v="475.59"/>
    <s v="Kade Thurman"/>
    <n v="0"/>
  </r>
  <r>
    <x v="134"/>
    <s v="Quote #MPS122480 Per Service Ticket #10442266 - Cisco SmartNet Renewal - Las Vegas"/>
    <s v="Won"/>
    <d v="2024-01-22T00:00:00"/>
    <n v="0"/>
    <s v="CON-SNT-VG204XM"/>
    <s v="Cisco SMARTnet - Service - 8 x 5 x Next Business Day - Maintenance - Parts - Electronic and Physical"/>
    <s v="IT/LAN Equipment"/>
    <n v="1"/>
    <n v="0"/>
    <n v="0"/>
    <m/>
    <n v="0"/>
    <m/>
    <m/>
    <n v="168.19"/>
    <n v="168.19"/>
    <n v="139.6"/>
    <n v="139.6"/>
    <s v="Kade Thurman"/>
    <n v="0"/>
  </r>
  <r>
    <x v="134"/>
    <s v="Quote #MPS122480 Per Service Ticket #10442266 - Cisco SmartNet Renewal - Las Vegas"/>
    <s v="Won"/>
    <d v="2024-01-22T00:00:00"/>
    <n v="0"/>
    <s v="CON-SNT-VG310ICV"/>
    <s v="Cisco SMARTnet - Extended Service - Service - 8 x 5 x Next Business Day - Exchange - Physical"/>
    <s v="IT/LAN Equipment"/>
    <n v="1"/>
    <n v="0"/>
    <n v="0"/>
    <m/>
    <n v="0"/>
    <m/>
    <m/>
    <n v="573"/>
    <n v="573"/>
    <n v="475.59"/>
    <n v="475.59"/>
    <s v="Kade Thurman"/>
    <n v="0"/>
  </r>
  <r>
    <x v="135"/>
    <s v="Fortinet Renewal"/>
    <s v="Won"/>
    <d v="2024-01-04T00:00:00"/>
    <n v="0"/>
    <s v="FC-10-0050E-950-02-12"/>
    <s v="FortiGate-50E 1 Year Unified Threat Protection (UTP) (IPS, Advanced Malware Protection, Application Control, URL, DNS &amp; Video Filtering, Antispam Service, and FortiCare Premium)"/>
    <s v="IT/LAN Equipment"/>
    <n v="1"/>
    <n v="0"/>
    <n v="0"/>
    <m/>
    <n v="0"/>
    <m/>
    <m/>
    <n v="483"/>
    <n v="483"/>
    <n v="396"/>
    <n v="396"/>
    <s v="Ron Walker"/>
    <n v="7.3950000000000005"/>
  </r>
  <r>
    <x v="136"/>
    <s v="Quote #MPS122484 Per Service Ticket #10442397 - Cisco SmartNet Renewal - San Diego"/>
    <s v="Won"/>
    <d v="2024-01-22T00:00:00"/>
    <n v="0"/>
    <s v="CON-SNT-VG310ICV"/>
    <s v="Cisco SMARTnet - Extended Service - Service - 8 x 5 x Next Business Day - Exchange - Physical"/>
    <s v="IT/LAN Equipment"/>
    <n v="2"/>
    <n v="0"/>
    <n v="0"/>
    <m/>
    <n v="0"/>
    <m/>
    <m/>
    <n v="573"/>
    <n v="1146"/>
    <n v="475.59"/>
    <n v="951.18"/>
    <s v="Kade Thurman"/>
    <n v="0"/>
  </r>
  <r>
    <x v="137"/>
    <s v="HP LaserJet M480f Laser Multifunction Printer-Color"/>
    <s v="Won"/>
    <d v="2024-01-05T00:00:00"/>
    <n v="0"/>
    <s v="3QA55A#BGJ"/>
    <s v="HP LaserJet M480f Laser Multifunction Printer-Color-Copier/Fax/Scanner-27 ppm Mono/27 ppm Color Print-600x600 Print-Automatic Duplex Print-55000 Pages Monthly-300 sheets Input-Color Scanner-600 Optical Scan-Color Fax-Gigabit Ethernet - Copier/Fax/Printer/"/>
    <s v="IT/LAN Equipment"/>
    <n v="1"/>
    <n v="0"/>
    <n v="0"/>
    <m/>
    <n v="0"/>
    <m/>
    <m/>
    <n v="900.06"/>
    <n v="900.06"/>
    <n v="829.9"/>
    <n v="829.9"/>
    <s v="Jonathan DeFez"/>
    <n v="5.6127999999999973"/>
  </r>
  <r>
    <x v="138"/>
    <s v="3 HP Prodesk 600 16GB and 6 HP Elitebook 650 16GB"/>
    <s v="Won"/>
    <d v="2024-01-15T00:00:00"/>
    <n v="0"/>
    <s v="7Z5F3UT#ABA"/>
    <s v="HP EliteBook 650 G10 15.6&quot; Touchscreen Notebook - Full HD - 1920 x 1080 - Intel Core i7 13th Gen i7-1355U Deca-core (10 Core) 1.70 GHz - 16 GB Total RAM - 256 GB SSD - Pike Silver Aluminum - Intel Chip - Windows 11 Pro - Intel Iris Xe Graphics - In-plane"/>
    <s v="IT/LAN Equipment"/>
    <n v="6"/>
    <n v="0"/>
    <n v="0"/>
    <m/>
    <n v="0"/>
    <m/>
    <m/>
    <n v="1379"/>
    <n v="8274"/>
    <n v="1192.56"/>
    <n v="7155.36"/>
    <s v="Andrew Harp"/>
    <n v="89.491200000000035"/>
  </r>
  <r>
    <x v="138"/>
    <s v="3 HP Prodesk 600 16GB and 6 HP Elitebook 650 16GB"/>
    <s v="Won"/>
    <d v="2024-01-15T00:00:00"/>
    <n v="0"/>
    <s v="6L8G5UC#ABA"/>
    <s v="HP Business Desktop ProDesk 600 G6 Desktop Computer - Intel Core i7 10th Gen i7-10700 - 16 GB RAM DDR4 SDRAM - 512 GB SSD - Desktop Mini"/>
    <s v="IT/LAN Equipment"/>
    <n v="3"/>
    <n v="0"/>
    <n v="0"/>
    <m/>
    <n v="0"/>
    <m/>
    <m/>
    <n v="2027"/>
    <n v="6081"/>
    <n v="1905.38"/>
    <n v="5716.14"/>
    <s v="Andrew Harp"/>
    <n v="29.188799999999976"/>
  </r>
  <r>
    <x v="139"/>
    <s v="Contract Consolidation and 365 Plus"/>
    <s v="Signed"/>
    <d v="2024-01-22T00:00:00"/>
    <n v="1134.3900000000001"/>
    <s v="SEC-WMON-DWID="/>
    <s v="Dark Web Reporting Tool"/>
    <s v="Managed Security Services"/>
    <n v="1"/>
    <n v="300"/>
    <n v="15"/>
    <m/>
    <n v="300"/>
    <m/>
    <m/>
    <n v="300"/>
    <n v="300"/>
    <n v="0"/>
    <n v="0"/>
    <s v="Ron Walker"/>
    <n v="12"/>
  </r>
  <r>
    <x v="139"/>
    <s v="Contract Consolidation and 365 Plus"/>
    <s v="Signed"/>
    <d v="2024-01-22T00:00:00"/>
    <n v="1134.3900000000001"/>
    <s v="SEC-ES-MEDR="/>
    <s v="Endpoint Security - FortiEDR"/>
    <s v="Managed Security Services"/>
    <n v="25"/>
    <n v="8.5"/>
    <n v="3.77"/>
    <m/>
    <n v="212.5"/>
    <m/>
    <m/>
    <n v="1.25"/>
    <n v="31.25"/>
    <n v="15"/>
    <n v="375"/>
    <s v="Ron Walker"/>
    <n v="1.25"/>
  </r>
  <r>
    <x v="139"/>
    <s v="Contract Consolidation and 365 Plus"/>
    <s v="Signed"/>
    <d v="2024-01-22T00:00:00"/>
    <n v="1134.3900000000001"/>
    <s v="SEC-SMRR="/>
    <s v="Meriplex 365 Cloud Security"/>
    <s v="Managed Security Services"/>
    <n v="25"/>
    <n v="5"/>
    <n v="0.8"/>
    <m/>
    <n v="125"/>
    <m/>
    <m/>
    <n v="6"/>
    <n v="150"/>
    <n v="0"/>
    <n v="0"/>
    <s v="Ron Walker"/>
    <n v="6"/>
  </r>
  <r>
    <x v="139"/>
    <s v="Contract Consolidation and 365 Plus"/>
    <s v="Signed"/>
    <d v="2024-01-22T00:00:00"/>
    <n v="1134.3900000000001"/>
    <s v="MSP-BU-DO365-1Y"/>
    <s v="Meriplex 365 Cloud Backup"/>
    <s v="Managed Services"/>
    <n v="25"/>
    <n v="5.5"/>
    <n v="1.05"/>
    <m/>
    <n v="137.5"/>
    <m/>
    <m/>
    <n v="0.25"/>
    <n v="6.25"/>
    <n v="0"/>
    <n v="0"/>
    <s v="Ron Walker"/>
    <n v="0.25"/>
  </r>
  <r>
    <x v="139"/>
    <s v="Contract Consolidation and 365 Plus"/>
    <s v="Signed"/>
    <d v="2024-01-22T00:00:00"/>
    <n v="1134.3900000000001"/>
    <s v="MSP-O365-MGMT"/>
    <s v="Meriplex 365 Management and Support"/>
    <s v="Managed Services"/>
    <n v="25"/>
    <n v="7"/>
    <n v="0"/>
    <m/>
    <n v="175"/>
    <m/>
    <m/>
    <n v="0.25"/>
    <n v="6.25"/>
    <n v="0"/>
    <n v="0"/>
    <s v="Ron Walker"/>
    <n v="0.25"/>
  </r>
  <r>
    <x v="140"/>
    <s v="Scale Renewal"/>
    <s v="Won"/>
    <d v="2024-01-05T00:00:00"/>
    <n v="0"/>
    <s v="HCOS-S-1-8C"/>
    <s v="Scale 1YR LICS AND SW SC//HYPERCORE - 8C STANDARD"/>
    <s v="IT/LAN Equipment"/>
    <n v="1"/>
    <n v="0"/>
    <n v="0"/>
    <m/>
    <n v="0"/>
    <m/>
    <m/>
    <n v="3933"/>
    <n v="3933"/>
    <n v="3224.59"/>
    <n v="3224.59"/>
    <s v="Jonathan DeFez"/>
    <n v="56.672799999999988"/>
  </r>
  <r>
    <x v="141"/>
    <s v="Quote #MPS122486 Per Service Ticket #10442433 - Cisco SmartNet Renewal - Compton"/>
    <s v="Won"/>
    <d v="2024-01-22T00:00:00"/>
    <n v="0"/>
    <s v="CON-SNT-VG204XM"/>
    <s v="Cisco SMARTnet - Service - 8 x 5 x Next Business Day - Maintenance - Parts - Electronic and Physical"/>
    <s v="IT/LAN Equipment"/>
    <n v="1"/>
    <n v="0"/>
    <n v="0"/>
    <m/>
    <n v="0"/>
    <m/>
    <m/>
    <n v="168.19"/>
    <n v="168.19"/>
    <n v="139.6"/>
    <n v="139.6"/>
    <s v="Kade Thurman"/>
    <n v="0"/>
  </r>
  <r>
    <x v="142"/>
    <s v="Jan 2024 Dell Laptop"/>
    <s v="Won"/>
    <d v="2024-01-03T00:00:00"/>
    <n v="0"/>
    <s v="8GHCF"/>
    <s v="Dell Latitude 5540 15.6&quot; Notebook - Full HD - 1920 x 1080 - (Intel Core i5 13th Gen i5-1335U Deca-core (10 Core) - 16 GB Total RAM - 256 GB SSD - Titan Gray - Service: 1Y Basic Onsite Service with Hardware Support-Disti SnS - Intel Chip - Windows 11 Pro -"/>
    <s v="IT/LAN Equipment"/>
    <n v="1"/>
    <n v="0"/>
    <n v="0"/>
    <m/>
    <n v="0"/>
    <m/>
    <m/>
    <n v="1259.6199999999999"/>
    <n v="1259.6199999999999"/>
    <n v="1010.43"/>
    <n v="1010.43"/>
    <s v="Michael True"/>
    <n v="21.181149999999995"/>
  </r>
  <r>
    <x v="143"/>
    <s v="1 additional Acrobat Standard license for Mohamma Mirza"/>
    <s v="Won"/>
    <d v="2024-01-04T00:00:00"/>
    <n v="0"/>
    <s v="65297917BA02A12"/>
    <s v="Adobe Acrobat Standard DC for Teams - Team Licensing Subscription - 1 User - 1 Month - Price Level 2 - (10-49) - Volume - Adobe Value Incentive Plan (VIP) - PC"/>
    <s v="NRR - Agent Income"/>
    <n v="1"/>
    <n v="0"/>
    <n v="0"/>
    <m/>
    <n v="0"/>
    <m/>
    <m/>
    <n v="14.24"/>
    <n v="14.24"/>
    <n v="13.15"/>
    <n v="13.15"/>
    <s v="Andrew Harp"/>
    <n v="8.7199999999999986E-2"/>
  </r>
  <r>
    <x v="144"/>
    <s v="#10442783 - Joseph Nicoletti / Procure 1 Lenovo dock for Carly"/>
    <s v="Won"/>
    <d v="2024-01-04T00:00:00"/>
    <n v="0"/>
    <s v="40AY0090US"/>
    <s v="Lenovo ThinkPad Universal USB-C Dock"/>
    <s v="IT/LAN Equipment"/>
    <n v="1"/>
    <n v="0"/>
    <n v="0"/>
    <m/>
    <n v="0"/>
    <m/>
    <m/>
    <n v="225.35"/>
    <n v="225.35"/>
    <n v="185.56"/>
    <n v="185.56"/>
    <s v="Lathrop Lougheed"/>
    <n v="3.1831999999999994"/>
  </r>
  <r>
    <x v="145"/>
    <s v="Dell - IBJA"/>
    <s v="Won"/>
    <d v="2024-01-08T00:00:00"/>
    <n v="0"/>
    <s v="8Y7DG73"/>
    <s v="PowerEdge R440 Upgrades and Extensions | ND | Basic Hardware Services: Business Hours (5x10) Next Business Day On Site Hardware Warranty Repair | 1/10/2024-1/9/2025"/>
    <s v="IT/LAN Equipment"/>
    <n v="1"/>
    <n v="0"/>
    <n v="0"/>
    <m/>
    <n v="0"/>
    <m/>
    <m/>
    <n v="269.74"/>
    <n v="269.74"/>
    <n v="186.52"/>
    <n v="186.52"/>
    <s v="Michael True"/>
    <n v="7.0737000000000005"/>
  </r>
  <r>
    <x v="146"/>
    <s v="Updated Server Decommission Block of Hours."/>
    <s v="Won"/>
    <d v="2024-01-05T00:00:00"/>
    <n v="0"/>
    <s v="MPC-BLK-1-10"/>
    <s v="Hourly Support Block (1 - 10 Units)"/>
    <s v="IT/LAN Installation"/>
    <n v="8"/>
    <n v="0"/>
    <n v="0"/>
    <m/>
    <n v="0"/>
    <m/>
    <m/>
    <n v="220"/>
    <n v="1760"/>
    <n v="0"/>
    <n v="0"/>
    <s v="Jonathan DeFez"/>
    <n v="70.400000000000006"/>
  </r>
  <r>
    <x v="147"/>
    <s v="SQL Licenses"/>
    <s v="Won"/>
    <d v="2024-01-25T00:00:00"/>
    <n v="0"/>
    <s v="DG7GMGF0MF3T:0002"/>
    <s v="COMM SQL SERVER 2022 - 1 USER LICS CAL ONETIME"/>
    <s v="IT/LAN Equipment"/>
    <n v="25"/>
    <n v="0"/>
    <n v="0"/>
    <m/>
    <n v="0"/>
    <m/>
    <m/>
    <n v="228"/>
    <n v="5700"/>
    <n v="196.94"/>
    <n v="4923.5"/>
    <s v="Ron Walker"/>
    <n v="66.002499999999998"/>
  </r>
  <r>
    <x v="148"/>
    <s v="New Notebook"/>
    <s v="Won"/>
    <d v="2024-01-04T00:00:00"/>
    <n v="0"/>
    <s v="9C4K8UT#ABA"/>
    <s v="HP ProBook 440 G10 14&quot; Notebook - Full HD - 1920 x 1080 - Intel Core i5 13th Gen i5-1334U Deca-core (10 Core) 1.30 GHz - 16 GB Total RAM - 256 GB SSD - Pike Silver Plastic - Intel Chip - Windows 11 Pro - Intel Iris Xe Graphics - In-plane Switching (IPS) T"/>
    <s v="IT/LAN Equipment"/>
    <n v="1"/>
    <n v="0"/>
    <n v="0"/>
    <m/>
    <n v="0"/>
    <m/>
    <m/>
    <n v="1076"/>
    <n v="1076"/>
    <n v="882.65"/>
    <n v="882.65"/>
    <s v="Ron Walker"/>
    <n v="16.434750000000005"/>
  </r>
  <r>
    <x v="149"/>
    <s v="MPX LA - Quote for Cisco SMARTnet renewal"/>
    <s v="Won"/>
    <d v="2024-01-05T00:00:00"/>
    <n v="0"/>
    <s v="CON-SNT-SMS-1"/>
    <s v="Cisco SMARTnet - Service - 8 x 5 x Next Business Day - Maintenance"/>
    <s v="IT/LAN Equipment"/>
    <n v="496"/>
    <n v="0"/>
    <n v="0"/>
    <m/>
    <n v="0"/>
    <m/>
    <m/>
    <n v="1"/>
    <n v="496"/>
    <n v="0.82"/>
    <n v="406.71999999999997"/>
    <s v="Mitch Verma"/>
    <n v="3.571200000000001"/>
  </r>
  <r>
    <x v="149"/>
    <s v="MPX LA - Quote for Cisco SMARTnet renewal"/>
    <s v="Won"/>
    <d v="2024-01-05T00:00:00"/>
    <n v="0"/>
    <s v="L-AC-APX-1Y-S1"/>
    <s v="Cisco AnyConnect With 1 Year Software Application Support plus Upgrades (SASU) - Apex Term License - 1 User - 1 Year - Price Level (25-99) License - Volume - Electronic"/>
    <s v="IT/LAN Equipment"/>
    <n v="25"/>
    <n v="0"/>
    <n v="0"/>
    <m/>
    <n v="0"/>
    <m/>
    <m/>
    <n v="11.29"/>
    <n v="282.25"/>
    <n v="7.91"/>
    <n v="197.75"/>
    <s v="Mitch Verma"/>
    <n v="3.38"/>
  </r>
  <r>
    <x v="150"/>
    <s v="HPE Support Renewal Aruba 2530 SN: TW95FP4F62"/>
    <s v="Won"/>
    <d v="2024-01-29T00:00:00"/>
    <n v="0"/>
    <s v="PN-Day1"/>
    <s v="HPE Hardware Maintenance Onsite Support. HPE Software Technical Unlimited Support."/>
    <s v="IT/LAN Equipment"/>
    <n v="1"/>
    <n v="0"/>
    <n v="0"/>
    <m/>
    <n v="0"/>
    <m/>
    <m/>
    <n v="60"/>
    <n v="60"/>
    <n v="48.34"/>
    <n v="48.34"/>
    <s v="Erminio Lalli"/>
    <n v="0.93279999999999974"/>
  </r>
  <r>
    <x v="150"/>
    <s v="HPE Support Renewal Aruba 2530 SN: TW95FP4F62"/>
    <s v="Won"/>
    <d v="2024-01-29T00:00:00"/>
    <n v="0"/>
    <s v="PN-Day1"/>
    <s v="HPE Hardware Maintenance Onsite Support. HPE Hardware Replacement Support."/>
    <s v="IT/LAN Equipment"/>
    <n v="1"/>
    <n v="0"/>
    <n v="0"/>
    <m/>
    <n v="0"/>
    <m/>
    <m/>
    <n v="24"/>
    <n v="24"/>
    <n v="19.329999999999998"/>
    <n v="19.329999999999998"/>
    <s v="Erminio Lalli"/>
    <n v="0.37360000000000015"/>
  </r>
  <r>
    <x v="151"/>
    <s v="MPX LA - Quote for Fortinet FortiCare renewal"/>
    <s v="Won"/>
    <d v="2024-01-05T00:00:00"/>
    <n v="0"/>
    <s v="FC-10-PE221-247-02-12"/>
    <s v="Fortinet Forticare Comprehensive 24x7 Support - 1 Year"/>
    <s v="IT/LAN Equipment"/>
    <n v="1"/>
    <n v="0"/>
    <n v="0"/>
    <m/>
    <n v="0"/>
    <m/>
    <m/>
    <n v="68.099999999999994"/>
    <n v="68.099999999999994"/>
    <n v="54.48"/>
    <n v="54.48"/>
    <s v="Mitch Verma"/>
    <n v="0.54479999999999995"/>
  </r>
  <r>
    <x v="152"/>
    <s v="Quote #MPS122499 Per Service Ticket # 10442864 - CORP - Laptop for Jessica Skudlarek"/>
    <s v="Won"/>
    <d v="2024-01-04T00:00:00"/>
    <n v="0"/>
    <s v="21JK0052US"/>
    <s v="Lenovo ThinkPad E14 Gen 5 14&quot; Touchscreen Notebook - WUXGA - 1920 x 1200 - Intel Core i5 13th Gen i5-1335U Deca-core (10 Core) 1.30 GHz - 16 GB Total RAM - 8 GB On-board Memory - 512 GB SSD - Graphite Black - Intel Chip - Windows 11 Pro - Intel"/>
    <s v="IT/LAN Equipment"/>
    <n v="1"/>
    <n v="0"/>
    <n v="0"/>
    <m/>
    <n v="0"/>
    <m/>
    <m/>
    <n v="925.35"/>
    <n v="925.35"/>
    <n v="860.58"/>
    <n v="860.58"/>
    <s v="Kade Thurman"/>
    <n v="0"/>
  </r>
  <r>
    <x v="152"/>
    <s v="Quote #MPS122499 Per Service Ticket # 10442864 - CORP - Laptop for Jessica Skudlarek"/>
    <s v="Won"/>
    <d v="2024-01-04T00:00:00"/>
    <n v="0"/>
    <s v="MPC-PS-T2"/>
    <s v="PC Migration or Installation Services"/>
    <s v="IT/LAN Installation"/>
    <n v="1"/>
    <n v="0"/>
    <n v="0"/>
    <m/>
    <n v="0"/>
    <m/>
    <m/>
    <n v="200"/>
    <n v="200"/>
    <n v="0"/>
    <n v="0"/>
    <s v="Kade Thurman"/>
    <n v="0"/>
  </r>
  <r>
    <x v="152"/>
    <s v="Quote #MPS122499 Per Service Ticket # 10442864 - CORP - Laptop for Jessica Skudlarek"/>
    <s v="Won"/>
    <d v="2024-01-04T00:00:00"/>
    <n v="0"/>
    <s v="CED4-15"/>
    <s v="E-Waste Recycling Fee"/>
    <s v="IT/LAN Equipment"/>
    <n v="1"/>
    <n v="0"/>
    <n v="0"/>
    <m/>
    <n v="0"/>
    <m/>
    <m/>
    <n v="4"/>
    <n v="4"/>
    <n v="4"/>
    <n v="4"/>
    <s v="Kade Thurman"/>
    <n v="0"/>
  </r>
  <r>
    <x v="153"/>
    <s v="MPX LA - Quote for Cisco SMARTnet renewal"/>
    <s v="Won"/>
    <d v="2024-01-05T00:00:00"/>
    <n v="0"/>
    <s v="L-AC-PLS-LIC="/>
    <s v="Cisco AnyConnect Plus - 1 License - 1 Year"/>
    <s v="IT/LAN Equipment"/>
    <n v="25"/>
    <n v="0"/>
    <n v="0"/>
    <m/>
    <n v="0"/>
    <m/>
    <m/>
    <n v="6.45"/>
    <n v="161.25"/>
    <n v="3.42"/>
    <n v="85.5"/>
    <s v="Mitch Verma"/>
    <n v="3.0300000000000002"/>
  </r>
  <r>
    <x v="153"/>
    <s v="MPX LA - Quote for Cisco SMARTnet renewal"/>
    <s v="Won"/>
    <d v="2024-01-05T00:00:00"/>
    <n v="0"/>
    <s v="CON-SNT-SMS-1"/>
    <s v="Cisco SMARTnet - Service - 8 x 5 x Next Business Day - Maintenance - 1 Year"/>
    <s v="IT/LAN Equipment"/>
    <n v="152"/>
    <n v="0"/>
    <n v="0"/>
    <m/>
    <n v="0"/>
    <m/>
    <m/>
    <n v="1"/>
    <n v="152"/>
    <n v="0.8"/>
    <n v="121.60000000000001"/>
    <s v="Mitch Verma"/>
    <n v="1.2159999999999997"/>
  </r>
  <r>
    <x v="153"/>
    <s v="MPX LA - Quote for Cisco SMARTnet renewal"/>
    <s v="Won"/>
    <d v="2024-01-05T00:00:00"/>
    <n v="0"/>
    <s v="CON-SNT-SMS-1"/>
    <s v="Cisco SMARTnet - Service - 8 x 5 x Next Business Day - Maintenance - 1 Year"/>
    <s v="IT/LAN Equipment"/>
    <n v="496"/>
    <n v="0"/>
    <n v="0"/>
    <m/>
    <n v="0"/>
    <m/>
    <m/>
    <n v="1"/>
    <n v="496"/>
    <n v="0.8"/>
    <n v="396.8"/>
    <s v="Mitch Verma"/>
    <n v="3.9679999999999995"/>
  </r>
  <r>
    <x v="154"/>
    <s v="Laptop for President"/>
    <s v="Won"/>
    <d v="2024-01-09T00:00:00"/>
    <n v="0"/>
    <s v="808-3108"/>
    <s v="Dell ProSupport - Upgrade - 3 Year - Service - 24 x 7 x Next Business Day - On-site - Technical - Electronic, Physical"/>
    <s v="IT/LAN Equipment"/>
    <n v="1"/>
    <n v="0"/>
    <n v="0"/>
    <m/>
    <n v="0"/>
    <m/>
    <m/>
    <n v="152"/>
    <n v="152"/>
    <n v="124.15"/>
    <n v="124.15"/>
    <s v="Lathrop Lougheed"/>
    <n v="2.2279999999999998"/>
  </r>
  <r>
    <x v="154"/>
    <s v="Laptop for President"/>
    <s v="Won"/>
    <d v="2024-01-09T00:00:00"/>
    <n v="0"/>
    <s v="MDPNX"/>
    <s v="Dell Latitude 3440 14&quot; Notebook - Full HD - 1920 x 1080 - Intel Core i5 13th Gen i5-1335U Deca-core (10 Core) - 16 GB Total RAM - 256 GB SSD - Space Gray - Intel Chip - Windows 11 Pro - Intel Iris Xe Graphics - In-plane Switching (IPS) Technology - Englis"/>
    <s v="IT/LAN Equipment"/>
    <n v="1"/>
    <n v="0"/>
    <n v="0"/>
    <m/>
    <n v="0"/>
    <m/>
    <m/>
    <n v="1095"/>
    <n v="1095"/>
    <n v="897.27"/>
    <n v="897.27"/>
    <s v="Lathrop Lougheed"/>
    <n v="15.818400000000002"/>
  </r>
  <r>
    <x v="155"/>
    <s v="Laptops"/>
    <s v="Won"/>
    <d v="2024-01-05T00:00:00"/>
    <n v="0"/>
    <s v="MPSSHIP"/>
    <s v="Shipping Insurance to Site Office"/>
    <s v="IT/LAN Equipment"/>
    <n v="1"/>
    <n v="0"/>
    <n v="0"/>
    <m/>
    <n v="0"/>
    <m/>
    <m/>
    <n v="37"/>
    <n v="37"/>
    <n v="0"/>
    <n v="0"/>
    <s v="Andrew Harp"/>
    <n v="2.96"/>
  </r>
  <r>
    <x v="155"/>
    <s v="Laptops"/>
    <s v="Won"/>
    <d v="2024-01-05T00:00:00"/>
    <n v="0"/>
    <s v="MISCSHE"/>
    <s v="California State EWaste Fee"/>
    <s v="IT/LAN Equipment"/>
    <n v="5"/>
    <n v="0"/>
    <n v="0"/>
    <m/>
    <n v="0"/>
    <m/>
    <m/>
    <n v="5"/>
    <n v="25"/>
    <n v="0"/>
    <n v="0"/>
    <s v="Andrew Harp"/>
    <n v="2"/>
  </r>
  <r>
    <x v="155"/>
    <s v="Laptops"/>
    <s v="Won"/>
    <d v="2024-01-05T00:00:00"/>
    <n v="0"/>
    <s v="89D74UT#ABA"/>
    <s v="HP EliteBook 860 G10 16&quot; Notebook - WUXGA - 1920 x 1200 - Intel Core i7 13th Gen i7-1360P Dodeca-core (12 Core) - 16 GB Total RAM - 512 GB SSD - Intel Chip - Windows 11 Pro - Intel UHD Graphics - In-plane Switching (IPS) Technology - English Keyboard - Fr"/>
    <s v="IT/LAN Equipment"/>
    <n v="5"/>
    <n v="0"/>
    <n v="0"/>
    <m/>
    <n v="0"/>
    <m/>
    <m/>
    <n v="1495"/>
    <n v="7475"/>
    <n v="1186.1400000000001"/>
    <n v="5930.7000000000007"/>
    <s v="Andrew Harp"/>
    <n v="123.54399999999994"/>
  </r>
  <r>
    <x v="156"/>
    <s v="MPX LA - Wireless Keyboard and Mouse Combo"/>
    <s v="Won"/>
    <d v="2024-01-08T00:00:00"/>
    <n v="0"/>
    <s v="920-008671"/>
    <s v="Logitech MK540 Advanced Wireless Keyboard and Mouse Combo for Windows, 2.4 GHz Unifying USB-Receiver, Multimedia Hotkeys, 3-Year Battery Life, for PC, Laptop - USB Wireless RF Keyboard - Black - USB Wireless RF Mouse - Optical - 1000 dpi - 3 Button - Scro"/>
    <s v="IT/LAN Equipment"/>
    <n v="1"/>
    <n v="0"/>
    <n v="0"/>
    <m/>
    <n v="0"/>
    <m/>
    <m/>
    <n v="65"/>
    <n v="65"/>
    <n v="41.25"/>
    <n v="41.25"/>
    <s v="Mitch Verma"/>
    <n v="0.95000000000000007"/>
  </r>
  <r>
    <x v="157"/>
    <s v="Quote #MPS122529 Per Service Ticket # 10428443 - KMF - Vertical Monitor Stand"/>
    <s v="Won"/>
    <d v="2024-01-12T00:00:00"/>
    <n v="0"/>
    <s v="MU1006"/>
    <s v="Vertical Dual Monitor Stand for 2 Computer Screen up to 32 Inch, Stacked Monitor Mount, Free-Standing Monitor Desk Stand with Swivel, Tilt, Height Adjustable, VESA Stand 100 x 100"/>
    <s v="IT/LAN Equipment"/>
    <n v="1"/>
    <n v="0"/>
    <n v="0"/>
    <m/>
    <n v="0"/>
    <m/>
    <m/>
    <n v="37.880000000000003"/>
    <n v="37.880000000000003"/>
    <n v="35.99"/>
    <n v="35.99"/>
    <s v="Kade Thurman"/>
    <n v="0"/>
  </r>
  <r>
    <x v="158"/>
    <s v="Two 48 Port POE Switches"/>
    <s v="Won"/>
    <d v="2024-01-18T00:00:00"/>
    <n v="0"/>
    <s v="USW-PRO-48-POE"/>
    <s v="Ubiquiti Layer 3 Switch - 48 Ports - Manageable - 3 Layer Supported - Modular - 60 W Power Consumption - 600 W PoE Budget - Optical Fiber, Twisted Pair - PoE Ports - 1U High - Rack-mountable - 1 Year Limited Warranty"/>
    <s v="IT/LAN Equipment"/>
    <n v="2"/>
    <n v="0"/>
    <n v="0"/>
    <m/>
    <n v="0"/>
    <m/>
    <m/>
    <n v="1247"/>
    <n v="2494"/>
    <n v="1022.09"/>
    <n v="2044.18"/>
    <s v="Jonathan DeFez"/>
    <n v="35.985599999999998"/>
  </r>
  <r>
    <x v="159"/>
    <s v="#10381550 - Latitude"/>
    <s v="Won"/>
    <d v="2024-01-05T00:00:00"/>
    <n v="0"/>
    <s v="210-BGBJ"/>
    <s v="Dell Latitude 5340 XCTO Base"/>
    <s v="IT/LAN Equipment"/>
    <n v="1"/>
    <n v="0"/>
    <n v="0"/>
    <m/>
    <n v="0"/>
    <m/>
    <m/>
    <n v="2872.49"/>
    <n v="2872.49"/>
    <n v="2393.7399999999998"/>
    <n v="2393.7399999999998"/>
    <s v="Lathrop Lougheed"/>
    <n v="38.300000000000004"/>
  </r>
  <r>
    <x v="159"/>
    <s v="#10381550 - Latitude"/>
    <s v="Won"/>
    <d v="2024-01-05T00:00:00"/>
    <n v="0"/>
    <s v="MPC-PS-T3"/>
    <s v="PC Setup Fee"/>
    <s v="IT/LAN Installation"/>
    <n v="1"/>
    <n v="0"/>
    <n v="0"/>
    <m/>
    <n v="0"/>
    <m/>
    <m/>
    <n v="250"/>
    <n v="250"/>
    <n v="0"/>
    <n v="0"/>
    <s v="Lathrop Lougheed"/>
    <n v="10"/>
  </r>
  <r>
    <x v="160"/>
    <s v="10458817 - New Workstation Class Draftsmen Computer for AutoCad for Andy Smith"/>
    <s v="Won"/>
    <d v="2024-01-12T00:00:00"/>
    <n v="0"/>
    <s v="4X71K53891-AX"/>
    <s v="Axiom 16GB DDR5 SDRAM Memory Module - For Desktop PC - 16 GB - DDR5-4800/PC5-38400 DDR5 SDRAM - 4800 MHz - CL40 - 1.10 V - TAA Compliant - Unbuffered - 288-pin - DIMM - Lifetime Warranty"/>
    <s v="IT/LAN Equipment"/>
    <n v="3"/>
    <n v="0"/>
    <n v="0"/>
    <m/>
    <n v="0"/>
    <m/>
    <m/>
    <n v="59"/>
    <n v="177"/>
    <n v="47.62"/>
    <n v="142.85999999999999"/>
    <s v="Jonathan DeFez"/>
    <n v="2.7312000000000012"/>
  </r>
  <r>
    <x v="160"/>
    <s v="10458817 - New Workstation Class Draftsmen Computer for AutoCad for Andy Smith"/>
    <s v="Won"/>
    <d v="2024-01-12T00:00:00"/>
    <n v="0"/>
    <s v="Shipped"/>
    <s v="PC(s) will be built, updated and configured and then shipped to the client from the Meriplex Office"/>
    <s v="IT/LAN Installation"/>
    <n v="1"/>
    <n v="0"/>
    <n v="0"/>
    <m/>
    <n v="0"/>
    <m/>
    <m/>
    <n v="149"/>
    <n v="149"/>
    <n v="0"/>
    <n v="0"/>
    <s v="Jonathan DeFez"/>
    <n v="5.96"/>
  </r>
  <r>
    <x v="160"/>
    <s v="10458817 - New Workstation Class Draftsmen Computer for AutoCad for Andy Smith"/>
    <s v="Won"/>
    <d v="2024-01-12T00:00:00"/>
    <n v="0"/>
    <s v="30FM002VUS"/>
    <s v="Lenovo ThinkStation P360 Workstation - 1 x Intel Core i7 Dodeca-core (12 Core) i7-12700 12th Gen - 16 GB DDR5 SDRAM RAM - 1 TB SSD - Tower - Intel W680 Chip - Windows 11 Pro 64-bit - NVIDIA RTX A2000 12 GB Graphics - Serial ATA/600 Controller -"/>
    <s v="IT/LAN Equipment"/>
    <n v="1"/>
    <n v="0"/>
    <n v="0"/>
    <m/>
    <n v="0"/>
    <m/>
    <m/>
    <n v="2580"/>
    <n v="2580"/>
    <n v="2115.33"/>
    <n v="2115.33"/>
    <s v="Jonathan DeFez"/>
    <n v="37.173600000000008"/>
  </r>
  <r>
    <x v="161"/>
    <s v="SD-WAN appliance Only Pampa"/>
    <s v="Won"/>
    <d v="2024-01-05T00:00:00"/>
    <n v="45"/>
    <s v="SDW-VCE610="/>
    <s v="SDWAN Managed Edge 610 Appliance"/>
    <s v="SD-WAN"/>
    <n v="1"/>
    <n v="45"/>
    <n v="0.97"/>
    <m/>
    <n v="45"/>
    <m/>
    <m/>
    <n v="300"/>
    <n v="300"/>
    <n v="542.70000000000005"/>
    <n v="542.70000000000005"/>
    <s v="Ron Walker"/>
    <n v="12"/>
  </r>
  <r>
    <x v="162"/>
    <s v="MPX LA - BMW Fortinet Renewals"/>
    <s v="Won"/>
    <d v="2024-01-09T00:00:00"/>
    <n v="0"/>
    <s v="VMS - FC-10-P831F-247-02-12"/>
    <s v="Fortinet FortiCare Comprehensive Support - 1 Year"/>
    <s v="IT/LAN Equipment"/>
    <n v="8"/>
    <n v="0"/>
    <n v="0"/>
    <m/>
    <n v="0"/>
    <m/>
    <m/>
    <n v="184.8"/>
    <n v="1478.4"/>
    <n v="138.6"/>
    <n v="1108.8"/>
    <s v="Brandon Philips"/>
    <n v="0"/>
  </r>
  <r>
    <x v="162"/>
    <s v="MPX LA - BMW Fortinet Renewals"/>
    <s v="Won"/>
    <d v="2024-01-09T00:00:00"/>
    <n v="0"/>
    <s v="FC-10-P234F-247-02-12"/>
    <s v="Fortinet FortiCare Comprehensive Support - 1 Year"/>
    <s v="IT/LAN Equipment"/>
    <n v="3"/>
    <n v="0"/>
    <n v="0"/>
    <m/>
    <n v="0"/>
    <m/>
    <m/>
    <n v="123.7"/>
    <n v="371.1"/>
    <n v="92.78"/>
    <n v="278.34000000000003"/>
    <s v="Brandon Philips"/>
    <n v="0"/>
  </r>
  <r>
    <x v="163"/>
    <s v="MPX LA - Audi Fortinet Renewals"/>
    <s v="Won"/>
    <d v="2024-01-09T00:00:00"/>
    <n v="0"/>
    <s v="VMS - FC-10-P831F-247-02-12"/>
    <s v="Fortinet FortiCare Comprehensive Support - 1 Year"/>
    <s v="IT/LAN Equipment"/>
    <n v="10"/>
    <n v="0"/>
    <n v="0"/>
    <m/>
    <n v="0"/>
    <m/>
    <m/>
    <n v="184.8"/>
    <n v="1848"/>
    <n v="138.6"/>
    <n v="1386"/>
    <s v="Brandon Philips"/>
    <n v="0"/>
  </r>
  <r>
    <x v="163"/>
    <s v="MPX LA - Audi Fortinet Renewals"/>
    <s v="Won"/>
    <d v="2024-01-09T00:00:00"/>
    <n v="0"/>
    <s v="FC-10-P234F-247-02-12"/>
    <s v="Fortinet FortiCare Comprehensive Support - 1 Year"/>
    <s v="IT/LAN Equipment"/>
    <n v="1"/>
    <n v="0"/>
    <n v="0"/>
    <m/>
    <n v="0"/>
    <m/>
    <m/>
    <n v="123.7"/>
    <n v="123.7"/>
    <n v="92.78"/>
    <n v="92.78"/>
    <s v="Brandon Philips"/>
    <n v="0"/>
  </r>
  <r>
    <x v="164"/>
    <s v="Webster Move Connectivity"/>
    <s v="Won"/>
    <d v="2024-01-19T00:00:00"/>
    <n v="-445"/>
    <s v="SP-BB="/>
    <s v="Broadband Internet Access"/>
    <s v="Connectivity"/>
    <n v="1"/>
    <n v="200"/>
    <n v="119.94"/>
    <m/>
    <n v="200"/>
    <m/>
    <m/>
    <n v="56.35"/>
    <n v="56.35"/>
    <n v="49"/>
    <n v="49"/>
    <s v="Cynthia Newsom"/>
    <n v="2.254"/>
  </r>
  <r>
    <x v="164"/>
    <s v="Webster Move Connectivity"/>
    <s v="Won"/>
    <d v="2024-01-19T00:00:00"/>
    <n v="-445"/>
    <s v="SDW-VCE620="/>
    <s v="SDWAN Managed Edge 620 Appliance"/>
    <s v="SD-WAN"/>
    <n v="1"/>
    <n v="75"/>
    <n v="0.97"/>
    <m/>
    <n v="75"/>
    <m/>
    <m/>
    <n v="300"/>
    <n v="300"/>
    <n v="871"/>
    <n v="871"/>
    <s v="Cynthia Newsom"/>
    <n v="12"/>
  </r>
  <r>
    <x v="165"/>
    <s v="UPS Replacement"/>
    <s v="Won"/>
    <d v="2024-01-08T00:00:00"/>
    <n v="0"/>
    <s v="SMT1500C"/>
    <s v="APC by Schneider Electric Smart-UPS 1500VA LCD 120V with SmartConnect - Tower - 3 Hour Recharge - 7 Minute Stand-by - 120 V Input - 120 V AC Output - Sine Wave - 8 x NEMA 5-15R - 8 x Battery/Surge Outlet"/>
    <s v="IT/LAN Equipment"/>
    <n v="1"/>
    <n v="0"/>
    <n v="0"/>
    <m/>
    <n v="0"/>
    <m/>
    <m/>
    <n v="618"/>
    <n v="618"/>
    <n v="543.76"/>
    <n v="543.76"/>
    <s v="Andrew Harp"/>
    <n v="5.9392000000000005"/>
  </r>
  <r>
    <x v="165"/>
    <s v="UPS Replacement"/>
    <s v="Won"/>
    <d v="2024-01-08T00:00:00"/>
    <n v="0"/>
    <s v="MPSSHIP"/>
    <s v="Shipping Insurance to Site Office"/>
    <s v="IT/LAN Equipment"/>
    <n v="1"/>
    <n v="0"/>
    <n v="0"/>
    <m/>
    <n v="0"/>
    <m/>
    <m/>
    <n v="47"/>
    <n v="47"/>
    <n v="0"/>
    <n v="0"/>
    <s v="Andrew Harp"/>
    <n v="3.7600000000000002"/>
  </r>
  <r>
    <x v="166"/>
    <s v="Quote In-Stock computer RUSH"/>
    <s v="Won"/>
    <d v="2024-01-04T00:00:00"/>
    <n v="0"/>
    <s v="Delivered"/>
    <s v="PC(s) will be built, updated and configured and then delivered and installed by Meriplex"/>
    <s v="IT/LAN Installation"/>
    <n v="1"/>
    <n v="0"/>
    <n v="0"/>
    <m/>
    <n v="0"/>
    <m/>
    <m/>
    <n v="295"/>
    <n v="295"/>
    <n v="0"/>
    <n v="0"/>
    <s v="Jonathan DeFez"/>
    <n v="11.8"/>
  </r>
  <r>
    <x v="166"/>
    <s v="Quote In-Stock computer RUSH"/>
    <s v="Won"/>
    <d v="2024-01-04T00:00:00"/>
    <n v="0"/>
    <s v="Travel Time - Hourly"/>
    <s v="Travel Time - Hourly"/>
    <s v="IT/LAN Installation"/>
    <n v="0.25"/>
    <n v="0"/>
    <n v="0"/>
    <m/>
    <n v="0"/>
    <m/>
    <m/>
    <n v="135"/>
    <n v="33.75"/>
    <n v="0"/>
    <n v="0"/>
    <s v="Jonathan DeFez"/>
    <n v="1.35"/>
  </r>
  <r>
    <x v="166"/>
    <s v="Quote In-Stock computer RUSH"/>
    <s v="Won"/>
    <d v="2024-01-04T00:00:00"/>
    <n v="0"/>
    <s v="21H1001SUS"/>
    <s v="Lenovo ThinkPad L14 Gen 4 14&quot; Notebook - Full HD - 1920 x 1080 - Intel Core i5 13th Gen i5-1335U Deca-core (10 Core) - 16 GB Total RAM - 512 GB SSD - Thunder Black - Intel Chip - Windows 11 Pro - Intel Iris Xe Graphics - In-plane Switching (IPS"/>
    <s v="IT/LAN Equipment"/>
    <n v="1"/>
    <n v="0"/>
    <n v="0"/>
    <m/>
    <n v="0"/>
    <m/>
    <m/>
    <n v="1424.11"/>
    <n v="1424.11"/>
    <n v="1238.3599999999999"/>
    <n v="1238.3599999999999"/>
    <s v="Jonathan DeFez"/>
    <n v="14.86"/>
  </r>
  <r>
    <x v="167"/>
    <s v="Service Ticket #10444914 - Replacement computer for CARTBARN"/>
    <s v="Won"/>
    <d v="2024-01-09T00:00:00"/>
    <n v="0"/>
    <s v="CT66J"/>
    <s v="Dell OptiPlex 7000 7010 Desktop Computer - Intel Core i5 13th Gen i5-13500T Tetradeca-core (14 Core) 1.60 GHz - 16 GB RAM DDR4 SDRAM - 256 GB M.2 PCI Express NVMe SSD - Micro PC - Intel Chip - Windows 11 Pro - Intel UHD Graphics 770 DDR4 SDRAM - English ("/>
    <s v="IT/LAN Equipment"/>
    <n v="1"/>
    <n v="0"/>
    <n v="0"/>
    <m/>
    <n v="0"/>
    <m/>
    <m/>
    <n v="941"/>
    <n v="941"/>
    <n v="771.17"/>
    <n v="771.17"/>
    <s v="Jonathan DeFez"/>
    <n v="13.586400000000003"/>
  </r>
  <r>
    <x v="167"/>
    <s v="Service Ticket #10444914 - Replacement computer for CARTBARN"/>
    <s v="Won"/>
    <d v="2024-01-09T00:00:00"/>
    <n v="0"/>
    <s v="808-3177"/>
    <s v="Dell Upgrade from 3Y Next Business Day to 3Y ProSupport"/>
    <s v="IT/LAN Equipment"/>
    <n v="1"/>
    <n v="0"/>
    <n v="0"/>
    <m/>
    <n v="0"/>
    <m/>
    <m/>
    <n v="46"/>
    <n v="46"/>
    <n v="37.35"/>
    <n v="37.35"/>
    <s v="Jonathan DeFez"/>
    <n v="0.69199999999999995"/>
  </r>
  <r>
    <x v="167"/>
    <s v="Service Ticket #10444914 - Replacement computer for CARTBARN"/>
    <s v="Won"/>
    <d v="2024-01-09T00:00:00"/>
    <n v="0"/>
    <s v="Travel Time - Hourly"/>
    <s v="Travel Time - Hourly"/>
    <s v="IT/LAN Installation"/>
    <n v="0.5"/>
    <n v="0"/>
    <n v="0"/>
    <m/>
    <n v="0"/>
    <m/>
    <m/>
    <n v="135"/>
    <n v="67.5"/>
    <n v="0"/>
    <n v="0"/>
    <s v="Jonathan DeFez"/>
    <n v="2.7"/>
  </r>
  <r>
    <x v="168"/>
    <s v="#10382301 Optiplex"/>
    <s v="Won"/>
    <d v="2024-01-05T00:00:00"/>
    <n v="0"/>
    <s v="210-BFXF"/>
    <s v="OptiPlex Small Form Factor"/>
    <s v="IT/LAN Equipment"/>
    <n v="1"/>
    <n v="0"/>
    <n v="0"/>
    <m/>
    <n v="0"/>
    <m/>
    <m/>
    <n v="1072.3599999999999"/>
    <n v="1072.3599999999999"/>
    <n v="893.63"/>
    <n v="893.63"/>
    <s v="Lathrop Lougheed"/>
    <n v="14.298399999999992"/>
  </r>
  <r>
    <x v="169"/>
    <s v="Change Order Opportunity 36949 - Laptops and Surface Pros"/>
    <s v="Won"/>
    <d v="2024-01-08T00:00:00"/>
    <n v="0"/>
    <s v="Shipped"/>
    <s v="PC(s) will be built, updated and configured and then shipped to the client from the Meriplex Office"/>
    <s v="IT/LAN Installation"/>
    <n v="-3"/>
    <n v="0"/>
    <n v="0"/>
    <m/>
    <n v="0"/>
    <m/>
    <m/>
    <n v="149"/>
    <n v="-447"/>
    <n v="0"/>
    <n v="0"/>
    <s v="Jonathan DeFez"/>
    <n v="-17.88"/>
  </r>
  <r>
    <x v="170"/>
    <s v="Barracuda Load Balancer Renewal"/>
    <s v="Won"/>
    <d v="2024-01-09T00:00:00"/>
    <n v="0"/>
    <s v="BBF440a-h"/>
    <s v="Barracuda Load Balancer Appliance 440 Instant Replacement Subscription SN# 1537888 5-Feb-2024 - 4-Feb-2027"/>
    <s v="Physical Security"/>
    <n v="1"/>
    <n v="0"/>
    <n v="0"/>
    <m/>
    <n v="0"/>
    <m/>
    <m/>
    <n v="1260"/>
    <n v="1260"/>
    <n v="1125.8599999999999"/>
    <n v="1125.8599999999999"/>
    <s v="Ron Walker"/>
    <n v="11.40190000000001"/>
  </r>
  <r>
    <x v="170"/>
    <s v="Barracuda Load Balancer Renewal"/>
    <s v="Won"/>
    <d v="2024-01-09T00:00:00"/>
    <n v="0"/>
    <s v="BBF440a-h"/>
    <s v="Barracuda Load Balancer Appliance 440 Instant Replacement Subscription SN# 1537885 1 Year"/>
    <s v="Physical Security"/>
    <n v="1"/>
    <n v="0"/>
    <n v="0"/>
    <m/>
    <n v="0"/>
    <m/>
    <m/>
    <n v="1260"/>
    <n v="1260"/>
    <n v="1125.8599999999999"/>
    <n v="1125.8599999999999"/>
    <s v="Ron Walker"/>
    <n v="11.40190000000001"/>
  </r>
  <r>
    <x v="170"/>
    <s v="Barracuda Load Balancer Renewal"/>
    <s v="Won"/>
    <d v="2024-01-09T00:00:00"/>
    <n v="0"/>
    <s v="BBF440a-e"/>
    <s v="Barracuda Load Balancer Appliance 440 Energize Updates Subscription SN# 1537888 5-Feb-2024 - 4-Feb-2027"/>
    <s v="Physical Security"/>
    <n v="1"/>
    <n v="0"/>
    <n v="0"/>
    <m/>
    <n v="0"/>
    <m/>
    <m/>
    <n v="913"/>
    <n v="913"/>
    <n v="814.08"/>
    <n v="814.08"/>
    <s v="Ron Walker"/>
    <n v="8.4081999999999972"/>
  </r>
  <r>
    <x v="170"/>
    <s v="Barracuda Load Balancer Renewal"/>
    <s v="Won"/>
    <d v="2024-01-09T00:00:00"/>
    <n v="0"/>
    <s v="BBF440a-e"/>
    <s v="Barracuda Load Balancer Appliance 440 Energize Updates Subscription SN# 1537885 5-Feb-2024 - 4-Feb-2027 1 Year"/>
    <s v="Physical Security"/>
    <n v="1"/>
    <n v="0"/>
    <n v="0"/>
    <m/>
    <n v="0"/>
    <m/>
    <m/>
    <n v="913"/>
    <n v="913"/>
    <n v="814.08"/>
    <n v="814.08"/>
    <s v="Ron Walker"/>
    <n v="8.4081999999999972"/>
  </r>
  <r>
    <x v="171"/>
    <s v="10447820 - Single Domain SSL Certificate for VPN for vpn.somnique.com"/>
    <s v="Won"/>
    <d v="2024-01-08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149"/>
    <n v="149"/>
    <n v="0"/>
    <n v="0"/>
    <s v="Lathrop Lougheed"/>
    <n v="5.96"/>
  </r>
  <r>
    <x v="171"/>
    <s v="10447820 - Single Domain SSL Certificate for VPN for vpn.somnique.com"/>
    <s v="Won"/>
    <d v="2024-01-08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Lathrop Lougheed"/>
    <n v="1.2008000000000005"/>
  </r>
  <r>
    <x v="172"/>
    <s v="Milestone Renewal"/>
    <s v="Won"/>
    <d v="2024-01-08T00:00:00"/>
    <n v="0"/>
    <s v="YXPCOBT"/>
    <s v="1 Year Care Plus for XProtect Corporate BL"/>
    <s v="IT/LAN Equipment"/>
    <n v="1"/>
    <n v="0"/>
    <n v="0"/>
    <m/>
    <n v="0"/>
    <m/>
    <m/>
    <n v="437"/>
    <n v="437"/>
    <n v="398.64"/>
    <n v="398.64"/>
    <s v="Corey King"/>
    <n v="0"/>
  </r>
  <r>
    <x v="172"/>
    <s v="Milestone Renewal"/>
    <s v="Won"/>
    <d v="2024-01-08T00:00:00"/>
    <n v="0"/>
    <s v="YXPCODL"/>
    <s v="1 Year Care Plus for XProtect Corporate DL"/>
    <s v="Physical Security"/>
    <n v="266"/>
    <n v="0"/>
    <n v="0"/>
    <m/>
    <n v="0"/>
    <m/>
    <m/>
    <n v="46"/>
    <n v="12236"/>
    <n v="41.58"/>
    <n v="11060.279999999999"/>
    <s v="Corey King"/>
    <n v="0"/>
  </r>
  <r>
    <x v="173"/>
    <s v="NoteBook for Corey Martinez"/>
    <s v="Won"/>
    <d v="2024-01-17T00:00:00"/>
    <n v="0"/>
    <s v="822P4UT#ABA"/>
    <s v="HP ProBook 450 G10 15.6&quot; Notebook - Full HD - 1920 x 1080 - Intel Core i5 13th Gen i5-1335U Deca-core (10 Core) 1.30 GHz - 16 GB Total RAM - 256 GB SSD - Pike Silver Plastic - Intel Chip - Windows 11 Pro - Intel UHD Graphics - In-plane Switching (IPS) Tec"/>
    <s v="IT/LAN Equipment"/>
    <n v="1"/>
    <n v="0"/>
    <n v="0"/>
    <m/>
    <n v="0"/>
    <m/>
    <m/>
    <n v="830"/>
    <n v="830"/>
    <n v="701.8"/>
    <n v="701.8"/>
    <s v="Andrew Harp"/>
    <n v="10.256000000000004"/>
  </r>
  <r>
    <x v="173"/>
    <s v="NoteBook for Corey Martinez"/>
    <s v="Won"/>
    <d v="2024-01-17T00:00:00"/>
    <n v="0"/>
    <s v="MISCSHE"/>
    <s v="California State EWaste Fee"/>
    <s v="IT/LAN Equipment"/>
    <n v="1"/>
    <n v="0"/>
    <n v="0"/>
    <m/>
    <n v="0"/>
    <m/>
    <m/>
    <n v="5"/>
    <n v="5"/>
    <n v="0"/>
    <n v="0"/>
    <s v="Andrew Harp"/>
    <n v="0.4"/>
  </r>
  <r>
    <x v="173"/>
    <s v="NoteBook for Corey Martinez"/>
    <s v="Won"/>
    <d v="2024-01-17T00:00:00"/>
    <n v="0"/>
    <s v="MPSSHIP"/>
    <s v="Shipping Insurance to Site Office"/>
    <s v="IT/LAN Equipment"/>
    <n v="1"/>
    <n v="0"/>
    <n v="0"/>
    <m/>
    <n v="0"/>
    <m/>
    <m/>
    <n v="18"/>
    <n v="18"/>
    <n v="0"/>
    <n v="0"/>
    <s v="Andrew Harp"/>
    <n v="1.44"/>
  </r>
  <r>
    <x v="174"/>
    <s v="MPX LA - Replacement Laptop for Beau"/>
    <s v="Won"/>
    <d v="2024-01-05T00:00:00"/>
    <n v="0"/>
    <s v="MPC-PS-T2"/>
    <s v="Meriplex Tier 2 Engineer Labor"/>
    <s v="IT/LAN Installation"/>
    <n v="3"/>
    <n v="0"/>
    <n v="0"/>
    <m/>
    <n v="0"/>
    <m/>
    <m/>
    <n v="200"/>
    <n v="600"/>
    <n v="0"/>
    <n v="0"/>
    <s v="Brandon Philips"/>
    <n v="0"/>
  </r>
  <r>
    <x v="174"/>
    <s v="MPX LA - Replacement Laptop for Beau"/>
    <s v="Won"/>
    <d v="2024-01-05T00:00:00"/>
    <n v="0"/>
    <s v="B0BZV94W8N"/>
    <s v="HP Envy x360 2 in 1 Convertible Business Laptop, 15.6 Inch FHD Touchscreen, Intel Core evo i7-1255U, 16GB RAM, 512GB SSD, Windows 11 Pro"/>
    <s v="IT/LAN Equipment"/>
    <n v="1"/>
    <n v="0"/>
    <n v="0"/>
    <m/>
    <n v="0"/>
    <m/>
    <m/>
    <n v="1281.18"/>
    <n v="1281.18"/>
    <n v="1088"/>
    <n v="1088"/>
    <s v="Brandon Philips"/>
    <n v="0"/>
  </r>
  <r>
    <x v="174"/>
    <s v="MPX LA - Replacement Laptop for Beau"/>
    <s v="Won"/>
    <d v="2024-01-05T00:00:00"/>
    <n v="0"/>
    <s v="VMS - Shipping"/>
    <s v="2 Day Shipping"/>
    <s v="IT/LAN Equipment"/>
    <n v="1"/>
    <n v="0"/>
    <n v="0"/>
    <m/>
    <n v="0"/>
    <m/>
    <m/>
    <n v="60"/>
    <n v="60"/>
    <n v="60"/>
    <n v="60"/>
    <s v="Brandon Philips"/>
    <n v="0"/>
  </r>
  <r>
    <x v="175"/>
    <s v="NCM: 10308476 - Intune Deployment Project"/>
    <s v="Won"/>
    <d v="2024-01-18T00:00:00"/>
    <n v="0"/>
    <s v="MPC-PS-T3"/>
    <s v="Meriplex Tier 3 Engineer Labor"/>
    <s v="IT/LAN Installation"/>
    <n v="15"/>
    <n v="0"/>
    <n v="0"/>
    <m/>
    <n v="0"/>
    <m/>
    <m/>
    <n v="150"/>
    <n v="2250"/>
    <n v="0"/>
    <n v="0"/>
    <s v="Lathrop Lougheed"/>
    <n v="90"/>
  </r>
  <r>
    <x v="175"/>
    <s v="NCM: 10308476 - Intune Deployment Project"/>
    <s v="Won"/>
    <d v="2024-01-18T00:00:00"/>
    <n v="0"/>
    <s v="MPC-PS-PM"/>
    <s v="Project Management"/>
    <s v="IT/LAN Installation"/>
    <n v="3"/>
    <n v="0"/>
    <n v="0"/>
    <m/>
    <n v="0"/>
    <m/>
    <m/>
    <n v="150"/>
    <n v="450"/>
    <n v="0"/>
    <n v="0"/>
    <s v="Lathrop Lougheed"/>
    <n v="18"/>
  </r>
  <r>
    <x v="176"/>
    <s v="Quote #MPS122566 Per Service Ticket # 10396670 - PH - USB Flash Drives"/>
    <s v="Won"/>
    <d v="2024-01-11T00:00:00"/>
    <n v="0"/>
    <s v="DTX/64GB"/>
    <s v="64GB USB3.2 GEN 1 DATATRAVELER EXODIA"/>
    <s v="IT/LAN Equipment"/>
    <n v="2"/>
    <n v="0"/>
    <n v="0"/>
    <m/>
    <n v="0"/>
    <m/>
    <m/>
    <n v="6.2"/>
    <n v="12.4"/>
    <n v="5.27"/>
    <n v="10.54"/>
    <s v="Kade Thurman"/>
    <n v="0"/>
  </r>
  <r>
    <x v="177"/>
    <s v="Webster Move and Cabling"/>
    <s v="Won"/>
    <d v="2024-01-19T00:00:00"/>
    <n v="0"/>
    <s v="Cable Work"/>
    <s v="Webster New Office Labor"/>
    <s v="IT/LAN Equipment"/>
    <n v="1"/>
    <n v="0"/>
    <n v="0"/>
    <m/>
    <n v="0"/>
    <m/>
    <m/>
    <n v="10147"/>
    <n v="10147"/>
    <n v="8320"/>
    <n v="8320"/>
    <s v="Cynthia Newsom"/>
    <n v="155.29500000000002"/>
  </r>
  <r>
    <x v="177"/>
    <s v="Webster Move and Cabling"/>
    <s v="Won"/>
    <d v="2024-01-19T00:00:00"/>
    <n v="0"/>
    <s v="Miscellaneous Items"/>
    <s v="Miscellaneous Items"/>
    <s v="IT/LAN Equipment"/>
    <n v="1"/>
    <n v="0"/>
    <n v="0"/>
    <m/>
    <n v="0"/>
    <m/>
    <m/>
    <n v="8093"/>
    <n v="8093"/>
    <n v="6636"/>
    <n v="6636"/>
    <s v="Cynthia Newsom"/>
    <n v="123.84500000000001"/>
  </r>
  <r>
    <x v="177"/>
    <s v="Webster Move and Cabling"/>
    <s v="Won"/>
    <d v="2024-01-19T00:00:00"/>
    <n v="0"/>
    <s v="MPC-PS-T3"/>
    <s v="Meriplex Tier 3 Engineer Labor"/>
    <s v="IT/LAN Installation"/>
    <n v="20"/>
    <n v="0"/>
    <n v="0"/>
    <m/>
    <n v="0"/>
    <m/>
    <m/>
    <n v="225"/>
    <n v="4500"/>
    <n v="0"/>
    <n v="0"/>
    <s v="Cynthia Newsom"/>
    <n v="180"/>
  </r>
  <r>
    <x v="177"/>
    <s v="Webster Move and Cabling"/>
    <s v="Won"/>
    <d v="2024-01-19T00:00:00"/>
    <n v="0"/>
    <s v="CAB-PS-PC"/>
    <s v="Cabling Project Coordinator"/>
    <s v="IT/LAN Installation"/>
    <n v="4"/>
    <n v="0"/>
    <n v="0"/>
    <m/>
    <n v="0"/>
    <m/>
    <m/>
    <n v="155"/>
    <n v="620"/>
    <n v="0"/>
    <n v="0"/>
    <s v="Cynthia Newsom"/>
    <n v="24.8"/>
  </r>
  <r>
    <x v="178"/>
    <s v="Windows Server License for VM"/>
    <s v="Won"/>
    <d v="2024-01-25T00:00:00"/>
    <n v="0"/>
    <s v="DG7GMGF0D5RK:0005"/>
    <s v="Microsoft Windows Server 2022 Standard - Perpetual License - 16 Core - Commercial - PC"/>
    <s v="IT/LAN Equipment"/>
    <n v="2"/>
    <n v="0"/>
    <n v="0"/>
    <m/>
    <n v="0"/>
    <m/>
    <m/>
    <n v="1044"/>
    <n v="2088"/>
    <n v="919.34"/>
    <n v="1838.68"/>
    <s v="Ron Walker"/>
    <n v="21.192199999999996"/>
  </r>
  <r>
    <x v="179"/>
    <s v="Meraki - Inspiration Academy"/>
    <s v="Won"/>
    <d v="2024-01-26T00:00:00"/>
    <n v="0"/>
    <s v="LIC-ENT-1YR"/>
    <s v="CISCO MERAKI 1YR ENTERPRISE LICS LICS AND SUP"/>
    <s v="IT/LAN Equipment"/>
    <n v="1"/>
    <n v="0"/>
    <n v="0"/>
    <m/>
    <n v="0"/>
    <m/>
    <m/>
    <n v="135"/>
    <n v="135"/>
    <n v="108.48"/>
    <n v="108.48"/>
    <s v=""/>
    <n v="0"/>
  </r>
  <r>
    <x v="179"/>
    <s v="Meraki - Inspiration Academy"/>
    <s v="Won"/>
    <d v="2024-01-26T00:00:00"/>
    <n v="0"/>
    <s v="LIC-MS320-48FP-1YR"/>
    <s v="CISCO MERAKI 1YR MS320-48FP LICS ENTERPRISE LICS AND SUP"/>
    <s v="NRR - Agent Income"/>
    <n v="3"/>
    <n v="0"/>
    <n v="0"/>
    <m/>
    <n v="0"/>
    <m/>
    <m/>
    <n v="492"/>
    <n v="1476"/>
    <n v="344.36"/>
    <n v="1033.08"/>
    <s v=""/>
    <n v="0"/>
  </r>
  <r>
    <x v="180"/>
    <s v="Block of Hours"/>
    <s v="Won"/>
    <d v="2024-01-08T00:00:00"/>
    <n v="0"/>
    <s v="MPC-BLK-1-10"/>
    <s v="Hourly Support Block (1 - 10 Units)"/>
    <s v="IT/LAN Installation"/>
    <n v="10"/>
    <n v="0"/>
    <n v="0"/>
    <m/>
    <n v="0"/>
    <m/>
    <m/>
    <n v="220"/>
    <n v="2200"/>
    <n v="0"/>
    <n v="0"/>
    <s v="Jonathan DeFez"/>
    <n v="88"/>
  </r>
  <r>
    <x v="181"/>
    <s v="PC Replacement for Gini"/>
    <s v="Won"/>
    <d v="2024-01-09T00:00:00"/>
    <n v="0"/>
    <s v="86Y47UT#ABA"/>
    <s v="HP Elite 600 G9 Desktop Computer - Intel Core i7 13th Gen i7-13700 Hexadeca-core (16 Core) - 16 GB RAM DDR5 SDRAM - 256 GB M.2 PCI Express NVMe SSD - Small Form Factor - Intel Q670 Chip - Windows 11 Pro - Intel UHD Graphics 770 DDR5 SDRAM - English Keyboa"/>
    <s v="IT/LAN Equipment"/>
    <n v="1"/>
    <n v="0"/>
    <n v="0"/>
    <m/>
    <n v="0"/>
    <m/>
    <m/>
    <n v="1443"/>
    <n v="1443"/>
    <n v="1183.25"/>
    <n v="1183.25"/>
    <s v="Lathrop Lougheed"/>
    <n v="20.78"/>
  </r>
  <r>
    <x v="181"/>
    <s v="PC Replacement for Gini"/>
    <s v="Won"/>
    <d v="2024-01-09T00:00:00"/>
    <n v="0"/>
    <s v="4M9Y0AT"/>
    <s v="HP 16GB DDR5 SDRAM Memory Module - 16 GB (1 x 16GB) - DDR5-4800/PC5-38400 DDR5 SDRAM - 4800 MHz - Non-ECC - Unbuffered - 288-pin - DIMM - 1 Year Warranty"/>
    <s v="IT/LAN Equipment"/>
    <n v="1"/>
    <n v="0"/>
    <n v="0"/>
    <m/>
    <n v="0"/>
    <m/>
    <m/>
    <n v="292"/>
    <n v="292"/>
    <n v="238.73"/>
    <n v="238.73"/>
    <s v="Lathrop Lougheed"/>
    <n v="4.2616000000000005"/>
  </r>
  <r>
    <x v="181"/>
    <s v="PC Replacement for Gini"/>
    <s v="Won"/>
    <d v="2024-01-09T00:00:00"/>
    <n v="0"/>
    <s v="MPC-PS-T1"/>
    <s v="Meriplex Tier 1 Technician Labor"/>
    <s v="IT/LAN Installation"/>
    <n v="2"/>
    <n v="0"/>
    <n v="0"/>
    <m/>
    <n v="0"/>
    <m/>
    <m/>
    <n v="120"/>
    <n v="240"/>
    <n v="0"/>
    <n v="0"/>
    <s v="Lathrop Lougheed"/>
    <n v="9.6"/>
  </r>
  <r>
    <x v="182"/>
    <s v="Desktop PC"/>
    <s v="Won"/>
    <d v="2024-01-08T00:00:00"/>
    <n v="0"/>
    <s v="T3TYP"/>
    <s v="Dell OptiPlex 7000 7010 Desktop Computer - Intel Core i3 13th Gen i3-13100T Quad-core (4 Core) 2.50 GHz - 8 GB RAM DDR4 SDRAM - 256 GB M.2 PCI Express NVMe SSD - Micro PC"/>
    <s v="IT/LAN Equipment"/>
    <n v="1"/>
    <n v="0"/>
    <n v="0"/>
    <m/>
    <n v="0"/>
    <m/>
    <m/>
    <n v="805.2"/>
    <n v="805.2"/>
    <n v="660.26"/>
    <n v="660.26"/>
    <s v="Kennon Jayne"/>
    <n v="11.595200000000004"/>
  </r>
  <r>
    <x v="182"/>
    <s v="Desktop PC"/>
    <s v="Won"/>
    <d v="2024-01-08T00:00:00"/>
    <n v="0"/>
    <s v="9HB739"/>
    <s v="Dell Memory 8GB"/>
    <s v="IT/LAN Equipment"/>
    <n v="1"/>
    <n v="0"/>
    <n v="0"/>
    <m/>
    <n v="0"/>
    <m/>
    <m/>
    <n v="83.65"/>
    <n v="83.65"/>
    <n v="68.59"/>
    <n v="68.59"/>
    <s v="Kennon Jayne"/>
    <n v="1.2048000000000003"/>
  </r>
  <r>
    <x v="183"/>
    <s v="#10451179 - AD: Amy Krieger / Procurement Ergonomic Keyboard for Jennifer Sandoval"/>
    <s v="Won"/>
    <d v="2024-01-11T00:00:00"/>
    <n v="0"/>
    <s v="920-002555"/>
    <s v="Logitech MK550 Wireless Wave Keyboard and Mouse Combo, Ergonomic Wave Design, Black - USB Wireless RF 2.40 GHz Keyboard - 117 Key - Black - USB Wireless RF Mouse - Laser - 1000 dpi - Scroll Wheel - Black - Email, Internet Key, Volume Control Hot Key(s) -"/>
    <s v="IT/LAN Equipment"/>
    <n v="1"/>
    <n v="0"/>
    <n v="0"/>
    <m/>
    <n v="0"/>
    <m/>
    <m/>
    <n v="67"/>
    <n v="67"/>
    <n v="55.83"/>
    <n v="55.83"/>
    <s v="Lathrop Lougheed"/>
    <n v="0.89360000000000017"/>
  </r>
  <r>
    <x v="184"/>
    <s v="3 laptops and docks"/>
    <s v="Won"/>
    <d v="2024-01-08T00:00:00"/>
    <n v="0"/>
    <s v="wd22tb4sap"/>
    <s v="Dell Thunderbolt Dock ? WD22TB4"/>
    <s v="IT/LAN Equipment"/>
    <n v="3"/>
    <n v="0"/>
    <n v="0"/>
    <m/>
    <n v="0"/>
    <m/>
    <m/>
    <n v="345.59"/>
    <n v="1036.77"/>
    <n v="287.99"/>
    <n v="863.97"/>
    <s v="Lathrop Lougheed"/>
    <n v="13.823999999999996"/>
  </r>
  <r>
    <x v="184"/>
    <s v="3 laptops and docks"/>
    <s v="Won"/>
    <d v="2024-01-08T00:00:00"/>
    <n v="0"/>
    <s v="s020l3540usrvp"/>
    <s v="Dell Lattitude 3540, i7, 16gb, 256gb, 4 year warra"/>
    <s v="IT/LAN Equipment"/>
    <n v="3"/>
    <n v="0"/>
    <n v="0"/>
    <m/>
    <n v="0"/>
    <m/>
    <m/>
    <n v="1424.1"/>
    <n v="4272.3"/>
    <n v="1186.75"/>
    <n v="3560.25"/>
    <s v="Lathrop Lougheed"/>
    <n v="56.964000000000013"/>
  </r>
  <r>
    <x v="184"/>
    <s v="3 laptops and docks"/>
    <s v="Won"/>
    <d v="2024-01-08T00:00:00"/>
    <n v="0"/>
    <s v="PC Setup Fee"/>
    <s v="PC Setup Fee"/>
    <s v="IT/LAN Installation"/>
    <n v="3"/>
    <n v="0"/>
    <n v="0"/>
    <m/>
    <n v="0"/>
    <m/>
    <m/>
    <n v="250"/>
    <n v="750"/>
    <n v="0"/>
    <n v="0"/>
    <s v="Lathrop Lougheed"/>
    <n v="30"/>
  </r>
  <r>
    <x v="185"/>
    <s v="SFP Module"/>
    <s v="Won"/>
    <d v="2024-01-08T00:00:00"/>
    <n v="0"/>
    <s v="J4859D"/>
    <s v="Aruba 1G SFP LC LX 10km SMF Transceiver - For Data Networking, Optical Network - 1 x LC 1000Base-LX Network - Optical Fiber - Single-mode - Gigabit Ethernet - 1000Base-LX"/>
    <s v="IT/LAN Equipment"/>
    <n v="1"/>
    <n v="0"/>
    <n v="0"/>
    <m/>
    <n v="0"/>
    <m/>
    <m/>
    <n v="288"/>
    <n v="288"/>
    <n v="231"/>
    <n v="231"/>
    <s v="Ron Walker"/>
    <n v="4.8450000000000006"/>
  </r>
  <r>
    <x v="186"/>
    <s v="Cisco Meraki Addl QX9286 - Bank of Houston"/>
    <s v="Won"/>
    <d v="2024-01-11T00:00:00"/>
    <n v="0"/>
    <s v="LIC-ENT-5YR"/>
    <s v="QX9286 | CISCO MERAKI 5YR ENTERPRISE SLIC LICS AND SUP"/>
    <s v="IT/LAN Equipment"/>
    <n v="1"/>
    <n v="0"/>
    <n v="0"/>
    <m/>
    <n v="0"/>
    <m/>
    <m/>
    <n v="528.87"/>
    <n v="528.87"/>
    <n v="406.82"/>
    <n v="406.82"/>
    <s v="Greg Brooks"/>
    <n v="0"/>
  </r>
  <r>
    <x v="187"/>
    <s v="10454734 - Change Order 9174482 New Microsoft Academic Tenant"/>
    <s v="Won"/>
    <d v="2024-01-12T00:00:00"/>
    <n v="-31.81"/>
    <s v="MSP-M365-A1-DS"/>
    <s v="Microsoft 365 A1 for Devices for Students - One Time"/>
    <s v="MRR - Agent Income"/>
    <n v="-120"/>
    <n v="0"/>
    <n v="0"/>
    <m/>
    <n v="0"/>
    <m/>
    <m/>
    <n v="6.4"/>
    <n v="-768"/>
    <n v="5.38"/>
    <n v="-645.6"/>
    <s v="Jonathan DeFez"/>
    <n v="-30.72"/>
  </r>
  <r>
    <x v="188"/>
    <s v="Quote #MPS122612 Per Service Ticket #10454745 - Cisco SFP"/>
    <s v="Won"/>
    <d v="2024-01-08T00:00:00"/>
    <n v="0"/>
    <s v="GLC-LH-SMD="/>
    <s v="Cisco SFP (mini-GBIC) Module - 1 x LC/PC Duplex 1000Base-LX/LH Network1"/>
    <s v="IT/LAN Equipment"/>
    <n v="1"/>
    <n v="0"/>
    <n v="0"/>
    <m/>
    <n v="0"/>
    <m/>
    <m/>
    <n v="515.72"/>
    <n v="515.72"/>
    <n v="412.58"/>
    <n v="412.58"/>
    <s v="Kade Thurman"/>
    <n v="0"/>
  </r>
  <r>
    <x v="189"/>
    <s v="Firewall Security Suite Renewal 1 yr"/>
    <s v="Won"/>
    <d v="2024-01-18T00:00:00"/>
    <n v="0"/>
    <s v="01-SSC-1435"/>
    <s v="SonicWall Capture Advanced Threat Protection Service - SonicWall 01-SSC-0030, 02-SSC-0601, 02-SSC-0602 - Subscription License 1 Appliance - 1 Year License Validation Period - TAA Compliant"/>
    <s v="IT/LAN Equipment"/>
    <n v="1"/>
    <n v="0"/>
    <n v="0"/>
    <m/>
    <n v="0"/>
    <m/>
    <m/>
    <n v="292"/>
    <n v="292"/>
    <n v="247.72"/>
    <n v="247.72"/>
    <s v="Lathrop Lougheed"/>
    <n v="3.5424000000000002"/>
  </r>
  <r>
    <x v="190"/>
    <s v="MPX LA - Phone, GPU, and CLoud project"/>
    <s v="Won"/>
    <d v="2024-01-22T00:00:00"/>
    <n v="0"/>
    <s v="FS-148F-FPOE"/>
    <s v="Fortinet FortiSwitch 148F Full-Poe Ethernet Switch - 48 Ports - Manageable - 2 Layer Supported - Modular - 895.70 W Power Consumption - 740 W PoE Budget - Optical Fiber, Twisted Pair - PoE Ports - 1U High - Rack-mountable - Lifetime Limited Warranty"/>
    <s v="IT/LAN Equipment"/>
    <n v="1"/>
    <n v="0"/>
    <n v="0"/>
    <m/>
    <n v="0"/>
    <m/>
    <m/>
    <n v="2027.13"/>
    <n v="2027.13"/>
    <n v="1621.75"/>
    <n v="1621.75"/>
    <s v="Mitch Verma"/>
    <n v="16.215200000000003"/>
  </r>
  <r>
    <x v="190"/>
    <s v="MPX LA - Phone, GPU, and CLoud project"/>
    <s v="Won"/>
    <d v="2024-01-22T00:00:00"/>
    <n v="0"/>
    <s v="MPC-PS-T2"/>
    <s v="Meriplex Tier 2 Engineer Labor - PSP Silver"/>
    <s v="IT/LAN Installation"/>
    <n v="4"/>
    <n v="0"/>
    <n v="0"/>
    <m/>
    <n v="0"/>
    <m/>
    <m/>
    <n v="176"/>
    <n v="704"/>
    <n v="0"/>
    <n v="0"/>
    <s v="Mitch Verma"/>
    <n v="28.16"/>
  </r>
  <r>
    <x v="190"/>
    <s v="MPX LA - Phone, GPU, and CLoud project"/>
    <s v="Won"/>
    <d v="2024-01-22T00:00:00"/>
    <n v="0"/>
    <s v="RS822+"/>
    <s v="Synology RackStation SAN/NAS Storage System - 1 x AMD Ryzen V1500B Quad-core (4 Core) 2.20 GHz - 4 x HDD Supported - 0 x HDD Installed - 4 x SSD Supported - 0 x SSD Installed - 2 GB RAM DDR4 SDRAM - Serial ATA Controller - RAID Supported - 0, 1, 5,"/>
    <s v="IT/LAN Equipment"/>
    <n v="1"/>
    <n v="0"/>
    <n v="0"/>
    <m/>
    <n v="0"/>
    <m/>
    <m/>
    <n v="1205.6500000000001"/>
    <n v="1205.6500000000001"/>
    <n v="964.52"/>
    <n v="964.52"/>
    <s v="Mitch Verma"/>
    <n v="9.6452000000000044"/>
  </r>
  <r>
    <x v="190"/>
    <s v="MPX LA - Phone, GPU, and CLoud project"/>
    <s v="Won"/>
    <d v="2024-01-22T00:00:00"/>
    <n v="0"/>
    <s v="N320-001"/>
    <s v="Tripp Lite 1ft Duplex Multimode 62.5/125 Fiber Optic Patch Cable LC/LC 1' 1ft 0.3 Meter - LC - LC - 1ft - Orange"/>
    <s v="IT/LAN Equipment"/>
    <n v="1"/>
    <n v="0"/>
    <n v="0"/>
    <m/>
    <n v="0"/>
    <m/>
    <m/>
    <n v="13.29"/>
    <n v="13.29"/>
    <n v="10.63"/>
    <n v="10.63"/>
    <s v="Mitch Verma"/>
    <n v="0.10639999999999994"/>
  </r>
  <r>
    <x v="190"/>
    <s v="MPX LA - Phone, GPU, and CLoud project"/>
    <s v="Won"/>
    <d v="2024-01-22T00:00:00"/>
    <n v="0"/>
    <s v="FC-10-148FF-247-02-12"/>
    <s v="Fortinet FortiCare Comprehensive Support - Extended Service (Renewal) - 1 Year - Service - 24 x 7 x Next Business Day - Service Depot - Exchange - Parts"/>
    <s v="IT/LAN Equipment"/>
    <n v="1"/>
    <n v="0"/>
    <n v="0"/>
    <m/>
    <n v="0"/>
    <m/>
    <m/>
    <n v="250"/>
    <n v="250"/>
    <n v="199.6"/>
    <n v="199.6"/>
    <s v="Mitch Verma"/>
    <n v="2.0160000000000005"/>
  </r>
  <r>
    <x v="190"/>
    <s v="MPX LA - Phone, GPU, and CLoud project"/>
    <s v="Won"/>
    <d v="2024-01-22T00:00:00"/>
    <n v="0"/>
    <s v="5JV89AA"/>
    <s v="HP NVIDIA Quadro RTX 4000 Graphic Card - 8 GB - DisplayPort - 3 x DisplayPort"/>
    <s v="IT/LAN Equipment"/>
    <n v="1"/>
    <n v="0"/>
    <n v="0"/>
    <m/>
    <n v="0"/>
    <m/>
    <m/>
    <n v="958.18"/>
    <n v="958.18"/>
    <n v="766.54"/>
    <n v="766.54"/>
    <s v="Mitch Verma"/>
    <n v="7.6655999999999995"/>
  </r>
  <r>
    <x v="190"/>
    <s v="MPX LA - Phone, GPU, and CLoud project"/>
    <s v="Won"/>
    <d v="2024-01-22T00:00:00"/>
    <n v="0"/>
    <s v="KCP426ND8/32"/>
    <s v="Kingston 32GB DDR4 SDRAM Memory Module - For Desktop PC - 32 GB (1 x 32GB) - DDR4-2666/PC4-21300 DDR4 SDRAM - 2666 MHz - CL19 - 1.20 V - Non-ECC - Unbuffered - 288-pin - DIMM - Lifetime Warranty"/>
    <s v="IT/LAN Equipment"/>
    <n v="2"/>
    <n v="0"/>
    <n v="0"/>
    <m/>
    <n v="0"/>
    <m/>
    <m/>
    <n v="79.2"/>
    <n v="158.4"/>
    <n v="63.36"/>
    <n v="126.72"/>
    <s v="Mitch Verma"/>
    <n v="1.2672000000000003"/>
  </r>
  <r>
    <x v="190"/>
    <s v="MPX LA - Phone, GPU, and CLoud project"/>
    <s v="Won"/>
    <d v="2024-01-22T00:00:00"/>
    <n v="0"/>
    <s v="MPC-PS-T1"/>
    <s v="Meriplex Tier 1 Technician Labor - PSP Silver"/>
    <s v="IT/LAN Installation"/>
    <n v="3"/>
    <n v="0"/>
    <n v="0"/>
    <m/>
    <n v="0"/>
    <m/>
    <m/>
    <n v="145.19999999999999"/>
    <n v="435.6"/>
    <n v="0"/>
    <n v="0"/>
    <s v="Mitch Verma"/>
    <n v="17.424000000000003"/>
  </r>
  <r>
    <x v="190"/>
    <s v="MPX LA - Phone, GPU, and CLoud project"/>
    <s v="Won"/>
    <d v="2024-01-22T00:00:00"/>
    <n v="0"/>
    <s v="FN-TRAN-SX"/>
    <s v="Fortinet SFP (mini-GBIC) Module - For Data Networking, Optical Network - 1 x 1000Base-SX Network - Optical FiberGigabit Ethernet - 1000Base-SX"/>
    <s v="IT/LAN Equipment"/>
    <n v="2"/>
    <n v="0"/>
    <n v="0"/>
    <m/>
    <n v="0"/>
    <m/>
    <m/>
    <n v="64"/>
    <n v="128"/>
    <n v="51.2"/>
    <n v="102.4"/>
    <s v="Mitch Verma"/>
    <n v="1.0239999999999998"/>
  </r>
  <r>
    <x v="190"/>
    <s v="MPX LA - Phone, GPU, and CLoud project"/>
    <s v="Won"/>
    <d v="2024-01-22T00:00:00"/>
    <n v="0"/>
    <s v="011233"/>
    <s v="CyberData SIP Paging Adapter"/>
    <s v="IT/LAN Equipment"/>
    <n v="1"/>
    <n v="0"/>
    <n v="0"/>
    <m/>
    <n v="0"/>
    <m/>
    <m/>
    <n v="508.45"/>
    <n v="508.45"/>
    <n v="406.76"/>
    <n v="406.76"/>
    <s v="Mitch Verma"/>
    <n v="4.0675999999999997"/>
  </r>
  <r>
    <x v="190"/>
    <s v="MPX LA - Phone, GPU, and CLoud project"/>
    <s v="Won"/>
    <d v="2024-01-22T00:00:00"/>
    <n v="0"/>
    <s v="VK-CTG-1A"/>
    <s v="Viking Clock Controlled Tone Generator"/>
    <s v="IT/LAN Equipment"/>
    <n v="1"/>
    <n v="0"/>
    <n v="0"/>
    <m/>
    <n v="0"/>
    <m/>
    <m/>
    <n v="340.34"/>
    <n v="340.34"/>
    <n v="272.27"/>
    <n v="272.27"/>
    <s v="Mitch Verma"/>
    <n v="2.7227999999999999"/>
  </r>
  <r>
    <x v="190"/>
    <s v="MPX LA - Phone, GPU, and CLoud project"/>
    <s v="Won"/>
    <d v="2024-01-22T00:00:00"/>
    <n v="0"/>
    <s v="HAT5310-8T"/>
    <s v="Synology HAT5300 8 TB Hard Drive - 3.5&quot; Internal"/>
    <s v="IT/LAN Equipment"/>
    <n v="4"/>
    <n v="0"/>
    <n v="0"/>
    <m/>
    <n v="0"/>
    <m/>
    <m/>
    <n v="374.59"/>
    <n v="1498.36"/>
    <n v="299.67"/>
    <n v="1198.68"/>
    <s v="Mitch Verma"/>
    <n v="11.987199999999994"/>
  </r>
  <r>
    <x v="190"/>
    <s v="MPX LA - Phone, GPU, and CLoud project"/>
    <s v="Won"/>
    <d v="2024-01-22T00:00:00"/>
    <n v="0"/>
    <s v="MPC-PS-T3"/>
    <s v="Meriplex Tier 3 Engineer Labor - PSP Silver"/>
    <s v="IT/LAN Installation"/>
    <n v="2"/>
    <n v="0"/>
    <n v="0"/>
    <m/>
    <n v="0"/>
    <m/>
    <m/>
    <n v="211.2"/>
    <n v="422.4"/>
    <n v="0"/>
    <n v="0"/>
    <s v="Mitch Verma"/>
    <n v="16.896000000000001"/>
  </r>
  <r>
    <x v="191"/>
    <s v="New PC for Harley Stavis"/>
    <s v="Won"/>
    <d v="2024-01-10T00:00:00"/>
    <n v="0"/>
    <s v="Shipped"/>
    <s v="PC(s) will be built, updated and configured and then shipped to the client from the Meriplex Office"/>
    <s v="IT/LAN Installation"/>
    <n v="1"/>
    <n v="0"/>
    <n v="0"/>
    <m/>
    <n v="0"/>
    <m/>
    <m/>
    <n v="149"/>
    <n v="149"/>
    <n v="0"/>
    <n v="0"/>
    <s v="Jonathan DeFez"/>
    <n v="5.96"/>
  </r>
  <r>
    <x v="191"/>
    <s v="New PC for Harley Stavis"/>
    <s v="Won"/>
    <d v="2024-01-10T00:00:00"/>
    <n v="0"/>
    <s v="30HA001NUS"/>
    <s v="Lenovo ThinkStation P3 30HA001NUS Workstation - Intel Core i9 Tetracosa-core (24 Core) i9-13900 13th Gen 2 GHz - 32 GB DDR5 SDRAM RAM - 1 TB SSD - Mini-tower - Intel W680 Chip - Windows 11 Pro - 1 x NVIDIA RTX A2000 12 GB Graphics - NVMe Controller - Engl"/>
    <s v="IT/LAN Equipment"/>
    <n v="1"/>
    <n v="0"/>
    <n v="0"/>
    <m/>
    <n v="0"/>
    <m/>
    <m/>
    <n v="2895.23"/>
    <n v="2895.23"/>
    <n v="2517.59"/>
    <n v="2517.59"/>
    <s v="Jonathan DeFez"/>
    <n v="30.211199999999991"/>
  </r>
  <r>
    <x v="192"/>
    <s v="Dr. Gay Replacement Desktop"/>
    <s v="Won"/>
    <d v="2024-01-12T00:00:00"/>
    <n v="0"/>
    <s v="55VH2"/>
    <s v="Dell OptiPlex 7000 7010 Desktop Computer - Intel Core i5 13th Gen i5-13500 Tetradeca-core (14 Core) 2.50 GHz - 16 GB RAM DDR4 SDRAM - 256 GB M.2 PCI Express NVMe SSD - Small Form Factor - Black - Intel Chip - Windows 11 Pro - Intel UHD Graphics 770 DDR4 S"/>
    <s v="IT/LAN Equipment"/>
    <n v="1"/>
    <n v="0"/>
    <n v="0"/>
    <m/>
    <n v="0"/>
    <m/>
    <m/>
    <n v="903"/>
    <n v="903"/>
    <n v="740.46"/>
    <n v="740.46"/>
    <s v="Lathrop Lougheed"/>
    <n v="13.003199999999998"/>
  </r>
  <r>
    <x v="192"/>
    <s v="Dr. Gay Replacement Desktop"/>
    <s v="Won"/>
    <d v="2024-01-12T00:00:00"/>
    <n v="0"/>
    <s v="808-3177"/>
    <s v="Dell Upgrade from 3Y Next Business Day to 3Y ProSupport"/>
    <s v="IT/LAN Equipment"/>
    <n v="1"/>
    <n v="0"/>
    <n v="0"/>
    <m/>
    <n v="0"/>
    <m/>
    <m/>
    <n v="46"/>
    <n v="46"/>
    <n v="37.35"/>
    <n v="37.35"/>
    <s v="Lathrop Lougheed"/>
    <n v="0.69199999999999995"/>
  </r>
  <r>
    <x v="192"/>
    <s v="Dr. Gay Replacement Desktop"/>
    <s v="Won"/>
    <d v="2024-01-12T00:00:00"/>
    <n v="0"/>
    <s v="MPC-PS-T1"/>
    <s v="Meriplex Tier 1 Technician Labor"/>
    <s v="IT/LAN Installation"/>
    <n v="3"/>
    <n v="0"/>
    <n v="0"/>
    <m/>
    <n v="0"/>
    <m/>
    <m/>
    <n v="120"/>
    <n v="360"/>
    <n v="0"/>
    <n v="0"/>
    <s v="Lathrop Lougheed"/>
    <n v="14.4"/>
  </r>
  <r>
    <x v="193"/>
    <s v="New tower computer"/>
    <s v="Won"/>
    <d v="2024-01-08T00:00:00"/>
    <n v="0"/>
    <s v="xctoosffphusrvp"/>
    <s v="Dell Optiplex 7010, i5-13500 processor, 32GB Memory, 512GB Hard drive, AMD Graphics card + 4 year warranty"/>
    <s v="IT/LAN Equipment"/>
    <n v="1"/>
    <n v="0"/>
    <n v="0"/>
    <m/>
    <n v="0"/>
    <m/>
    <m/>
    <n v="2121.14"/>
    <n v="2121.14"/>
    <n v="1767.62"/>
    <n v="1767.62"/>
    <s v="Lathrop Lougheed"/>
    <n v="28.281599999999997"/>
  </r>
  <r>
    <x v="193"/>
    <s v="New tower computer"/>
    <s v="Won"/>
    <d v="2024-01-08T00:00:00"/>
    <n v="0"/>
    <s v="PC Setup Fee"/>
    <s v="PC Setup Fee"/>
    <s v="IT/LAN Installation"/>
    <n v="1"/>
    <n v="0"/>
    <n v="0"/>
    <m/>
    <n v="0"/>
    <m/>
    <m/>
    <n v="250"/>
    <n v="250"/>
    <n v="0"/>
    <n v="0"/>
    <s v="Lathrop Lougheed"/>
    <n v="10"/>
  </r>
  <r>
    <x v="194"/>
    <s v="Two Surface Pros, two Basic Laptops"/>
    <s v="Won"/>
    <d v="2024-01-10T00:00:00"/>
    <n v="0"/>
    <s v="Travel Time - Hourly"/>
    <s v="Travel Time - Hourly"/>
    <s v="IT/LAN Installation"/>
    <n v="0.25"/>
    <n v="0"/>
    <n v="0"/>
    <m/>
    <n v="0"/>
    <m/>
    <m/>
    <n v="135"/>
    <n v="33.75"/>
    <n v="0"/>
    <n v="0"/>
    <s v="Jonathan DeFez"/>
    <n v="1.35"/>
  </r>
  <r>
    <x v="194"/>
    <s v="Two Surface Pros, two Basic Laptops"/>
    <s v="Won"/>
    <d v="2024-01-10T00:00:00"/>
    <n v="0"/>
    <s v="21DH000RUS"/>
    <s v="Lenovo ThinkBook 14 G4 IAP 14&quot; Notebook - Full HD - 1920 x 1080 - Intel Core i5 12th Gen i5-1235U Deca-core (10 Core) 1.30 GHz - 8 GB Total RAM - 8 GB On-board Memory - 256 GB SSD - Mineral Gray - Intel Chip - Windows 11 Pro - Intel UHD Graphic"/>
    <s v="IT/LAN Equipment"/>
    <n v="2"/>
    <n v="0"/>
    <n v="0"/>
    <m/>
    <n v="0"/>
    <m/>
    <m/>
    <n v="780.69"/>
    <n v="1561.38"/>
    <n v="678.86"/>
    <n v="1357.72"/>
    <s v="Jonathan DeFez"/>
    <n v="16.292800000000007"/>
  </r>
  <r>
    <x v="194"/>
    <s v="Two Surface Pros, two Basic Laptops"/>
    <s v="Won"/>
    <d v="2024-01-10T00:00:00"/>
    <n v="0"/>
    <s v="KCP432SS8/8"/>
    <s v="Kingston 8GB DDR4 SDRAM Memory Module - For Notebo"/>
    <s v="IT/LAN Equipment"/>
    <n v="2"/>
    <n v="0"/>
    <n v="0"/>
    <m/>
    <n v="0"/>
    <m/>
    <m/>
    <n v="21.16"/>
    <n v="42.32"/>
    <n v="18.399999999999999"/>
    <n v="36.799999999999997"/>
    <s v="Jonathan DeFez"/>
    <n v="0.44160000000000027"/>
  </r>
  <r>
    <x v="194"/>
    <s v="Two Surface Pros, two Basic Laptops"/>
    <s v="Won"/>
    <d v="2024-01-10T00:00:00"/>
    <n v="0"/>
    <s v="QIA-00001"/>
    <s v="Microsoft Surface Pro 9 Tablet - 13&quot; - Core i5 12th Gen i5-1245U Deca-core (10 Core) - 16 GB RAM - 256 GB SSD - Windows 11 Pro 64-bit - Platinum - 2880 x 1920 - PixelSense Display - 15.50 Hours Maximum Battery Run Time"/>
    <s v="IT/LAN Equipment"/>
    <n v="2"/>
    <n v="0"/>
    <n v="0"/>
    <m/>
    <n v="0"/>
    <m/>
    <m/>
    <n v="1580.27"/>
    <n v="3160.54"/>
    <n v="1374.15"/>
    <n v="2748.3"/>
    <s v="Jonathan DeFez"/>
    <n v="32.979199999999985"/>
  </r>
  <r>
    <x v="194"/>
    <s v="Two Surface Pros, two Basic Laptops"/>
    <s v="Won"/>
    <d v="2024-01-10T00:00:00"/>
    <n v="0"/>
    <s v="8XB-00061"/>
    <s v="Microsoft Signature Keyboard/Cover Case for 13&quot; Microsoft Surface Pro 8, Surface Pro X Tablet - Platinum - Alcantara Exterior Material - 8.9&quot; Height x 11.4&quot; Width x 0.2&quot; Depth - 1 Pack"/>
    <s v="IT/LAN Equipment"/>
    <n v="2"/>
    <n v="0"/>
    <n v="0"/>
    <m/>
    <n v="0"/>
    <m/>
    <m/>
    <n v="148.6"/>
    <n v="297.2"/>
    <n v="133.43"/>
    <n v="266.86"/>
    <s v="Jonathan DeFez"/>
    <n v="2.4271999999999982"/>
  </r>
  <r>
    <x v="194"/>
    <s v="Two Surface Pros, two Basic Laptops"/>
    <s v="Won"/>
    <d v="2024-01-10T00:00:00"/>
    <n v="0"/>
    <s v="40AY0090US"/>
    <s v="Lenovo ThinkPad Universal USB-C Dock"/>
    <s v="IT/LAN Equipment"/>
    <n v="2"/>
    <n v="0"/>
    <n v="0"/>
    <m/>
    <n v="0"/>
    <m/>
    <m/>
    <n v="225.35"/>
    <n v="450.7"/>
    <n v="195.96"/>
    <n v="391.92"/>
    <s v="Jonathan DeFez"/>
    <n v="4.7023999999999981"/>
  </r>
  <r>
    <x v="194"/>
    <s v="Two Surface Pros, two Basic Laptops"/>
    <s v="Won"/>
    <d v="2024-01-10T00:00:00"/>
    <n v="0"/>
    <s v="920-004536"/>
    <s v="Logitech Wireless Keyboard and Mouse Combo"/>
    <s v="IT/LAN Equipment"/>
    <n v="2"/>
    <n v="0"/>
    <n v="0"/>
    <m/>
    <n v="0"/>
    <m/>
    <m/>
    <n v="28.18"/>
    <n v="56.36"/>
    <n v="26.16"/>
    <n v="52.32"/>
    <s v="Jonathan DeFez"/>
    <n v="0.32319999999999993"/>
  </r>
  <r>
    <x v="195"/>
    <s v="New High Speed Laptop"/>
    <s v="Won"/>
    <d v="2024-01-12T00:00:00"/>
    <n v="0"/>
    <s v="21FV001BUS"/>
    <s v="Lenovo ThinkPad P1 Gen 6 16&quot; Mobile Workstation - WQXGA - 2560 x 1600 - Intel Core i7 13th Gen i7-13700H Tetradeca-core (14 Core) 2.40 GHz - 32 GB Total RAM - 1 TB SSD - Black Paint - Intel Chip - Windows 11 Pro - NVIDIA RTX A1000 with 6 GB - I"/>
    <s v="IT/LAN Equipment"/>
    <n v="1"/>
    <n v="0"/>
    <n v="0"/>
    <m/>
    <n v="0"/>
    <m/>
    <m/>
    <n v="3066.19"/>
    <n v="3066.19"/>
    <n v="2661.59"/>
    <n v="2661.59"/>
    <s v="Jonathan DeFez"/>
    <n v="32.367999999999995"/>
  </r>
  <r>
    <x v="195"/>
    <s v="New High Speed Laptop"/>
    <s v="Won"/>
    <d v="2024-01-12T00:00:00"/>
    <n v="0"/>
    <s v="KCP556SD8-32"/>
    <s v="Kingston 32GB DDR5 SDRAM Memory Module - For Notebook - 32 GB - DDR5-5600/PC5-44800 DDR5 SDRAM - 5600 MHz Dual-rank Memory - CL46 - 1.10 V - Non-ECC - Unbuffered - 262-pin - SoDIMM - Lifetime Warranty"/>
    <s v="IT/LAN Equipment"/>
    <n v="1"/>
    <n v="0"/>
    <n v="0"/>
    <m/>
    <n v="0"/>
    <m/>
    <m/>
    <n v="113.68"/>
    <n v="113.68"/>
    <n v="98.79"/>
    <n v="98.79"/>
    <s v="Jonathan DeFez"/>
    <n v="1.1912"/>
  </r>
  <r>
    <x v="195"/>
    <s v="New High Speed Laptop"/>
    <s v="Won"/>
    <d v="2024-01-12T00:00:00"/>
    <n v="0"/>
    <s v="Pickup"/>
    <s v="PC(s) will be built, updated and configured and then picked up by the client from the Meriplex Office"/>
    <s v="IT/LAN Equipment"/>
    <n v="1"/>
    <n v="0"/>
    <n v="0"/>
    <m/>
    <n v="0"/>
    <m/>
    <m/>
    <n v="149"/>
    <n v="149"/>
    <n v="0"/>
    <n v="0"/>
    <s v="Jonathan DeFez"/>
    <n v="11.92"/>
  </r>
  <r>
    <x v="196"/>
    <s v="HPE 1YR SN:MXQ44302KK - SPC Retail Display Group (Sam Pievac)"/>
    <s v="Won"/>
    <d v="2024-01-22T00:00:00"/>
    <n v="0"/>
    <s v="H40M3PE"/>
    <s v="HPE 1Y PW TC ESS DL360P GEN8 MLIC SVC PL-96"/>
    <s v="IT/LAN Equipment"/>
    <n v="1"/>
    <n v="0"/>
    <n v="0"/>
    <m/>
    <n v="0"/>
    <m/>
    <m/>
    <n v="1463"/>
    <n v="1463"/>
    <n v="1079.49"/>
    <n v="1079.49"/>
    <s v="Andrew Harp"/>
    <n v="30.680800000000001"/>
  </r>
  <r>
    <x v="197"/>
    <s v="Fortinet FG100E - OrthoSouth"/>
    <s v="Won"/>
    <d v="2024-01-10T00:00:00"/>
    <n v="0"/>
    <s v="FORTICO-TERM"/>
    <s v="FG100ETK20015106 | UTM Protection 24x7 | Easrliest Start Date: 2/25/2024; Co-term End Date: 8/17/2026"/>
    <s v="IT/LAN Equipment"/>
    <n v="1"/>
    <n v="0"/>
    <n v="0"/>
    <m/>
    <n v="0"/>
    <m/>
    <m/>
    <n v="4452.99"/>
    <n v="4452.99"/>
    <n v="3562.39"/>
    <n v="3562.39"/>
    <s v="Michael True"/>
    <n v="75.700999999999993"/>
  </r>
  <r>
    <x v="198"/>
    <s v="Upgrade Richmond Road Velo Appliance to 1GB Throughput"/>
    <s v="Won"/>
    <d v="2024-01-25T00:00:00"/>
    <n v="221"/>
    <s v="SDW-VCE620="/>
    <s v="SDWAN Managed Edge 620 Appliance"/>
    <s v="SD-WAN"/>
    <n v="1"/>
    <n v="75"/>
    <n v="0.97"/>
    <m/>
    <n v="75"/>
    <m/>
    <m/>
    <n v="300"/>
    <n v="300"/>
    <n v="871"/>
    <n v="871"/>
    <s v="Kennon Jayne"/>
    <n v="12"/>
  </r>
  <r>
    <x v="199"/>
    <s v="MPX LA - Forti AP Renewal"/>
    <s v="Won"/>
    <d v="2024-01-30T00:00:00"/>
    <n v="0"/>
    <s v="FORTICO-TERM"/>
    <s v="Fortinet Co-Term Services for FortiSwitch"/>
    <s v="IT/LAN Equipment"/>
    <n v="1"/>
    <n v="0"/>
    <n v="0"/>
    <m/>
    <n v="0"/>
    <m/>
    <m/>
    <n v="107.32"/>
    <n v="107.32"/>
    <n v="85.86"/>
    <n v="85.86"/>
    <s v="Mitch Verma"/>
    <n v="0.85839999999999972"/>
  </r>
  <r>
    <x v="200"/>
    <s v="MPX LA - Porsche Fortinet Renewals"/>
    <s v="Won"/>
    <d v="2024-01-10T00:00:00"/>
    <n v="0"/>
    <s v="FORTICO-TERM"/>
    <s v="Fortinet Co-Term Services for FortiSwitch"/>
    <s v="IT/LAN Equipment"/>
    <n v="1"/>
    <n v="0"/>
    <n v="0"/>
    <m/>
    <n v="0"/>
    <m/>
    <m/>
    <n v="322.98"/>
    <n v="322.98"/>
    <n v="258.38"/>
    <n v="258.38"/>
    <s v="Brandon Philips"/>
    <n v="0"/>
  </r>
  <r>
    <x v="201"/>
    <s v="#10442768 - Brian Crouter\ Quote for Adobe Standard license"/>
    <s v="Won"/>
    <d v="2024-01-16T00:00:00"/>
    <n v="0"/>
    <s v="65311407"/>
    <s v="UNIVERSAL ENGLISH ACROBAT STANDARD 2020 WIN"/>
    <s v="IT/LAN Equipment"/>
    <n v="1"/>
    <n v="0"/>
    <n v="0"/>
    <m/>
    <n v="0"/>
    <m/>
    <m/>
    <n v="359"/>
    <n v="359"/>
    <n v="331.75"/>
    <n v="331.75"/>
    <s v="Lathrop Lougheed"/>
    <n v="2.1800000000000002"/>
  </r>
  <r>
    <x v="202"/>
    <s v="- Returned to sales - No Quote attached. 1 - Desktop with 2 monitors"/>
    <s v="Won"/>
    <d v="2024-01-09T00:00:00"/>
    <n v="0"/>
    <s v="920-004536"/>
    <s v="Logitech MK270 Wireless Keyboard and Mouse Combo for Windows, 2.4 GHz Wireless, Compact Mouse, 8 Multimedia and Shortcut Keys, 2-Year Battery Life, for PC, Laptop - USB Wireless RF 2.40 GHz Keyboard - English - Black - USB Wireless RF Mouse - Optical - 3"/>
    <s v="IT/LAN Equipment"/>
    <n v="1"/>
    <n v="0"/>
    <n v="0"/>
    <m/>
    <n v="0"/>
    <m/>
    <m/>
    <n v="31"/>
    <n v="31"/>
    <n v="25.33"/>
    <n v="25.33"/>
    <s v="Brandon Ring"/>
    <n v="0.45360000000000017"/>
  </r>
  <r>
    <x v="202"/>
    <s v="- Returned to sales - No Quote attached. 1 - Desktop with 2 monitors"/>
    <s v="Won"/>
    <d v="2024-01-09T00:00:00"/>
    <n v="0"/>
    <s v="C36TD"/>
    <s v="Dell OptiPlex 7000 7010 Desktop Computer - Intel Core i5 13th Gen i5-13500T Tetradeca-core (14 Core) 1.60 GHz - 16 GB RAM DDR4 SDRAM - 256 GB M.2 PCI Express NVMe SSD - Micro PC - Black - Intel Chip - Windows 11 Pro - Intel UHD Graphics 770 DDR4 SDRAM - E"/>
    <s v="IT/LAN Equipment"/>
    <n v="1"/>
    <n v="0"/>
    <n v="0"/>
    <m/>
    <n v="0"/>
    <m/>
    <m/>
    <n v="913"/>
    <n v="913"/>
    <n v="748.3"/>
    <n v="748.3"/>
    <s v="Brandon Ring"/>
    <n v="13.176000000000004"/>
  </r>
  <r>
    <x v="202"/>
    <s v="- Returned to sales - No Quote attached. 1 - Desktop with 2 monitors"/>
    <s v="Won"/>
    <d v="2024-01-09T00:00:00"/>
    <n v="0"/>
    <s v="DELL-E2423H"/>
    <s v="Dell E2423H 24&quot; Class Full HD LCD Monitor - 16:9 - Black - 23.8&quot; Viewable - Vertical Alignment (VA) - LED Backlight - 1920 x 1080 - 16.7 Million Colors - 250 Nit - 5 ms - 60 Hz Refresh Rate - VGA - DisplayPort"/>
    <s v="IT/LAN Equipment"/>
    <n v="2"/>
    <n v="0"/>
    <n v="0"/>
    <m/>
    <n v="0"/>
    <m/>
    <m/>
    <n v="144"/>
    <n v="288"/>
    <n v="118.07"/>
    <n v="236.14"/>
    <s v="Brandon Ring"/>
    <n v="4.1488000000000014"/>
  </r>
  <r>
    <x v="203"/>
    <s v="Quote #MPS122631 Per Service Ticket #10455670 - Additional Switches"/>
    <s v="Won"/>
    <d v="2024-01-18T00:00:00"/>
    <n v="0"/>
    <s v="PWR-C5-1KWAC="/>
    <s v="1KW AC Config 5 Power Supply for C9200L-48P-4X-E"/>
    <s v="IT/LAN Equipment"/>
    <n v="1"/>
    <n v="0"/>
    <n v="0"/>
    <m/>
    <n v="0"/>
    <m/>
    <m/>
    <n v="2633"/>
    <n v="2633"/>
    <n v="2158.9299999999998"/>
    <n v="2158.9299999999998"/>
    <s v="Kade Thurman"/>
    <n v="0"/>
  </r>
  <r>
    <x v="203"/>
    <s v="Quote #MPS122631 Per Service Ticket #10455670 - Additional Switches"/>
    <s v="Won"/>
    <d v="2024-01-18T00:00:00"/>
    <n v="0"/>
    <s v="C9200L-DNA-E-48-3Y"/>
    <s v="Cisco Digital Network Architecture Essentials - Term License - 48 Port - 3 Year"/>
    <s v="IT/LAN Equipment"/>
    <n v="5"/>
    <n v="0"/>
    <n v="0"/>
    <m/>
    <n v="0"/>
    <m/>
    <m/>
    <n v="794.75"/>
    <n v="3973.75"/>
    <n v="649.04999999999995"/>
    <n v="3245.25"/>
    <s v="Kade Thurman"/>
    <n v="0"/>
  </r>
  <r>
    <x v="203"/>
    <s v="Quote #MPS122631 Per Service Ticket #10455670 - Additional Switches"/>
    <s v="Won"/>
    <d v="2024-01-18T00:00:00"/>
    <n v="0"/>
    <s v="C1000-8FP-2G-L"/>
    <s v="Cisco Catalyst C1000-8FP Ethernet Switch - 8 Ports - Manageable - Gigabit Ethernet - 10/100/1000Base-T, 1000Base-X - 2 Layer Supported - Modular - 2 SFP Slots - 110 W Power Consumption - 120 W PoE Budget - Twisted Pair, Optical Fiber - PoE Ports - Lifetim"/>
    <s v="IT/LAN Equipment"/>
    <n v="1"/>
    <n v="0"/>
    <n v="0"/>
    <m/>
    <n v="0"/>
    <m/>
    <m/>
    <n v="831.65"/>
    <n v="831.65"/>
    <n v="665.32"/>
    <n v="665.32"/>
    <s v="Kade Thurman"/>
    <n v="0"/>
  </r>
  <r>
    <x v="203"/>
    <s v="Quote #MPS122631 Per Service Ticket #10455670 - Additional Switches"/>
    <s v="Won"/>
    <d v="2024-01-18T00:00:00"/>
    <n v="0"/>
    <s v="PWR-C5-1KWAC/2"/>
    <s v="Cisco Power Supply - 1000 W"/>
    <s v="IT/LAN Equipment"/>
    <n v="5"/>
    <n v="0"/>
    <n v="0"/>
    <m/>
    <n v="0"/>
    <m/>
    <m/>
    <n v="2633"/>
    <n v="13165"/>
    <n v="2158.9299999999998"/>
    <n v="10794.65"/>
    <s v="Kade Thurman"/>
    <n v="0"/>
  </r>
  <r>
    <x v="203"/>
    <s v="Quote #MPS122631 Per Service Ticket #10455670 - Additional Switches"/>
    <s v="Won"/>
    <d v="2024-01-18T00:00:00"/>
    <n v="0"/>
    <s v="C1000-24FP-4X-L"/>
    <s v="Cisco Catalyst C1000-24FP Ethernet Switch - 24 Ports - Manageable - 2 Layer Supported - Modular - Twisted Pair, Optical Fiber - Rack-mountable"/>
    <s v="IT/LAN Equipment"/>
    <n v="3"/>
    <n v="0"/>
    <n v="0"/>
    <m/>
    <n v="0"/>
    <m/>
    <m/>
    <n v="3228"/>
    <n v="9684"/>
    <n v="2646.17"/>
    <n v="7938.51"/>
    <s v="Kade Thurman"/>
    <n v="0"/>
  </r>
  <r>
    <x v="203"/>
    <s v="Quote #MPS122631 Per Service Ticket #10455670 - Additional Switches"/>
    <s v="Won"/>
    <d v="2024-01-18T00:00:00"/>
    <n v="0"/>
    <s v="C9200L-48P-4X-E"/>
    <s v="Cisco Catalyst 9200 C9200L-48P-4X Layer 3 Switch - 48 Ports - Manageable - Gigabit Ethernet, 10 Gigabit Ethernet - 10/100/1000Base-T, 10GBase-X - 3 Layer Supported - Modular - Twisted Pair, Optical Fiber - PoE Ports - Rack-mountable"/>
    <s v="IT/LAN Equipment"/>
    <n v="5"/>
    <n v="0"/>
    <n v="0"/>
    <m/>
    <n v="0"/>
    <m/>
    <m/>
    <n v="3319.82"/>
    <n v="16599.099999999999"/>
    <n v="2655.85"/>
    <n v="13279.25"/>
    <s v="Kade Thurman"/>
    <n v="0"/>
  </r>
  <r>
    <x v="203"/>
    <s v="Quote #MPS122631 Per Service Ticket #10455670 - Additional Switches"/>
    <s v="Won"/>
    <d v="2024-01-18T00:00:00"/>
    <n v="0"/>
    <s v="C9200L-STACK-KIT="/>
    <s v="Cisco Stack Kit"/>
    <s v="IT/LAN Equipment"/>
    <n v="7"/>
    <n v="0"/>
    <n v="0"/>
    <m/>
    <n v="0"/>
    <m/>
    <m/>
    <n v="861.04"/>
    <n v="6027.28"/>
    <n v="706.05"/>
    <n v="4942.3499999999995"/>
    <s v="Kade Thurman"/>
    <n v="0"/>
  </r>
  <r>
    <x v="204"/>
    <s v="2012 Server Upgrade Project - Phase 1 - Server Builds"/>
    <s v="Won"/>
    <d v="2024-01-23T00:00:00"/>
    <n v="202"/>
    <s v="MPC-PS-PM"/>
    <s v="Project Management"/>
    <s v="IT/LAN Installation"/>
    <n v="3"/>
    <n v="0"/>
    <n v="0"/>
    <m/>
    <n v="0"/>
    <m/>
    <m/>
    <n v="240"/>
    <n v="720"/>
    <n v="0"/>
    <n v="0"/>
    <s v="Jonathan DeFez"/>
    <n v="28.8"/>
  </r>
  <r>
    <x v="204"/>
    <s v="2012 Server Upgrade Project - Phase 1 - Server Builds"/>
    <s v="Won"/>
    <d v="2024-01-23T00:00:00"/>
    <n v="202"/>
    <s v="MPC-PS-T3"/>
    <s v="Meriplex Tier 3 Engineer Labor - 2012 Server Upgrade Project - Phase 1 - Server Builds"/>
    <s v="IT/LAN Installation"/>
    <n v="24"/>
    <n v="0"/>
    <n v="0"/>
    <m/>
    <n v="0"/>
    <m/>
    <m/>
    <n v="225"/>
    <n v="5400"/>
    <n v="0"/>
    <n v="0"/>
    <s v="Jonathan DeFez"/>
    <n v="216"/>
  </r>
  <r>
    <x v="205"/>
    <s v="30 hour block"/>
    <s v="Won"/>
    <d v="2024-01-09T00:00:00"/>
    <n v="0"/>
    <s v="MPC-BLK-25-50"/>
    <s v="Hourly Support Block (26 - 50 Units)"/>
    <s v="IT/LAN Installation"/>
    <n v="30"/>
    <n v="0"/>
    <n v="0"/>
    <m/>
    <n v="0"/>
    <m/>
    <m/>
    <n v="205"/>
    <n v="6150"/>
    <n v="0"/>
    <n v="0"/>
    <s v="Kennon Jayne"/>
    <n v="246"/>
  </r>
  <r>
    <x v="206"/>
    <s v="FB Financial Holdings | UPS Change Order for Meriplex Sales Order # MPS119272"/>
    <s v="Won"/>
    <d v="2024-01-25T00:00:00"/>
    <n v="0"/>
    <s v="SMX3000LVNCUS"/>
    <s v="APC by Schneider Electric Smart-UPS 2.88kVA Tower/Rack Convertible UPS - 4U Rack-mountable - 3 Hour Recharge - 6.30 Minute Stand-by - 120 V AC Input - 120 V AC Output - Sine Wave - 6 x NEMA 5-15R, 3 x NEMA 5-20R, 1 x NEMA L5-30R - TAA Compli"/>
    <s v="IT/LAN Equipment"/>
    <n v="1"/>
    <n v="0"/>
    <n v="0"/>
    <m/>
    <n v="0"/>
    <m/>
    <m/>
    <n v="2584.1999999999998"/>
    <n v="2584.1999999999998"/>
    <n v="2392.7800000000002"/>
    <n v="2392.7800000000002"/>
    <s v="Rick Carlson"/>
    <n v="7.6567999999999845"/>
  </r>
  <r>
    <x v="207"/>
    <s v="Quote #MPS122664 Per Service Ticket #10457761 - Meraki Cloud License Renewal"/>
    <s v="Won"/>
    <d v="2024-01-10T00:00:00"/>
    <n v="0"/>
    <s v="LIC-ENT-1YR"/>
    <s v="Meraki MR Enterprise License, 1YR"/>
    <s v="IT/LAN Equipment"/>
    <n v="9"/>
    <n v="0"/>
    <n v="0"/>
    <m/>
    <n v="0"/>
    <m/>
    <m/>
    <n v="123.33"/>
    <n v="1109.97"/>
    <n v="102.36"/>
    <n v="921.24"/>
    <s v="Kade Thurman"/>
    <n v="0"/>
  </r>
  <r>
    <x v="208"/>
    <s v="Patch Cables and Switch for Katy store"/>
    <s v="Won"/>
    <d v="2024-01-10T00:00:00"/>
    <n v="0"/>
    <s v="M45PATCH6BL"/>
    <s v="StarTech.com 6 ft Blue Molded Cat5e UTP Patch Cable - Make Fast Ethernet network connections using this high quality Cat5e Cable, with Power-over-Ethernet capability - 6ft Cat5e Patch Cable - 6 ft Cat 5e patch cable - 6' Cat5e Patch Cord - 6ft Molded Patc"/>
    <s v="IT/LAN Equipment"/>
    <n v="2"/>
    <n v="0"/>
    <n v="0"/>
    <m/>
    <n v="0"/>
    <m/>
    <m/>
    <n v="10"/>
    <n v="20"/>
    <n v="7.52"/>
    <n v="15.04"/>
    <s v="Kennon Jayne"/>
    <n v="0.3968000000000001"/>
  </r>
  <r>
    <x v="208"/>
    <s v="Patch Cables and Switch for Katy store"/>
    <s v="Won"/>
    <d v="2024-01-10T00:00:00"/>
    <n v="0"/>
    <s v="TL-SG1005P"/>
    <s v="TP-Link - 5-Port Gigabit PoE Switch - 4 PoE+ Ports @65W - Desktop - Plug &amp; Play - Sturdy Metal w/ Shielded Ports - Fanless - QoS &amp; IGMP Snooping"/>
    <s v="IT/LAN Equipment"/>
    <n v="1"/>
    <n v="0"/>
    <n v="0"/>
    <m/>
    <n v="0"/>
    <m/>
    <m/>
    <n v="62"/>
    <n v="62"/>
    <n v="49.33"/>
    <n v="49.33"/>
    <s v="Kennon Jayne"/>
    <n v="1.0136000000000001"/>
  </r>
  <r>
    <x v="209"/>
    <s v="FB Azure Project Planning Services Block of Hours"/>
    <s v="Won"/>
    <d v="2024-01-16T00:00:00"/>
    <n v="0"/>
    <s v="MPC-BLK-50-100"/>
    <s v="Hourly Support Block (51 - 100 Units)"/>
    <s v="IT/LAN Installation"/>
    <n v="65"/>
    <n v="0"/>
    <n v="0"/>
    <m/>
    <n v="0"/>
    <m/>
    <m/>
    <n v="225"/>
    <n v="14625"/>
    <n v="0"/>
    <n v="0"/>
    <s v="Rick Carlson"/>
    <n v="585"/>
  </r>
  <r>
    <x v="210"/>
    <s v="Quote #MPS122677 Per Service Ticket #10449390 - Teams Conference Room Solution"/>
    <s v="Won"/>
    <d v="2024-01-10T00:00:00"/>
    <n v="0"/>
    <s v="A30-020"/>
    <s v="Yealink A30 Meeting Bar with CTP18 Touch Panel - For Meeting Room - H.264 High Profile, H.264 SVC, H.264 - 1 x Network (RJ-45)HDMI In - 2 x HDMI Out - USB - Gigabit Ethernet - Wireless LAN - Internal Microphone(s) - Wall Mountable"/>
    <s v="IT/LAN Equipment"/>
    <n v="1"/>
    <n v="0"/>
    <n v="0"/>
    <m/>
    <n v="0"/>
    <m/>
    <m/>
    <n v="2426.83"/>
    <n v="2426.83"/>
    <n v="1990"/>
    <n v="1990"/>
    <s v="Kade Thurman"/>
    <n v="0"/>
  </r>
  <r>
    <x v="211"/>
    <s v="Fortinet 1YR 24x7 - Chasewood Bank"/>
    <s v="Won"/>
    <d v="2024-01-10T00:00:00"/>
    <n v="0"/>
    <s v="FC-10-0060E-950-02-12"/>
    <s v="FGT60ETK18084312 &amp; FGT60ETK18085442 | FortiGate-60E 1 Year Unified Threat Protection (UTP) | 1/22/2024-1/21/2025"/>
    <s v="IT/LAN Equipment"/>
    <n v="2"/>
    <n v="0"/>
    <n v="0"/>
    <m/>
    <n v="0"/>
    <m/>
    <m/>
    <n v="546"/>
    <n v="1092"/>
    <n v="436.8"/>
    <n v="873.6"/>
    <s v="Cynthia Newsom"/>
    <n v="18.564"/>
  </r>
  <r>
    <x v="212"/>
    <s v="Microsoft - Plains State Bank"/>
    <s v="Won"/>
    <d v="2024-01-17T00:00:00"/>
    <n v="0"/>
    <s v="R18-01855"/>
    <s v="MS- OV2.0 ANNUITY OPTION | WIN SVR CAL ENG LICS 1YR ACQ Y1 U CALIC"/>
    <s v="IT/LAN Equipment"/>
    <n v="60"/>
    <n v="0"/>
    <n v="0"/>
    <m/>
    <n v="0"/>
    <m/>
    <m/>
    <n v="32"/>
    <n v="1920"/>
    <n v="24.11"/>
    <n v="1446.6"/>
    <s v="Cynthia Newsom"/>
    <n v="40.239000000000011"/>
  </r>
  <r>
    <x v="213"/>
    <s v="Ruckus For Dubai"/>
    <s v="Won"/>
    <d v="2024-01-10T00:00:00"/>
    <n v="0"/>
    <s v="CLD-ESNT-APSW-REC1"/>
    <s v="R1 ESSENTIALS 1 AP/SW REC 1-YR"/>
    <s v="IT/LAN Equipment"/>
    <n v="1"/>
    <n v="0"/>
    <n v="0"/>
    <m/>
    <n v="0"/>
    <m/>
    <m/>
    <n v="146"/>
    <n v="146"/>
    <n v="119"/>
    <n v="119"/>
    <s v="Ron Walker"/>
    <n v="2.2950000000000004"/>
  </r>
  <r>
    <x v="213"/>
    <s v="Ruckus For Dubai"/>
    <s v="Won"/>
    <d v="2024-01-10T00:00:00"/>
    <n v="0"/>
    <s v="901-R750-WW00"/>
    <s v="Ruckus Wireless R750 802.11ax 2.34 Gbit/s Wireless Access Point - 2.40 GHz, 5 GHz - MIMO Technology - 2 x Network (RJ-45) - 2.5 Gigabit Ethernet, Gigabit Ethernet - Wall Mountable, Ceiling Mountable, Desktop"/>
    <s v="IT/LAN Equipment"/>
    <n v="1"/>
    <n v="0"/>
    <n v="0"/>
    <m/>
    <n v="0"/>
    <m/>
    <m/>
    <n v="1197"/>
    <n v="1197"/>
    <n v="981"/>
    <n v="981"/>
    <s v="Ron Walker"/>
    <n v="18.360000000000003"/>
  </r>
  <r>
    <x v="214"/>
    <s v="HP EliteBook 840 G10 Notebook"/>
    <s v="Won"/>
    <d v="2024-01-10T00:00:00"/>
    <n v="0"/>
    <s v="89D95UT#ABA"/>
    <s v="HP EliteBook 840 G10 Notebook - Wolf Pro Security - 14&quot; i7 16 GB 512 GB SSD"/>
    <s v="IT/LAN Equipment"/>
    <n v="1"/>
    <n v="0"/>
    <n v="0"/>
    <m/>
    <n v="0"/>
    <m/>
    <m/>
    <n v="1877"/>
    <n v="1877"/>
    <n v="1662.19"/>
    <n v="1662.19"/>
    <s v="Jackie Moore"/>
    <n v="0"/>
  </r>
  <r>
    <x v="214"/>
    <s v="HP EliteBook 840 G10 Notebook"/>
    <s v="Won"/>
    <d v="2024-01-10T00:00:00"/>
    <n v="0"/>
    <s v="UC279E"/>
    <s v="HP Care Pack 3 Year Next Business Day Hardware Support with Accidental Damage Protection"/>
    <s v="IT/LAN Equipment"/>
    <n v="1"/>
    <n v="0"/>
    <n v="0"/>
    <m/>
    <n v="0"/>
    <m/>
    <m/>
    <n v="183"/>
    <n v="183"/>
    <n v="159.12"/>
    <n v="159.12"/>
    <s v="Jackie Moore"/>
    <n v="0"/>
  </r>
  <r>
    <x v="215"/>
    <s v="MPX LA - Justin Vestal new user setup"/>
    <s v="Won"/>
    <d v="2024-01-10T00:00:00"/>
    <n v="0"/>
    <s v="MPC-PS-T2"/>
    <s v="Meriplex Tier 2 Engineer Labor"/>
    <s v="IT/LAN Installation"/>
    <n v="2"/>
    <n v="0"/>
    <n v="0"/>
    <m/>
    <n v="0"/>
    <m/>
    <m/>
    <n v="200"/>
    <n v="400"/>
    <n v="0"/>
    <n v="0"/>
    <s v="Brandon Philips"/>
    <n v="0"/>
  </r>
  <r>
    <x v="216"/>
    <s v="Adobe Renewal"/>
    <s v="Won"/>
    <d v="2024-01-10T00:00:00"/>
    <n v="0"/>
    <s v="65297908BA02A12"/>
    <s v="Adobe Acrobat Standard DC for Teams - Team Licensing Subscription Renewal - 1 User - Price Level 2 - (10-49) - Volume - Adobe Value Incentive Plan (VIP) - PC"/>
    <s v="NRR - Agent Income"/>
    <n v="15"/>
    <n v="0"/>
    <n v="0"/>
    <m/>
    <n v="0"/>
    <m/>
    <m/>
    <n v="170.88"/>
    <n v="2563.1999999999998"/>
    <n v="157.85"/>
    <n v="2367.75"/>
    <s v="Andrew Harp"/>
    <n v="15.635999999999985"/>
  </r>
  <r>
    <x v="216"/>
    <s v="Adobe Renewal"/>
    <s v="Won"/>
    <d v="2024-01-10T00:00:00"/>
    <n v="0"/>
    <s v="65304052BA02C12"/>
    <s v="12MO SUB RNWL ILLUSTRATOR TEAMS ALL MPLAT L2 10-49/ N/A"/>
    <s v="NRR - Agent Income"/>
    <n v="8"/>
    <n v="0"/>
    <n v="0"/>
    <m/>
    <n v="0"/>
    <m/>
    <m/>
    <n v="439.92"/>
    <n v="3519.36"/>
    <n v="429.32"/>
    <n v="3434.56"/>
    <s v="Andrew Harp"/>
    <n v="6.7840000000000149"/>
  </r>
  <r>
    <x v="217"/>
    <s v="Quote #MPS122683 Per Service Ticket # 10459817 - Fortinet Switch"/>
    <s v="Won"/>
    <d v="2024-01-11T00:00:00"/>
    <n v="0"/>
    <s v="FS-124E-POE"/>
    <s v="Fortinet FortiSwitch 124E-PoE Ethernet Switch - 24 Ports - Manageable - 2 Layer Supported - Modular - 4 SFP Slots - Twisted Pair, Optical Fiber - 1U High - Rack-mountable, Standalone - Lifetime Limited Warranty"/>
    <s v="IT/LAN Equipment"/>
    <n v="1"/>
    <n v="0"/>
    <n v="0"/>
    <m/>
    <n v="0"/>
    <m/>
    <m/>
    <n v="557.38"/>
    <n v="557.38"/>
    <n v="457.05"/>
    <n v="457.05"/>
    <s v="Kade Thurman"/>
    <n v="0"/>
  </r>
  <r>
    <x v="217"/>
    <s v="Quote #MPS122683 Per Service Ticket # 10459817 - Fortinet Switch"/>
    <s v="Won"/>
    <d v="2024-01-11T00:00:00"/>
    <n v="0"/>
    <s v="FC-10-S248P-247-02-12"/>
    <s v="Fortinet FortiCare Comprehensive Support - Extended Service (Renewal) - 1 Year - Service - 24 x 7 x Next Business Day - Service Depot - Exchange - Parts - Physical, Electronic"/>
    <s v="IT/LAN Equipment"/>
    <n v="1"/>
    <n v="0"/>
    <n v="0"/>
    <m/>
    <n v="0"/>
    <m/>
    <m/>
    <n v="90"/>
    <n v="90"/>
    <n v="73.28"/>
    <n v="73.28"/>
    <s v="Kade Thurman"/>
    <n v="0"/>
  </r>
  <r>
    <x v="218"/>
    <s v="MPX LA - SSL Renewal"/>
    <s v="Won"/>
    <d v="2024-01-23T00:00:00"/>
    <n v="0"/>
    <s v="VMS - VSI-SSL Cert Standard"/>
    <s v="Standard SSL Certificate - 1 Year"/>
    <s v="IT/LAN Equipment"/>
    <n v="1"/>
    <n v="0"/>
    <n v="0"/>
    <m/>
    <n v="0"/>
    <m/>
    <m/>
    <n v="98"/>
    <n v="98"/>
    <n v="67.989999999999995"/>
    <n v="67.989999999999995"/>
    <s v="Brandon Philips"/>
    <n v="0"/>
  </r>
  <r>
    <x v="219"/>
    <s v="MPX LA - Veeam Renewal"/>
    <s v="Won"/>
    <d v="2024-01-23T00:00:00"/>
    <n v="0"/>
    <s v="V-ESSSTD-VS-P01AR-00"/>
    <s v="Veeam Annual Basic Maintenance Renewal - Veeam Backup Essentials Standard 2 socket bundle for VMware - 12 x 5 - Maintenance - Electronic"/>
    <s v="IT/LAN Equipment"/>
    <n v="2"/>
    <n v="0"/>
    <n v="0"/>
    <m/>
    <n v="0"/>
    <m/>
    <m/>
    <n v="368.98"/>
    <n v="737.96"/>
    <n v="295.18"/>
    <n v="590.36"/>
    <s v="Mitch Verma"/>
    <n v="5.9040000000000008"/>
  </r>
  <r>
    <x v="220"/>
    <s v="Install 2nd hard drives - Phase 1"/>
    <s v="Won"/>
    <d v="2024-01-10T00:00:00"/>
    <n v="0"/>
    <s v="SNV2S/1000G"/>
    <s v="Kingston 1 TB Solid State Drive - M.2 2280 Internal - PCI Express NVMe (PCI Express NVMe 4.0 x4) - Desktop PC, Notebook, Motherboard Device Supported - 320 TB TBW - 3500 MB/s Maximum Read Transfer Rate - 3 Year Warranty"/>
    <s v="IT/LAN Equipment"/>
    <n v="5"/>
    <n v="0"/>
    <n v="0"/>
    <m/>
    <n v="0"/>
    <m/>
    <m/>
    <n v="78"/>
    <n v="390"/>
    <n v="56.99"/>
    <n v="284.95"/>
    <s v="Lathrop Lougheed"/>
    <n v="8.4040000000000017"/>
  </r>
  <r>
    <x v="221"/>
    <s v="MPX LA - Replacement APC UPS"/>
    <s v="Won"/>
    <d v="2024-01-11T00:00:00"/>
    <n v="0"/>
    <s v="VMS - Shipping"/>
    <s v="Shipping"/>
    <s v="IT/LAN Equipment"/>
    <n v="1"/>
    <n v="0"/>
    <n v="0"/>
    <m/>
    <n v="0"/>
    <m/>
    <m/>
    <n v="32"/>
    <n v="32"/>
    <n v="31.73"/>
    <n v="31.73"/>
    <s v="Mitch Verma"/>
    <n v="1.0799999999999983E-2"/>
  </r>
  <r>
    <x v="221"/>
    <s v="MPX LA - Replacement APC UPS"/>
    <s v="Won"/>
    <d v="2024-01-11T00:00:00"/>
    <n v="0"/>
    <s v="MPC-PS-T1"/>
    <s v="Meriplex Tier 1 Technician Labor"/>
    <s v="IT/LAN Installation"/>
    <n v="1"/>
    <n v="0"/>
    <n v="0"/>
    <m/>
    <n v="0"/>
    <m/>
    <m/>
    <n v="165"/>
    <n v="165"/>
    <n v="0"/>
    <n v="0"/>
    <s v="Mitch Verma"/>
    <n v="6.6000000000000005"/>
  </r>
  <r>
    <x v="221"/>
    <s v="MPX LA - Replacement APC UPS"/>
    <s v="Won"/>
    <d v="2024-01-11T00:00:00"/>
    <n v="0"/>
    <s v="APCRBC123-SLA123"/>
    <s v="BTI Replacement Battery RBC123 for APC - UPS Battery - Lead Acid - Compatible with APC UPS SMT750RM2UC SMT750RM2UNC SMT750R2X122 BX1350M"/>
    <s v="IT/LAN Equipment"/>
    <n v="1"/>
    <n v="0"/>
    <n v="0"/>
    <m/>
    <n v="0"/>
    <m/>
    <m/>
    <n v="99.77"/>
    <n v="99.77"/>
    <n v="69.84"/>
    <n v="69.84"/>
    <s v="Mitch Verma"/>
    <n v="1.1971999999999998"/>
  </r>
  <r>
    <x v="221"/>
    <s v="MPX LA - Replacement APC UPS"/>
    <s v="Won"/>
    <d v="2024-01-11T00:00:00"/>
    <n v="0"/>
    <s v="APCRBC123-SLA123"/>
    <s v="BTI Replacement Battery RBC123 for APC - UPS Battery - Lead Acid - Compatible with APC UPS SMT750RM2UC SMT750RM2UNC SMT750R2X122 BX1350M"/>
    <s v="IT/LAN Equipment"/>
    <n v="1"/>
    <n v="0"/>
    <n v="0"/>
    <m/>
    <n v="0"/>
    <m/>
    <m/>
    <n v="99.77"/>
    <n v="99.77"/>
    <n v="69.84"/>
    <n v="69.84"/>
    <s v="Mitch Verma"/>
    <n v="1.1971999999999998"/>
  </r>
  <r>
    <x v="221"/>
    <s v="MPX LA - Replacement APC UPS"/>
    <s v="Won"/>
    <d v="2024-01-11T00:00:00"/>
    <n v="0"/>
    <s v="MPC-PS-T1"/>
    <s v="Meriplex Tier 1 Technician Labor"/>
    <s v="IT/LAN Installation"/>
    <n v="1"/>
    <n v="0"/>
    <n v="0"/>
    <m/>
    <n v="0"/>
    <m/>
    <m/>
    <n v="165"/>
    <n v="165"/>
    <n v="0"/>
    <n v="0"/>
    <s v="Mitch Verma"/>
    <n v="6.6000000000000005"/>
  </r>
  <r>
    <x v="222"/>
    <s v="MPX LA - Domain renewals"/>
    <s v="Won"/>
    <d v="2024-01-11T00:00:00"/>
    <n v="0"/>
    <s v="Network Solutions"/>
    <s v="Domain Name Renewal - 1 Year"/>
    <s v="IT/LAN Equipment"/>
    <n v="2"/>
    <n v="0"/>
    <n v="0"/>
    <m/>
    <n v="0"/>
    <m/>
    <m/>
    <n v="57.13"/>
    <n v="114.26"/>
    <n v="39.99"/>
    <n v="79.98"/>
    <s v="Mitch Verma"/>
    <n v="1.3712"/>
  </r>
  <r>
    <x v="223"/>
    <s v="SR 250069 Precision 7780 Bundle Desk Phone PO 50167887"/>
    <s v="Won"/>
    <d v="2024-01-10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223"/>
    <s v="SR 250069 Precision 7780 Bundle Desk Phone PO 50167887"/>
    <s v="Won"/>
    <d v="2024-01-10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223"/>
    <s v="SR 250069 Precision 7780 Bundle Desk Phone PO 50167887"/>
    <s v="Won"/>
    <d v="2024-01-10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223"/>
    <s v="SR 250069 Precision 7780 Bundle Desk Phone PO 50167887"/>
    <s v="Won"/>
    <d v="2024-01-10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223"/>
    <s v="SR 250069 Precision 7780 Bundle Desk Phone PO 50167887"/>
    <s v="Won"/>
    <d v="2024-01-10T00:00:00"/>
    <n v="0"/>
    <s v="CISCO CP-8811-K9="/>
    <s v="Cisco 8811 Unified IP Phone"/>
    <s v="IT/LAN Equipment"/>
    <n v="1"/>
    <n v="0"/>
    <n v="0"/>
    <m/>
    <n v="0"/>
    <m/>
    <m/>
    <n v="309"/>
    <n v="309"/>
    <n v="138.94999999999999"/>
    <n v="138.94999999999999"/>
    <s v="Jackie Moore"/>
    <n v="0"/>
  </r>
  <r>
    <x v="223"/>
    <s v="SR 250069 Precision 7780 Bundle Desk Phone PO 50167887"/>
    <s v="Won"/>
    <d v="2024-01-10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224"/>
    <s v="10453200 - SonicWall Firewall Annual Support Renewal TZ350 SN: 2CB8ED3E4078"/>
    <s v="Won"/>
    <d v="2024-01-16T00:00:00"/>
    <n v="0"/>
    <s v="02-SSC-1773"/>
    <s v="ADVANCED GATEWAY SECURITY SUITE BUNDLE FOR TZ350 SERIES 1YR"/>
    <s v="IT/LAN Equipment"/>
    <n v="1"/>
    <n v="0"/>
    <n v="0"/>
    <m/>
    <n v="0"/>
    <m/>
    <m/>
    <n v="662"/>
    <n v="662"/>
    <n v="542.20000000000005"/>
    <n v="542.20000000000005"/>
    <s v="Lathrop Lougheed"/>
    <n v="9.5839999999999961"/>
  </r>
  <r>
    <x v="225"/>
    <s v="Quote #MPS122713 Per Service Ticket # 10262762 - Meraki Cloud License Renewal"/>
    <s v="Won"/>
    <d v="2024-01-11T00:00:00"/>
    <n v="0"/>
    <s v="LIC-ENT-3YR"/>
    <s v="Meraki MR Enterprise Cloud Controller License, 3 Years - Meraki MR Series Access Point - Subscription License 1 Access Point - 3 Year License Validation Period"/>
    <s v="IT/LAN Equipment"/>
    <n v="2"/>
    <n v="0"/>
    <n v="0"/>
    <m/>
    <n v="0"/>
    <m/>
    <m/>
    <n v="255.9"/>
    <n v="511.8"/>
    <n v="230.31"/>
    <n v="460.62"/>
    <s v="Kade Thurman"/>
    <n v="0"/>
  </r>
  <r>
    <x v="226"/>
    <s v="#10455457 - GR: Kevin Hudson / Procure Wireless headset (for Samantha Godair)"/>
    <s v="Won"/>
    <d v="2024-01-18T00:00:00"/>
    <n v="0"/>
    <s v="7K2E1AA"/>
    <s v="Poly Voyager 5200 USB-A UC Headset - Google Assistant, Siri - Mono - USB Type A, Micro USB - Wireless - Bluetooth - 98.4 ft - 32 Ohm - 100 Hz - 20 kHz - Over-the-ear, Earbud - Monaural - In-ear - Omni-directional, MEMS Technology, Noise Cancelling Microph"/>
    <s v="IT/LAN Equipment"/>
    <n v="1"/>
    <n v="0"/>
    <n v="0"/>
    <m/>
    <n v="0"/>
    <m/>
    <m/>
    <n v="169"/>
    <n v="169"/>
    <n v="138.52000000000001"/>
    <n v="138.52000000000001"/>
    <s v="Lathrop Lougheed"/>
    <n v="2.4383999999999992"/>
  </r>
  <r>
    <x v="227"/>
    <s v="Service Ticket #10462666 APC Smart UPS 1500"/>
    <s v="Won"/>
    <d v="2024-01-11T00:00:00"/>
    <n v="0"/>
    <s v="MPC-PS-T2"/>
    <s v="Optional: Special Onsite Visit - Technician to Come Onsite and Assist with Basic Installation and Configuration"/>
    <s v="IT/LAN Installation"/>
    <n v="1"/>
    <n v="0"/>
    <n v="0"/>
    <m/>
    <n v="0"/>
    <m/>
    <m/>
    <n v="175"/>
    <n v="175"/>
    <n v="0"/>
    <n v="0"/>
    <s v="Jonathan DeFez"/>
    <n v="7"/>
  </r>
  <r>
    <x v="227"/>
    <s v="Service Ticket #10462666 APC Smart UPS 1500"/>
    <s v="Won"/>
    <d v="2024-01-11T00:00:00"/>
    <n v="0"/>
    <s v="Travel Time - Hourly"/>
    <s v="Travel Time - Hourly - Travel Time"/>
    <s v="IT/LAN Installation"/>
    <n v="0.5"/>
    <n v="0"/>
    <n v="0"/>
    <m/>
    <n v="0"/>
    <m/>
    <m/>
    <n v="135"/>
    <n v="67.5"/>
    <n v="0"/>
    <n v="0"/>
    <s v="Jonathan DeFez"/>
    <n v="2.7"/>
  </r>
  <r>
    <x v="227"/>
    <s v="Service Ticket #10462666 APC Smart UPS 1500"/>
    <s v="Won"/>
    <d v="2024-01-11T00:00:00"/>
    <n v="0"/>
    <s v="5PX1500RTG2"/>
    <s v="Eaton 5PX G2 1440VA 1440W 120V Line-Interactive UPS - 8 NEMA 5-15R Outlets, Cybersecure Network Card Option, Extended Run, 2U Rack/Tower - 5PX G2 1440VA Rack/Tower UPS - 5 Minute Stand"/>
    <s v="IT/LAN Equipment"/>
    <n v="1"/>
    <n v="0"/>
    <n v="0"/>
    <m/>
    <n v="0"/>
    <m/>
    <m/>
    <n v="1024"/>
    <n v="1024"/>
    <n v="839.2"/>
    <n v="839.2"/>
    <s v="Jonathan DeFez"/>
    <n v="14.783999999999997"/>
  </r>
  <r>
    <x v="227"/>
    <s v="Service Ticket #10462666 APC Smart UPS 1500"/>
    <s v="Won"/>
    <d v="2024-01-11T00:00:00"/>
    <n v="0"/>
    <s v="Install"/>
    <s v="Optional Onsite Installation"/>
    <s v="IT/LAN Equipment"/>
    <n v="1"/>
    <n v="0"/>
    <n v="0"/>
    <m/>
    <n v="0"/>
    <m/>
    <m/>
    <n v="242.5"/>
    <n v="242.5"/>
    <n v="0"/>
    <n v="0"/>
    <s v="Jonathan DeFez"/>
    <n v="19.400000000000002"/>
  </r>
  <r>
    <x v="228"/>
    <s v="New APC UPS's"/>
    <s v="Won"/>
    <d v="2024-01-12T00:00:00"/>
    <n v="0"/>
    <s v="AP9640"/>
    <s v="UPS NETWORK MANAGEMENT CARD ACCS WITH POWERCHUTE NETWORK SHUTDOWN"/>
    <s v="IT/LAN Equipment"/>
    <n v="2"/>
    <n v="0"/>
    <n v="0"/>
    <m/>
    <n v="0"/>
    <m/>
    <m/>
    <n v="386"/>
    <n v="772"/>
    <n v="317.32"/>
    <n v="634.64"/>
    <s v="Ron Walker"/>
    <n v="11.675600000000003"/>
  </r>
  <r>
    <x v="228"/>
    <s v="New APC UPS's"/>
    <s v="Won"/>
    <d v="2024-01-12T00:00:00"/>
    <n v="0"/>
    <s v="AP9567"/>
    <s v="BASIC PDU 120V 15A 0U RM RACK 14X5-15"/>
    <s v="IT/LAN Equipment"/>
    <n v="4"/>
    <n v="0"/>
    <n v="0"/>
    <m/>
    <n v="0"/>
    <m/>
    <m/>
    <n v="239"/>
    <n v="956"/>
    <n v="196.55"/>
    <n v="786.2"/>
    <s v="Ron Walker"/>
    <n v="14.432999999999998"/>
  </r>
  <r>
    <x v="228"/>
    <s v="New APC UPS's"/>
    <s v="Won"/>
    <d v="2024-01-12T00:00:00"/>
    <n v="0"/>
    <s v="SMX2200RMLV2U"/>
    <s v="SMART UPS X 2200VA RT 100-127V PERP LCD"/>
    <s v="IT/LAN Equipment"/>
    <n v="2"/>
    <n v="0"/>
    <n v="0"/>
    <m/>
    <n v="0"/>
    <m/>
    <m/>
    <n v="2003"/>
    <n v="4006"/>
    <n v="1643.18"/>
    <n v="3286.36"/>
    <s v="Ron Walker"/>
    <n v="61.169399999999996"/>
  </r>
  <r>
    <x v="229"/>
    <s v="Adobe Renewal"/>
    <s v="Won"/>
    <d v="2024-01-12T00:00:00"/>
    <n v="0"/>
    <s v="65297993BB02A12"/>
    <s v="Adobe Acrobat Pro DC for teams all MLP Named Renew"/>
    <s v="IT/LAN Equipment"/>
    <n v="1"/>
    <n v="0"/>
    <n v="0"/>
    <m/>
    <n v="0"/>
    <m/>
    <m/>
    <n v="177.36"/>
    <n v="177.36"/>
    <n v="166.23"/>
    <n v="166.23"/>
    <s v="Ron Walker"/>
    <n v="0.94605000000000206"/>
  </r>
  <r>
    <x v="229"/>
    <s v="Adobe Renewal"/>
    <s v="Won"/>
    <d v="2024-01-12T00:00:00"/>
    <n v="0"/>
    <s v="65271946BB02A12"/>
    <s v="Adobe Stock Large CC MLP Named Renewal"/>
    <s v="IT/LAN Equipment"/>
    <n v="1"/>
    <n v="0"/>
    <n v="0"/>
    <m/>
    <n v="0"/>
    <m/>
    <m/>
    <n v="2280"/>
    <n v="2280"/>
    <n v="2207.09"/>
    <n v="2207.09"/>
    <s v="Ron Walker"/>
    <n v="6.1973499999999877"/>
  </r>
  <r>
    <x v="229"/>
    <s v="Adobe Renewal"/>
    <s v="Won"/>
    <d v="2024-01-12T00:00:00"/>
    <n v="0"/>
    <s v="65272480BB02A12"/>
    <s v="Adobe Creative Cloud CC MLP Named Renewal 12 Month"/>
    <s v="IT/LAN Equipment"/>
    <n v="11"/>
    <n v="0"/>
    <n v="0"/>
    <m/>
    <n v="0"/>
    <m/>
    <m/>
    <n v="369.48"/>
    <n v="4064.28"/>
    <n v="342.45"/>
    <n v="3766.95"/>
    <s v="Ron Walker"/>
    <n v="25.273050000000033"/>
  </r>
  <r>
    <x v="230"/>
    <s v="Fortinet HA Pair"/>
    <s v="Won"/>
    <d v="2024-01-31T00:00:00"/>
    <n v="0"/>
    <s v="MPC-PS-PC"/>
    <s v="Project Coordinator"/>
    <s v="IT/LAN Installation"/>
    <n v="3"/>
    <n v="0"/>
    <n v="0"/>
    <m/>
    <n v="0"/>
    <m/>
    <m/>
    <n v="175"/>
    <n v="525"/>
    <n v="0"/>
    <n v="0"/>
    <s v="Ron Walker"/>
    <n v="21"/>
  </r>
  <r>
    <x v="230"/>
    <s v="Fortinet HA Pair"/>
    <s v="Won"/>
    <d v="2024-01-31T00:00:00"/>
    <n v="0"/>
    <s v="FG-400F-BDL-950-36"/>
    <s v="FORTIGATE-400F HW PLUS 3YR 24X7 FORTICARE &amp; FORTIGUARD UTP"/>
    <s v="IT/LAN Equipment"/>
    <n v="1"/>
    <n v="0"/>
    <n v="0"/>
    <m/>
    <n v="0"/>
    <m/>
    <m/>
    <n v="24853.8"/>
    <n v="24853.8"/>
    <n v="21612.58"/>
    <n v="21612.58"/>
    <s v="Ron Walker"/>
    <n v="275.50369999999981"/>
  </r>
  <r>
    <x v="230"/>
    <s v="Fortinet HA Pair"/>
    <s v="Won"/>
    <d v="2024-01-31T00:00:00"/>
    <n v="0"/>
    <s v="SP-FGPCOR-US"/>
    <s v="POWER CORD ALL SYST"/>
    <s v="IT/LAN Equipment"/>
    <n v="1"/>
    <n v="0"/>
    <n v="0"/>
    <m/>
    <n v="0"/>
    <m/>
    <m/>
    <n v="7"/>
    <n v="7"/>
    <n v="5.6"/>
    <n v="5.6"/>
    <s v="Ron Walker"/>
    <n v="0.11900000000000004"/>
  </r>
  <r>
    <x v="230"/>
    <s v="Fortinet HA Pair"/>
    <s v="Won"/>
    <d v="2024-01-31T00:00:00"/>
    <n v="0"/>
    <s v="SP-FG400F-PS"/>
    <s v="AC POWER SUPPLY F/ FG-400/401F FG-600/601F POWER CABLE"/>
    <s v="IT/LAN Equipment"/>
    <n v="1"/>
    <n v="0"/>
    <n v="0"/>
    <m/>
    <n v="0"/>
    <m/>
    <m/>
    <n v="586"/>
    <n v="586"/>
    <n v="510"/>
    <n v="510"/>
    <s v="Ron Walker"/>
    <n v="6.4600000000000009"/>
  </r>
  <r>
    <x v="230"/>
    <s v="Fortinet HA Pair"/>
    <s v="Won"/>
    <d v="2024-01-31T00:00:00"/>
    <n v="0"/>
    <s v="03973"/>
    <s v="C2G 2ft (0.6m) Cat6 Snagless Unshielded (UTP) Ethernet Network Patch Cable - Blue - 2 ft Category 6 Network Cable for Network Device - First End: 1 x RJ-45 Network - Male - Second End: 1 x RJ-45 Network - Male - Patch Cable - Standard Non-rated - 24 AWG -"/>
    <s v="IT/LAN Equipment"/>
    <n v="16"/>
    <n v="0"/>
    <n v="0"/>
    <m/>
    <n v="0"/>
    <m/>
    <m/>
    <n v="3"/>
    <n v="48"/>
    <n v="2.04"/>
    <n v="32.64"/>
    <s v="Ron Walker"/>
    <n v="1.3056000000000001"/>
  </r>
  <r>
    <x v="230"/>
    <s v="Fortinet HA Pair"/>
    <s v="Won"/>
    <d v="2024-01-31T00:00:00"/>
    <n v="0"/>
    <s v="JL679A#ABA"/>
    <s v="Aruba 6100 Ethernet Switch - 12 Ports - Manageable - 2 Layer Supported - Modular - 21.90 W Power Consumption - 139 W PoE Budget - Optical Fiber, Twisted Pair - PoE Ports - 1U High - Wall Mountable, Rack-mountable, Surface Mount - Lifetime Limited Warranty"/>
    <s v="IT/LAN Equipment"/>
    <n v="2"/>
    <n v="0"/>
    <n v="0"/>
    <m/>
    <n v="0"/>
    <m/>
    <m/>
    <n v="1130"/>
    <n v="2260"/>
    <n v="1017.24"/>
    <n v="2034.48"/>
    <s v="Ron Walker"/>
    <n v="19.1692"/>
  </r>
  <r>
    <x v="230"/>
    <s v="Fortinet HA Pair"/>
    <s v="Won"/>
    <d v="2024-01-31T00:00:00"/>
    <n v="0"/>
    <s v="HY2R6E"/>
    <s v="HPE Foundation Care Exchange - Extended Service - 3 Year - Service - 9 x 5 x Next Business Day - Service Depot - Exchange"/>
    <s v="IT/LAN Equipment"/>
    <n v="2"/>
    <n v="0"/>
    <n v="0"/>
    <m/>
    <n v="0"/>
    <m/>
    <m/>
    <n v="103"/>
    <n v="206"/>
    <n v="84.54"/>
    <n v="169.08"/>
    <s v="Ron Walker"/>
    <n v="3.138199999999999"/>
  </r>
  <r>
    <x v="230"/>
    <s v="Fortinet HA Pair"/>
    <s v="Won"/>
    <d v="2024-01-31T00:00:00"/>
    <n v="0"/>
    <s v="Q9Y69AAE"/>
    <s v="Aruba Central Foundation - Subscription License - 1 Switch (12 Ports) - 3 Year - Electronic"/>
    <s v="IT/LAN Equipment"/>
    <n v="2"/>
    <n v="0"/>
    <n v="0"/>
    <m/>
    <n v="0"/>
    <m/>
    <m/>
    <n v="326"/>
    <n v="652"/>
    <n v="293.91000000000003"/>
    <n v="587.82000000000005"/>
    <s v="Ron Walker"/>
    <n v="5.4552999999999958"/>
  </r>
  <r>
    <x v="230"/>
    <s v="Fortinet HA Pair"/>
    <s v="Won"/>
    <d v="2024-01-31T00:00:00"/>
    <n v="0"/>
    <s v="MPC-PS-T3"/>
    <s v="Meriplex Engineer Labor"/>
    <s v="IT/LAN Installation"/>
    <n v="27"/>
    <n v="0"/>
    <n v="0"/>
    <m/>
    <n v="0"/>
    <m/>
    <m/>
    <n v="240"/>
    <n v="6480"/>
    <n v="0"/>
    <n v="0"/>
    <s v="Ron Walker"/>
    <n v="259.2"/>
  </r>
  <r>
    <x v="230"/>
    <s v="Fortinet HA Pair"/>
    <s v="Won"/>
    <d v="2024-01-31T00:00:00"/>
    <n v="0"/>
    <s v="MPC-PS-T1"/>
    <s v="Meriplex Tier 1 Technician Labor"/>
    <s v="IT/LAN Installation"/>
    <n v="5"/>
    <n v="0"/>
    <n v="0"/>
    <m/>
    <n v="0"/>
    <m/>
    <m/>
    <n v="125"/>
    <n v="625"/>
    <n v="0"/>
    <n v="0"/>
    <s v="Ron Walker"/>
    <n v="25"/>
  </r>
  <r>
    <x v="231"/>
    <s v="Quote #MPS122747 Per Service Ticket # 10445556 - SASSI - Monitor"/>
    <s v="Won"/>
    <d v="2024-01-12T00:00:00"/>
    <n v="0"/>
    <s v="DELL-P2422H"/>
    <s v="Dell P2422H 24&quot; Class Full HD LCD Monitor - 16:9 - Black, Silver - 23.8&quot; Viewable - In-plane Switching (IPS) Technology - LED Backlight - 1920 x 1080 - 16.7 Million Colors - 250 Nit Typical - 5 ms - 75 Hz Refresh Rate - HDMI - VGA - DisplayPort"/>
    <s v="IT/LAN Equipment"/>
    <n v="1"/>
    <n v="0"/>
    <n v="0"/>
    <m/>
    <n v="0"/>
    <m/>
    <m/>
    <n v="169.87"/>
    <n v="169.87"/>
    <n v="135"/>
    <n v="135"/>
    <s v="Kade Thurman"/>
    <n v="0"/>
  </r>
  <r>
    <x v="231"/>
    <s v="Quote #MPS122747 Per Service Ticket # 10445556 - SASSI - Monitor"/>
    <s v="Won"/>
    <d v="2024-01-12T00:00:00"/>
    <n v="0"/>
    <s v="CED15-35"/>
    <s v="E-Waste Recycling Fee"/>
    <s v="IT/LAN Equipment"/>
    <n v="1"/>
    <n v="0"/>
    <n v="0"/>
    <m/>
    <n v="0"/>
    <m/>
    <m/>
    <n v="5"/>
    <n v="5"/>
    <n v="5"/>
    <n v="5"/>
    <s v="Kade Thurman"/>
    <n v="0"/>
  </r>
  <r>
    <x v="232"/>
    <s v="SonicWall Upgrade TZ370"/>
    <s v="Won"/>
    <d v="2024-01-16T00:00:00"/>
    <n v="0"/>
    <s v="02-SSC-6821"/>
    <s v="SonicWall TZ370 Network Security/Firewall Appliance - 8 Port - 10/100/1000Base-T - Gigabit Ethernet - DES, 3DES, MD5, SHA-1, AES (128-bit), AES (192-bit), AES (256-bit) - 8 x RJ-45 - 3 Year Secure Upgrade Plus Advanced Edition - Desktop, Rack-mountable -"/>
    <s v="Physical Security"/>
    <n v="1"/>
    <n v="0"/>
    <n v="0"/>
    <m/>
    <n v="0"/>
    <m/>
    <m/>
    <n v="1735"/>
    <n v="1735"/>
    <n v="1549.04"/>
    <n v="1549.04"/>
    <s v="Lathrop Lougheed"/>
    <n v="14.876800000000003"/>
  </r>
  <r>
    <x v="232"/>
    <s v="SonicWall Upgrade TZ370"/>
    <s v="Won"/>
    <d v="2024-01-16T00:00:00"/>
    <n v="0"/>
    <s v="MPSSHIP"/>
    <s v="Inbound Shipping"/>
    <s v="IT/LAN Equipment"/>
    <n v="1"/>
    <n v="0"/>
    <n v="0"/>
    <m/>
    <n v="0"/>
    <m/>
    <m/>
    <n v="18"/>
    <n v="18"/>
    <n v="0"/>
    <n v="0"/>
    <s v="Lathrop Lougheed"/>
    <n v="1.44"/>
  </r>
  <r>
    <x v="232"/>
    <s v="SonicWall Upgrade TZ370"/>
    <s v="Won"/>
    <d v="2024-01-16T00:00:00"/>
    <n v="0"/>
    <s v="MPC-PS-T2"/>
    <s v="Meriplex Tier 2 Engineer Labor"/>
    <s v="IT/LAN Installation"/>
    <n v="3"/>
    <n v="0"/>
    <n v="0"/>
    <m/>
    <n v="0"/>
    <m/>
    <m/>
    <n v="185"/>
    <n v="555"/>
    <n v="0"/>
    <n v="0"/>
    <s v="Lathrop Lougheed"/>
    <n v="22.2"/>
  </r>
  <r>
    <x v="233"/>
    <s v="10466676 - DUO Licenses"/>
    <s v="Won"/>
    <d v="2024-01-12T00:00:00"/>
    <n v="0"/>
    <s v="SEC-MFA-ENT="/>
    <s v="DUO Enterprise Multifactor Authentication Licenses through June 30th"/>
    <s v="IT/LAN Equipment"/>
    <n v="10"/>
    <n v="0"/>
    <n v="3"/>
    <m/>
    <n v="0"/>
    <m/>
    <m/>
    <n v="460"/>
    <n v="4600"/>
    <n v="230"/>
    <n v="2300"/>
    <s v="Brandon Ring"/>
    <n v="184"/>
  </r>
  <r>
    <x v="234"/>
    <s v="4 New Adobe Pro Licenses"/>
    <s v="Won"/>
    <d v="2024-01-16T00:00:00"/>
    <n v="0"/>
    <s v="65324055BA02A12"/>
    <s v="6MO SUB LICS TEAMS ACROBAT PRO MLIC NEW CUST ONLY MPLAT L2 10-49"/>
    <s v="NRR - Agent Income"/>
    <n v="4"/>
    <n v="0"/>
    <n v="0"/>
    <m/>
    <n v="0"/>
    <m/>
    <m/>
    <n v="148.62"/>
    <n v="594.48"/>
    <n v="126.33"/>
    <n v="505.32"/>
    <s v="Jonathan DeFez"/>
    <n v="7.1328000000000022"/>
  </r>
  <r>
    <x v="235"/>
    <s v="AXIS Camera PO S111755"/>
    <s v="Won"/>
    <d v="2024-01-12T00:00:00"/>
    <n v="0"/>
    <s v="02326-001"/>
    <s v="AXIS P3265-V 2 Megapixel Indoor Full HD Network Camera - Color - Dome - White"/>
    <s v="Physical Security"/>
    <n v="10"/>
    <n v="0"/>
    <n v="0"/>
    <m/>
    <n v="0"/>
    <m/>
    <m/>
    <n v="470"/>
    <n v="4700"/>
    <n v="408.04"/>
    <n v="4080.4"/>
    <s v="Jackie Moore"/>
    <n v="0"/>
  </r>
  <r>
    <x v="235"/>
    <s v="AXIS Camera PO S111755"/>
    <s v="Won"/>
    <d v="2024-01-12T00:00:00"/>
    <n v="0"/>
    <s v="01513-001"/>
    <s v="AXIS T94N01D Ceiling Mount for Network Camera"/>
    <s v="Physical Security"/>
    <n v="1"/>
    <n v="0"/>
    <n v="0"/>
    <m/>
    <n v="0"/>
    <m/>
    <m/>
    <n v="81"/>
    <n v="81"/>
    <n v="72.27"/>
    <n v="72.27"/>
    <s v="Jackie Moore"/>
    <n v="0"/>
  </r>
  <r>
    <x v="235"/>
    <s v="AXIS Camera PO S111755"/>
    <s v="Won"/>
    <d v="2024-01-12T00:00:00"/>
    <n v="0"/>
    <s v="01752-004"/>
    <s v="AXIS Q6075-E 2 Megapixel Outdoor Full HD Network Camera - Color - Dome - White"/>
    <s v="Physical Security"/>
    <n v="5"/>
    <n v="0"/>
    <n v="0"/>
    <m/>
    <n v="0"/>
    <m/>
    <m/>
    <n v="2705"/>
    <n v="13525"/>
    <n v="2408.12"/>
    <n v="12040.599999999999"/>
    <s v="Jackie Moore"/>
    <n v="0"/>
  </r>
  <r>
    <x v="235"/>
    <s v="AXIS Camera PO S111755"/>
    <s v="Won"/>
    <d v="2024-01-12T00:00:00"/>
    <n v="0"/>
    <s v="01500-001"/>
    <s v="AXIS P3719-PLE 15 Megapixel Outdoor Network Camera - Color - Dome - White"/>
    <s v="Physical Security"/>
    <n v="1"/>
    <n v="0"/>
    <n v="0"/>
    <m/>
    <n v="0"/>
    <m/>
    <m/>
    <n v="1393"/>
    <n v="1393"/>
    <n v="1240.2"/>
    <n v="1240.2"/>
    <s v="Jackie Moore"/>
    <n v="0"/>
  </r>
  <r>
    <x v="235"/>
    <s v="AXIS Camera PO S111755"/>
    <s v="Won"/>
    <d v="2024-01-12T00:00:00"/>
    <n v="0"/>
    <s v="5504-821"/>
    <s v="AXIS T91D61 Camera Mount for Network Camera, Cabinet, Holder, Mounting Bracket - White - 33 lb Load Capacity"/>
    <s v="Physical Security"/>
    <n v="1"/>
    <n v="0"/>
    <n v="0"/>
    <m/>
    <n v="0"/>
    <m/>
    <m/>
    <n v="81"/>
    <n v="81"/>
    <n v="72.27"/>
    <n v="72.27"/>
    <s v="Jackie Moore"/>
    <n v="0"/>
  </r>
  <r>
    <x v="235"/>
    <s v="AXIS Camera PO S111755"/>
    <s v="Won"/>
    <d v="2024-01-12T00:00:00"/>
    <n v="0"/>
    <s v="5505-521"/>
    <s v="AXIS ACI Conduit Adapter 1/2&quot; U-Shape 20mm - Cable Conduit - 5"/>
    <s v="Physical Security"/>
    <n v="1"/>
    <n v="0"/>
    <n v="0"/>
    <m/>
    <n v="0"/>
    <m/>
    <m/>
    <n v="24"/>
    <n v="24"/>
    <n v="21.17"/>
    <n v="21.17"/>
    <s v="Jackie Moore"/>
    <n v="0"/>
  </r>
  <r>
    <x v="235"/>
    <s v="AXIS Camera PO S111755"/>
    <s v="Won"/>
    <d v="2024-01-12T00:00:00"/>
    <n v="0"/>
    <s v="5505-541"/>
    <s v="AXIS Mounting Adapter for Network Camera - White - 2"/>
    <s v="Physical Security"/>
    <n v="1"/>
    <n v="0"/>
    <n v="0"/>
    <m/>
    <n v="0"/>
    <m/>
    <m/>
    <n v="40"/>
    <n v="40"/>
    <n v="35.770000000000003"/>
    <n v="35.770000000000003"/>
    <s v="Jackie Moore"/>
    <n v="0"/>
  </r>
  <r>
    <x v="235"/>
    <s v="AXIS Camera PO S111755"/>
    <s v="Won"/>
    <d v="2024-01-12T00:00:00"/>
    <n v="0"/>
    <s v="02398-001"/>
    <s v="TQ6809 HARD COATED CLEAR DOME"/>
    <s v="Physical Security"/>
    <n v="5"/>
    <n v="0"/>
    <n v="0"/>
    <m/>
    <n v="0"/>
    <m/>
    <m/>
    <n v="139"/>
    <n v="695"/>
    <n v="123.37"/>
    <n v="616.85"/>
    <s v="Jackie Moore"/>
    <n v="0"/>
  </r>
  <r>
    <x v="235"/>
    <s v="AXIS Camera PO S111755"/>
    <s v="Won"/>
    <d v="2024-01-12T00:00:00"/>
    <n v="0"/>
    <s v="01981-001"/>
    <s v="AXIS Q6010-E 60 Hz 5 Megapixel Outdoor Network Camera - Color - Dome - White"/>
    <s v="Physical Security"/>
    <n v="5"/>
    <n v="0"/>
    <n v="0"/>
    <m/>
    <n v="0"/>
    <m/>
    <m/>
    <n v="1475"/>
    <n v="7375"/>
    <n v="1313.19"/>
    <n v="6565.9500000000007"/>
    <s v="Jackie Moore"/>
    <n v="0"/>
  </r>
  <r>
    <x v="236"/>
    <s v="desktops and monitors"/>
    <s v="Won"/>
    <d v="2024-01-17T00:00:00"/>
    <n v="0"/>
    <s v="C36TD"/>
    <s v="Dell OptiPlex 7000 7010 Desktop Computer - Intel Core i5 13th Gen i5-13500T Tetradeca-core (14 Core) 1.60 GHz - 16 GB RAM DDR4 SDRAM - 256 GB M.2 PCI Express NVMe SSD - Micro PC - Black - Intel Chip - Windows 11 Pro - Intel UHD Graphics 770 DDR4 SDRAM - E"/>
    <s v="IT/LAN Equipment"/>
    <n v="4"/>
    <n v="0"/>
    <n v="0"/>
    <m/>
    <n v="0"/>
    <m/>
    <m/>
    <n v="876"/>
    <n v="3504"/>
    <n v="717.94"/>
    <n v="2871.76"/>
    <s v="Cynthia Newsom"/>
    <n v="53.740399999999987"/>
  </r>
  <r>
    <x v="236"/>
    <s v="desktops and monitors"/>
    <s v="Won"/>
    <d v="2024-01-17T00:00:00"/>
    <n v="0"/>
    <s v="DELL-E2723H"/>
    <s v="Dell E2723H 27&quot; Class Full HD LCD Monitor - 16:9 - Black - 27&quot; Viewable - Vertical Alignment (VA) - LED Backlight - 1920 x 1080 - 16.7 Million Colors - 300 Nit - 5 ms - VGA - DisplayPort"/>
    <s v="IT/LAN Equipment"/>
    <n v="5"/>
    <n v="0"/>
    <n v="0"/>
    <m/>
    <n v="0"/>
    <m/>
    <m/>
    <n v="184"/>
    <n v="920"/>
    <n v="150.82"/>
    <n v="754.09999999999991"/>
    <s v="Cynthia Newsom"/>
    <n v="14.101500000000009"/>
  </r>
  <r>
    <x v="236"/>
    <s v="desktops and monitors"/>
    <s v="Won"/>
    <d v="2024-01-17T00:00:00"/>
    <n v="0"/>
    <s v="MPC-PS-T3"/>
    <s v="Meriplex Tier 3 Engineer Labor"/>
    <s v="IT/LAN Installation"/>
    <n v="4"/>
    <n v="0"/>
    <n v="0"/>
    <m/>
    <n v="0"/>
    <m/>
    <m/>
    <n v="225"/>
    <n v="900"/>
    <n v="0"/>
    <n v="0"/>
    <s v="Cynthia Newsom"/>
    <n v="36"/>
  </r>
  <r>
    <x v="237"/>
    <s v="Quote #MPS122768 Per Service Ticket # 10427413 - Replacement Server Drive"/>
    <s v="Won"/>
    <d v="2024-01-15T00:00:00"/>
    <n v="0"/>
    <s v="870759-B21"/>
    <s v="HP 900 GB Hard Drive - 2.5&quot; Internal - SAS - 15000rpm"/>
    <s v="IT/LAN Equipment"/>
    <n v="1"/>
    <n v="0"/>
    <n v="0"/>
    <m/>
    <n v="0"/>
    <m/>
    <m/>
    <n v="437.67"/>
    <n v="437.67"/>
    <n v="386.18"/>
    <n v="386.18"/>
    <s v="Kade Thurman"/>
    <n v="0"/>
  </r>
  <r>
    <x v="238"/>
    <s v="SJ + Ont Firewall renewals"/>
    <s v="Won"/>
    <d v="2024-01-12T00:00:00"/>
    <n v="0"/>
    <s v="01-SSC-0638"/>
    <s v="SonicWall Comprehensive Gateway Security Suite for TZ 300 - SonicWALL TZ300 Network Security Firewall - Subscription License 1 Appliance - 1 Year License Validation Period - TAA Compliant"/>
    <s v="IT/LAN Equipment"/>
    <n v="2"/>
    <n v="0"/>
    <n v="0"/>
    <m/>
    <n v="0"/>
    <m/>
    <m/>
    <n v="506.18"/>
    <n v="1012.36"/>
    <n v="421.82"/>
    <n v="843.64"/>
    <s v="Lathrop Lougheed"/>
    <n v="13.497600000000002"/>
  </r>
  <r>
    <x v="239"/>
    <s v="Quote #MPS122723 Per Service Ticket # 10454171 - Laptop for Sara"/>
    <s v="Won"/>
    <d v="2024-01-11T00:00:00"/>
    <n v="0"/>
    <s v="MPC-PS-T2"/>
    <s v="PC Migration or Installation Services"/>
    <s v="IT/LAN Installation"/>
    <n v="1"/>
    <n v="0"/>
    <n v="0"/>
    <m/>
    <n v="0"/>
    <m/>
    <m/>
    <n v="200"/>
    <n v="200"/>
    <n v="0"/>
    <n v="0"/>
    <s v="Kade Thurman"/>
    <n v="0"/>
  </r>
  <r>
    <x v="239"/>
    <s v="Quote #MPS122723 Per Service Ticket # 10454171 - Laptop for Sara"/>
    <s v="Won"/>
    <d v="2024-01-11T00:00:00"/>
    <n v="0"/>
    <s v="21HF000AUS"/>
    <s v="Lenovo ThinkPad P14s Gen 4 14&quot; Mobile Workstation - WUXGA - 1920 x 1200 - Intel Core i7 13th Gen i7-1360P Dodeca-core (12 Core) - 16 GB Total RAM - 16 GB On-board Memory - 512 GB SSD - Villi Black - Intel Chip - Windows 11 Pro - Intel Iris Xe G"/>
    <s v="IT/LAN Equipment"/>
    <n v="1"/>
    <n v="0"/>
    <n v="0"/>
    <m/>
    <n v="0"/>
    <m/>
    <m/>
    <n v="1288.3399999999999"/>
    <n v="1288.3399999999999"/>
    <n v="1198.1600000000001"/>
    <n v="1198.1600000000001"/>
    <s v="Kade Thurman"/>
    <n v="0"/>
  </r>
  <r>
    <x v="239"/>
    <s v="Quote #MPS122723 Per Service Ticket # 10454171 - Laptop for Sara"/>
    <s v="Won"/>
    <d v="2024-01-11T00:00:00"/>
    <n v="0"/>
    <s v="CED4-15"/>
    <s v="E-Waste Recycling Fee"/>
    <s v="IT/LAN Equipment"/>
    <n v="1"/>
    <n v="0"/>
    <n v="0"/>
    <m/>
    <n v="0"/>
    <m/>
    <m/>
    <n v="4"/>
    <n v="4"/>
    <n v="4"/>
    <n v="4"/>
    <s v="Kade Thurman"/>
    <n v="0"/>
  </r>
  <r>
    <x v="240"/>
    <s v="10467281 - Laptop and Two Docking Stations - Client Will Call"/>
    <s v="Won"/>
    <d v="2024-01-17T00:00:00"/>
    <n v="0"/>
    <s v="21DH00DAUS"/>
    <s v="Lenovo ThinkBook 14 G4 IAP 14&quot; Notebook - Full HD - 1920 x 1080 - Intel Core i5 12th Gen i5-1235U Deca-core (10 Core) 1.30 GHz - 8 GB Total RAM - 8 GB On-board Memory - 256 GB SSD - Mineral Gray - Intel Chip - Windows 11 - Intel Iris Xe Graphic"/>
    <s v="IT/LAN Equipment"/>
    <n v="1"/>
    <n v="0"/>
    <n v="0"/>
    <m/>
    <n v="0"/>
    <m/>
    <m/>
    <n v="737.06"/>
    <n v="737.06"/>
    <n v="764.5"/>
    <n v="764.5"/>
    <s v="Jonathan DeFez"/>
    <n v="-2.1952000000000043"/>
  </r>
  <r>
    <x v="240"/>
    <s v="10467281 - Laptop and Two Docking Stations - Client Will Call"/>
    <s v="Won"/>
    <d v="2024-01-17T00:00:00"/>
    <n v="0"/>
    <s v="Pickup"/>
    <s v="PC(s) will be built, updated and configured and then picked up by the client from the Meriplex Office"/>
    <s v="IT/LAN Equipment"/>
    <n v="1"/>
    <n v="0"/>
    <n v="0"/>
    <m/>
    <n v="0"/>
    <m/>
    <m/>
    <n v="149"/>
    <n v="149"/>
    <n v="0"/>
    <n v="0"/>
    <s v="Jonathan DeFez"/>
    <n v="11.92"/>
  </r>
  <r>
    <x v="240"/>
    <s v="10467281 - Laptop and Two Docking Stations - Client Will Call"/>
    <s v="Won"/>
    <d v="2024-01-17T00:00:00"/>
    <n v="0"/>
    <s v="40AY0090US"/>
    <s v="Lenovo ThinkPad Universal USB-C Dock"/>
    <s v="IT/LAN Equipment"/>
    <n v="2"/>
    <n v="0"/>
    <n v="0"/>
    <m/>
    <n v="0"/>
    <m/>
    <m/>
    <n v="212.51"/>
    <n v="425.02"/>
    <n v="184.79"/>
    <n v="369.58"/>
    <s v="Jonathan DeFez"/>
    <n v="4.4352"/>
  </r>
  <r>
    <x v="241"/>
    <s v="10465508 - New Touchscreen Laptop for Existing Employee Christie Hooper"/>
    <s v="Won"/>
    <d v="2024-01-12T00:00:00"/>
    <n v="0"/>
    <s v="Delivered"/>
    <s v="PC(s) will be built, updated and configured and then delivered and installed by Meriplex"/>
    <s v="IT/LAN Installation"/>
    <n v="1"/>
    <n v="0"/>
    <n v="0"/>
    <m/>
    <n v="0"/>
    <m/>
    <m/>
    <n v="295"/>
    <n v="295"/>
    <n v="0"/>
    <n v="0"/>
    <s v="Jonathan DeFez"/>
    <n v="11.8"/>
  </r>
  <r>
    <x v="241"/>
    <s v="10465508 - New Touchscreen Laptop for Existing Employee Christie Hooper"/>
    <s v="Won"/>
    <d v="2024-01-12T00:00:00"/>
    <n v="0"/>
    <s v="Travel Time - Hourly"/>
    <s v="Travel Time - Hourly"/>
    <s v="IT/LAN Installation"/>
    <n v="1"/>
    <n v="0"/>
    <n v="0"/>
    <m/>
    <n v="0"/>
    <m/>
    <m/>
    <n v="135"/>
    <n v="135"/>
    <n v="0"/>
    <n v="0"/>
    <s v="Jonathan DeFez"/>
    <n v="5.4"/>
  </r>
  <r>
    <x v="241"/>
    <s v="10465508 - New Touchscreen Laptop for Existing Employee Christie Hooper"/>
    <s v="Won"/>
    <d v="2024-01-12T00:00:00"/>
    <n v="0"/>
    <s v="21DH0075US"/>
    <s v="Lenovo ThinkBook 14 G4 IAP 14&quot; Touchscreen Notebook - Full HD - 1920 x 1080 - Intel Core i5 12th Gen i5-1240P - 16 GB Total RAM - 512 GB SSD - Intel Chip - Windows 11 Pro - Intel Iris Xe Graphics - Front Camera/Webcam - IEEE 802.11ax Wireless L"/>
    <s v="IT/LAN Equipment"/>
    <n v="1"/>
    <n v="0"/>
    <n v="0"/>
    <m/>
    <n v="0"/>
    <m/>
    <m/>
    <n v="878.53"/>
    <n v="878.53"/>
    <n v="763.94"/>
    <n v="763.94"/>
    <s v="Jonathan DeFez"/>
    <n v="9.167199999999994"/>
  </r>
  <r>
    <x v="242"/>
    <s v="SR 247731 Latitude 5540 Bundle PO 50168367"/>
    <s v="Won"/>
    <d v="2024-01-12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242"/>
    <s v="SR 247731 Latitude 5540 Bundle PO 50168367"/>
    <s v="Won"/>
    <d v="2024-01-12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242"/>
    <s v="SR 247731 Latitude 5540 Bundle PO 50168367"/>
    <s v="Won"/>
    <d v="2024-01-12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242"/>
    <s v="SR 247731 Latitude 5540 Bundle PO 50168367"/>
    <s v="Won"/>
    <d v="2024-01-12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243"/>
    <s v="SR 247853 Latitude 5540 Bundle Monitors PO 50168372"/>
    <s v="Won"/>
    <d v="2024-01-12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243"/>
    <s v="SR 247853 Latitude 5540 Bundle Monitors PO 50168372"/>
    <s v="Won"/>
    <d v="2024-01-12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243"/>
    <s v="SR 247853 Latitude 5540 Bundle Monitors PO 50168372"/>
    <s v="Won"/>
    <d v="2024-01-12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243"/>
    <s v="SR 247853 Latitude 5540 Bundle Monitors PO 50168372"/>
    <s v="Won"/>
    <d v="2024-01-12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243"/>
    <s v="SR 247853 Latitude 5540 Bundle Monitors PO 50168372"/>
    <s v="Won"/>
    <d v="2024-01-12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243"/>
    <s v="SR 247853 Latitude 5540 Bundle Monitors PO 50168372"/>
    <s v="Won"/>
    <d v="2024-01-12T00:00:00"/>
    <n v="0"/>
    <s v="210-BGPK"/>
    <s v="Dell E2424HS 24&quot; LED LCD"/>
    <s v="IT/LAN Equipment"/>
    <n v="2"/>
    <n v="0"/>
    <n v="0"/>
    <m/>
    <n v="0"/>
    <m/>
    <m/>
    <n v="189"/>
    <n v="378"/>
    <n v="107.74"/>
    <n v="215.48"/>
    <s v="Jackie Moore"/>
    <n v="0"/>
  </r>
  <r>
    <x v="244"/>
    <s v="Hardware"/>
    <s v="Won"/>
    <d v="2024-01-16T00:00:00"/>
    <n v="0"/>
    <s v="MPSSHIP"/>
    <s v="Inbound Shipping"/>
    <s v="IT/LAN Equipment"/>
    <n v="1"/>
    <n v="0"/>
    <n v="0"/>
    <m/>
    <n v="0"/>
    <m/>
    <m/>
    <n v="118"/>
    <n v="118"/>
    <n v="0"/>
    <n v="0"/>
    <s v="Cynthia Newsom"/>
    <n v="10.030000000000001"/>
  </r>
  <r>
    <x v="244"/>
    <s v="Hardware"/>
    <s v="Won"/>
    <d v="2024-01-16T00:00:00"/>
    <n v="0"/>
    <s v="AP7800B"/>
    <s v="APC by Schneider Electric Rack PDU, Metered, 1U, 15A, 100/120V, (8) 5-15 - Metered - NEMA 5-15P - 8 x NEMA 5-15R - 100 V, 120 V - 12 ft Cord Length - 1U - Rack-mountable"/>
    <s v="IT/LAN Equipment"/>
    <n v="1"/>
    <n v="0"/>
    <n v="0"/>
    <m/>
    <n v="0"/>
    <m/>
    <m/>
    <n v="528"/>
    <n v="528"/>
    <n v="450.16"/>
    <n v="450.16"/>
    <s v="Cynthia Newsom"/>
    <n v="6.6163999999999987"/>
  </r>
  <r>
    <x v="244"/>
    <s v="Hardware"/>
    <s v="Won"/>
    <d v="2024-01-16T00:00:00"/>
    <n v="0"/>
    <s v="SMT2200RM2UC"/>
    <s v="APC by Schneider Electric Smart-UPS 2200VA LCD RM 2U 120V with SmartConnect - 2U Rack-mountable - 3 Hour Recharge - 6.60 Minute Stand-by - 120 V Input - 120 V AC Output - Sine Wave - 2 x NEMA 5-20R, 6 x NEMA 5-15R - 8 x Battery/Surge Outlet"/>
    <s v="IT/LAN Equipment"/>
    <n v="1"/>
    <n v="0"/>
    <n v="0"/>
    <m/>
    <n v="0"/>
    <m/>
    <m/>
    <n v="1585"/>
    <n v="1585"/>
    <n v="1284.03"/>
    <n v="1284.03"/>
    <s v="Cynthia Newsom"/>
    <n v="25.582450000000005"/>
  </r>
  <r>
    <x v="244"/>
    <s v="Hardware"/>
    <s v="Won"/>
    <d v="2024-01-16T00:00:00"/>
    <n v="0"/>
    <s v="FAP-221E-E"/>
    <s v="Fortinet FortiAP 221E IEEE 802.11ac 1.14 Gbit/s Wireless Access Point - 5 GHz, 2.40 GHz - MIMO Technology - 1 x Network (RJ-45) - Gigabit Ethernet - Ceiling Mountable, Wall Mountable, Rail-mountable"/>
    <s v="IT/LAN Equipment"/>
    <n v="1"/>
    <n v="0"/>
    <n v="0"/>
    <m/>
    <n v="0"/>
    <m/>
    <m/>
    <n v="248"/>
    <n v="248"/>
    <n v="313.3"/>
    <n v="313.3"/>
    <s v="Cynthia Newsom"/>
    <n v="-5.5505000000000013"/>
  </r>
  <r>
    <x v="244"/>
    <s v="Hardware"/>
    <s v="Won"/>
    <d v="2024-01-16T00:00:00"/>
    <n v="0"/>
    <s v="B021-000-19-HD"/>
    <s v="Tripp Lite by Eaton Rack Console KVM w/ 19&quot; LCD, DVI or VGA Adapter 1U - 1 Computer(s) - 19&quot; LCD - 1366 x 768 - 1 x USB - 1 x DVI&quot;"/>
    <s v="IT/LAN Equipment"/>
    <n v="1"/>
    <n v="0"/>
    <n v="0"/>
    <m/>
    <n v="0"/>
    <m/>
    <m/>
    <n v="977"/>
    <n v="977"/>
    <n v="866.35"/>
    <n v="866.35"/>
    <s v="Cynthia Newsom"/>
    <n v="9.4052499999999988"/>
  </r>
  <r>
    <x v="244"/>
    <s v="Hardware"/>
    <s v="Won"/>
    <d v="2024-01-16T00:00:00"/>
    <n v="0"/>
    <s v="SMC1500-2UC"/>
    <s v="APC by Schneider Electric Smart-UPS C 1500VA RM 2U 120V with SmartConnect - 2U Rack-mountable - 3 Hour Recharge - 10.10 Minute Stand-by - 120 V Input - 120 V AC Output - Sine Wave - 6 x NEMA 5-15R - 6 x Battery/Surge Outlet"/>
    <s v="IT/LAN Equipment"/>
    <n v="1"/>
    <n v="0"/>
    <n v="0"/>
    <m/>
    <n v="0"/>
    <m/>
    <m/>
    <n v="756"/>
    <n v="756"/>
    <n v="675.23"/>
    <n v="675.23"/>
    <s v="Cynthia Newsom"/>
    <n v="6.8654499999999992"/>
  </r>
  <r>
    <x v="245"/>
    <s v="SR 247913 Monitor PO 20066220"/>
    <s v="Won"/>
    <d v="2024-01-12T00:00:00"/>
    <n v="0"/>
    <s v="210-BGPK"/>
    <s v="Dell E2424HS 24&quot; LED LCD"/>
    <s v="IT/LAN Equipment"/>
    <n v="1"/>
    <n v="0"/>
    <n v="0"/>
    <m/>
    <n v="0"/>
    <m/>
    <m/>
    <n v="189"/>
    <n v="189"/>
    <n v="107.74"/>
    <n v="107.74"/>
    <s v="Jackie Moore"/>
    <n v="0"/>
  </r>
  <r>
    <x v="246"/>
    <s v="SR 247940 Acrobat Pro PO 50168379"/>
    <s v="Won"/>
    <d v="2024-01-12T00:00:00"/>
    <n v="0"/>
    <s v="65324394AD01A00"/>
    <s v="Adobe Acrobat Pro 2020"/>
    <s v="NRR - Agent Income"/>
    <n v="1"/>
    <n v="0"/>
    <n v="0"/>
    <m/>
    <n v="0"/>
    <m/>
    <m/>
    <n v="539"/>
    <n v="539"/>
    <n v="532.39"/>
    <n v="532.39"/>
    <s v="Jackie Moore"/>
    <n v="0"/>
  </r>
  <r>
    <x v="247"/>
    <s v="10456804 - UCC SSL Renwal For mail.lakewoodcountryclub.net"/>
    <s v="Won"/>
    <d v="2024-01-30T00:00:00"/>
    <n v="0"/>
    <s v="SSL Certificates:5726-2"/>
    <s v="Multiple Domain Unified Communications (UCC) Secure Sockets Layer (SSL) Certificate for up to 5 Domains - Annual"/>
    <s v="NRR - Agent Income"/>
    <n v="1"/>
    <n v="0"/>
    <n v="0"/>
    <m/>
    <n v="0"/>
    <m/>
    <m/>
    <n v="122"/>
    <n v="122"/>
    <n v="99.99"/>
    <n v="99.99"/>
    <s v="Jonathan DeFez"/>
    <n v="1.7608000000000004"/>
  </r>
  <r>
    <x v="247"/>
    <s v="10456804 - UCC SSL Renwal For mail.lakewoodcountryclub.net"/>
    <s v="Won"/>
    <d v="2024-01-30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149"/>
    <n v="149"/>
    <n v="0"/>
    <n v="0"/>
    <s v="Jonathan DeFez"/>
    <n v="5.96"/>
  </r>
  <r>
    <x v="248"/>
    <s v="SR 248015 Latitude 5540 Bundle PO 3003864"/>
    <s v="Won"/>
    <d v="2024-01-12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248"/>
    <s v="SR 248015 Latitude 5540 Bundle PO 3003864"/>
    <s v="Won"/>
    <d v="2024-01-12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248"/>
    <s v="SR 248015 Latitude 5540 Bundle PO 3003864"/>
    <s v="Won"/>
    <d v="2024-01-12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248"/>
    <s v="SR 248015 Latitude 5540 Bundle PO 3003864"/>
    <s v="Won"/>
    <d v="2024-01-12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248"/>
    <s v="SR 248015 Latitude 5540 Bundle PO 3003864"/>
    <s v="Won"/>
    <d v="2024-01-12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249"/>
    <s v="SR 248034 OptiPlex 7010 Monitor PO 50168387"/>
    <s v="Won"/>
    <d v="2024-01-12T00:00:00"/>
    <n v="0"/>
    <s v="338-CHBX"/>
    <s v="Dell OptiPlex 7010 Micro i5-13500T (6+8 Cores/24MB/20T/1.6GHz to 4.6GHz/35W), 16GB (1x16GB) DDR4, 512GB SSD, Windows 11"/>
    <s v="IT/LAN Equipment"/>
    <n v="1"/>
    <n v="0"/>
    <n v="0"/>
    <m/>
    <n v="0"/>
    <m/>
    <m/>
    <n v="1034"/>
    <n v="1034"/>
    <n v="775.11"/>
    <n v="775.11"/>
    <s v="Jackie Moore"/>
    <n v="0"/>
  </r>
  <r>
    <x v="249"/>
    <s v="SR 248034 OptiPlex 7010 Monitor PO 50168387"/>
    <s v="Won"/>
    <d v="2024-01-12T00:00:00"/>
    <n v="0"/>
    <s v="210-BGPK"/>
    <s v="Dell E2424HS 24&quot; LED LCD"/>
    <s v="IT/LAN Equipment"/>
    <n v="1"/>
    <n v="0"/>
    <n v="0"/>
    <m/>
    <n v="0"/>
    <m/>
    <m/>
    <n v="189"/>
    <n v="189"/>
    <n v="107.74"/>
    <n v="107.74"/>
    <s v="Jackie Moore"/>
    <n v="0"/>
  </r>
  <r>
    <x v="250"/>
    <s v="10437521 - 1-Year SSL Certificate Renewal for remote.coltmidstream.com"/>
    <s v="Won"/>
    <d v="2024-01-12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149"/>
    <n v="149"/>
    <n v="0"/>
    <n v="0"/>
    <s v="Jonathan DeFez"/>
    <n v="5.96"/>
  </r>
  <r>
    <x v="250"/>
    <s v="10437521 - 1-Year SSL Certificate Renewal for remote.coltmidstream.com"/>
    <s v="Won"/>
    <d v="2024-01-12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Jonathan DeFez"/>
    <n v="1.2008000000000005"/>
  </r>
  <r>
    <x v="251"/>
    <s v="SR 248045 Acrobat Pro PO 962640"/>
    <s v="Won"/>
    <d v="2024-01-12T00:00:00"/>
    <n v="0"/>
    <s v="65324394AD01A00"/>
    <s v="Adobe Acrobat Pro 2020"/>
    <s v="NRR - Agent Income"/>
    <n v="1"/>
    <n v="0"/>
    <n v="0"/>
    <m/>
    <n v="0"/>
    <m/>
    <m/>
    <n v="539"/>
    <n v="539"/>
    <n v="532.39"/>
    <n v="532.39"/>
    <s v="Jackie Moore"/>
    <n v="0"/>
  </r>
  <r>
    <x v="252"/>
    <s v="SR 248052 Latitude 5540 Bundle PO 3003865"/>
    <s v="Won"/>
    <d v="2024-01-12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252"/>
    <s v="SR 248052 Latitude 5540 Bundle PO 3003865"/>
    <s v="Won"/>
    <d v="2024-01-12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252"/>
    <s v="SR 248052 Latitude 5540 Bundle PO 3003865"/>
    <s v="Won"/>
    <d v="2024-01-12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252"/>
    <s v="SR 248052 Latitude 5540 Bundle PO 3003865"/>
    <s v="Won"/>
    <d v="2024-01-12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252"/>
    <s v="SR 248052 Latitude 5540 Bundle PO 3003865"/>
    <s v="Won"/>
    <d v="2024-01-12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253"/>
    <s v="10424729 - 1-Year 24/7 UTM Coterminous Renewal for Multiple Firewalls"/>
    <s v="Won"/>
    <d v="2024-01-30T00:00:00"/>
    <n v="0"/>
    <s v="FORTICO-TERM"/>
    <s v="Fortinet Co-Term Services for Multiple Firewalls - Coterm End Date 2025-03-20"/>
    <s v="IT/LAN Equipment"/>
    <n v="1"/>
    <n v="0"/>
    <n v="0"/>
    <m/>
    <n v="0"/>
    <m/>
    <m/>
    <n v="5965.72"/>
    <n v="5965.72"/>
    <n v="4772.58"/>
    <n v="4772.58"/>
    <s v="Jonathan DeFez"/>
    <n v="95.451200000000028"/>
  </r>
  <r>
    <x v="254"/>
    <s v="SR 248059 Latitude 5540 Bundle Monitors PO 32271"/>
    <s v="Won"/>
    <d v="2024-01-12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254"/>
    <s v="SR 248059 Latitude 5540 Bundle Monitors PO 32271"/>
    <s v="Won"/>
    <d v="2024-01-12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254"/>
    <s v="SR 248059 Latitude 5540 Bundle Monitors PO 32271"/>
    <s v="Won"/>
    <d v="2024-01-12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254"/>
    <s v="SR 248059 Latitude 5540 Bundle Monitors PO 32271"/>
    <s v="Won"/>
    <d v="2024-01-12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254"/>
    <s v="SR 248059 Latitude 5540 Bundle Monitors PO 32271"/>
    <s v="Won"/>
    <d v="2024-01-12T00:00:00"/>
    <n v="0"/>
    <s v="210-BGPK"/>
    <s v="Dell E2424HS 24&quot; LED LCD"/>
    <s v="IT/LAN Equipment"/>
    <n v="2"/>
    <n v="0"/>
    <n v="0"/>
    <m/>
    <n v="0"/>
    <m/>
    <m/>
    <n v="189"/>
    <n v="378"/>
    <n v="107.74"/>
    <n v="215.48"/>
    <s v="Jackie Moore"/>
    <n v="0"/>
  </r>
  <r>
    <x v="254"/>
    <s v="SR 248059 Latitude 5540 Bundle Monitors PO 32271"/>
    <s v="Won"/>
    <d v="2024-01-12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255"/>
    <s v="SR 248053 OptiPlex 7010 Monitors PO 50168399"/>
    <s v="Won"/>
    <d v="2024-01-12T00:00:00"/>
    <n v="0"/>
    <s v="338-CHBX"/>
    <s v="Dell OptiPlex 7010 Micro i5-13500T (6+8 Cores/24MB/20T/1.6GHz to 4.6GHz/35W), 16GB (1x16GB) DDR4, 512GB SSD, Windows 11"/>
    <s v="IT/LAN Equipment"/>
    <n v="1"/>
    <n v="0"/>
    <n v="0"/>
    <m/>
    <n v="0"/>
    <m/>
    <m/>
    <n v="1034"/>
    <n v="1034"/>
    <n v="775.11"/>
    <n v="775.11"/>
    <s v="Jackie Moore"/>
    <n v="0"/>
  </r>
  <r>
    <x v="255"/>
    <s v="SR 248053 OptiPlex 7010 Monitors PO 50168399"/>
    <s v="Won"/>
    <d v="2024-01-12T00:00:00"/>
    <n v="0"/>
    <s v="210-BGPK"/>
    <s v="Dell E2424HS 24&quot; LED LCD"/>
    <s v="IT/LAN Equipment"/>
    <n v="2"/>
    <n v="0"/>
    <n v="0"/>
    <m/>
    <n v="0"/>
    <m/>
    <m/>
    <n v="189"/>
    <n v="378"/>
    <n v="107.74"/>
    <n v="215.48"/>
    <s v="Jackie Moore"/>
    <n v="0"/>
  </r>
  <r>
    <x v="256"/>
    <s v="10419785 - SFPs and Fiber Cables - Ship to Weatherford"/>
    <s v="Won"/>
    <d v="2024-01-19T00:00:00"/>
    <n v="0"/>
    <s v="GLC-LX-SM-RGD-AO"/>
    <s v="AddOn Cisco GLC-LX-SM-RGD Compatible TAA Compliant 1000Base-LX SFP Transceiver (SMF, 1310nm, 10km, LC, DOM, Rugged) - 100% compatible and guaranteed to work"/>
    <s v="IT/LAN Equipment"/>
    <n v="7"/>
    <n v="0"/>
    <n v="0"/>
    <m/>
    <n v="0"/>
    <m/>
    <m/>
    <n v="66"/>
    <n v="462"/>
    <n v="53.41"/>
    <n v="373.87"/>
    <s v="Jonathan DeFez"/>
    <n v="7.0503999999999998"/>
  </r>
  <r>
    <x v="256"/>
    <s v="10419785 - SFPs and Fiber Cables - Ship to Weatherford"/>
    <s v="Won"/>
    <d v="2024-01-19T00:00:00"/>
    <n v="0"/>
    <s v="N368-01M"/>
    <s v="Tripp Lite by Eaton 1M Duplex Singlemode 9/125 Fiber Optic Patch Cable LC/ST 3' 3ft 1 Meter - LC Male - ST Male - 3.28ft - Yellow"/>
    <s v="IT/LAN Equipment"/>
    <n v="6"/>
    <n v="0"/>
    <n v="0"/>
    <m/>
    <n v="0"/>
    <m/>
    <m/>
    <n v="20"/>
    <n v="120"/>
    <n v="16.13"/>
    <n v="96.78"/>
    <s v="Jonathan DeFez"/>
    <n v="1.8575999999999999"/>
  </r>
  <r>
    <x v="257"/>
    <s v="SR 246668 OptiPlex 3000 Thin Client Monitor PO 50168370"/>
    <s v="Won"/>
    <d v="2024-01-12T00:00:00"/>
    <n v="0"/>
    <s v="210-BGPK"/>
    <s v="Dell E2424HS 24&quot; LED LCD"/>
    <s v="IT/LAN Equipment"/>
    <n v="1"/>
    <n v="0"/>
    <n v="0"/>
    <m/>
    <n v="0"/>
    <m/>
    <m/>
    <n v="189"/>
    <n v="189"/>
    <n v="107.74"/>
    <n v="107.74"/>
    <s v="Jackie Moore"/>
    <n v="0"/>
  </r>
  <r>
    <x v="257"/>
    <s v="SR 246668 OptiPlex 3000 Thin Client Monitor PO 50168370"/>
    <s v="Won"/>
    <d v="2024-01-12T00:00:00"/>
    <n v="0"/>
    <s v="210-BCIJ"/>
    <s v="Dell OptiPlex 3000 Thin Client Celeron N5105 32GB Flash 4GB RAM"/>
    <s v="IT/LAN Equipment"/>
    <n v="1"/>
    <n v="0"/>
    <n v="0"/>
    <m/>
    <n v="0"/>
    <m/>
    <m/>
    <n v="439"/>
    <n v="439"/>
    <n v="325.86"/>
    <n v="325.86"/>
    <s v="Jackie Moore"/>
    <n v="0"/>
  </r>
  <r>
    <x v="258"/>
    <s v="SR 247378 Latitude 5540 Bundle PO 50168400"/>
    <s v="Won"/>
    <d v="2024-01-12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258"/>
    <s v="SR 247378 Latitude 5540 Bundle PO 50168400"/>
    <s v="Won"/>
    <d v="2024-01-12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258"/>
    <s v="SR 247378 Latitude 5540 Bundle PO 50168400"/>
    <s v="Won"/>
    <d v="2024-01-12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258"/>
    <s v="SR 247378 Latitude 5540 Bundle PO 50168400"/>
    <s v="Won"/>
    <d v="2024-01-12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258"/>
    <s v="SR 247378 Latitude 5540 Bundle PO 50168400"/>
    <s v="Won"/>
    <d v="2024-01-12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259"/>
    <s v="Knowbe4 Implementation"/>
    <s v="Won"/>
    <d v="2024-01-16T00:00:00"/>
    <n v="105"/>
    <s v="MPC-PS-T3"/>
    <s v="Meriplex Tier 3 Engineer Labor"/>
    <s v="IT/LAN Installation"/>
    <n v="3.5"/>
    <n v="0"/>
    <n v="0"/>
    <m/>
    <n v="0"/>
    <m/>
    <m/>
    <n v="150"/>
    <n v="525"/>
    <n v="0"/>
    <n v="0"/>
    <s v="Lathrop Lougheed"/>
    <n v="21"/>
  </r>
  <r>
    <x v="259"/>
    <s v="Knowbe4 Implementation"/>
    <s v="Won"/>
    <d v="2024-01-16T00:00:00"/>
    <n v="105"/>
    <s v="MPC-PS-PM"/>
    <s v="Project Management"/>
    <s v="IT/LAN Installation"/>
    <n v="1"/>
    <n v="0"/>
    <n v="0"/>
    <m/>
    <n v="0"/>
    <m/>
    <m/>
    <n v="150"/>
    <n v="150"/>
    <n v="0"/>
    <n v="0"/>
    <s v="Lathrop Lougheed"/>
    <n v="6"/>
  </r>
  <r>
    <x v="260"/>
    <s v="FB Teams Dial2Teams Solutions - Austin"/>
    <s v="Won"/>
    <d v="2024-01-19T00:00:00"/>
    <n v="218.5"/>
    <s v="UCS-D2T-LOC="/>
    <s v="Meriplex Dial2Teams - Location"/>
    <s v="UCaaS"/>
    <n v="1"/>
    <n v="18"/>
    <n v="5.38"/>
    <m/>
    <n v="18"/>
    <m/>
    <m/>
    <n v="50"/>
    <n v="50"/>
    <n v="0"/>
    <n v="0"/>
    <s v="Rick Carlson"/>
    <n v="2"/>
  </r>
  <r>
    <x v="260"/>
    <s v="FB Teams Dial2Teams Solutions - Austin"/>
    <s v="Won"/>
    <d v="2024-01-19T00:00:00"/>
    <n v="218.5"/>
    <s v="UCS-D2T-CPP="/>
    <s v="Meriplex Dial2Teams - Calling Plan with Phone System Licensing"/>
    <s v="UCaaS"/>
    <n v="9"/>
    <n v="18.5"/>
    <n v="11.21"/>
    <m/>
    <n v="166.5"/>
    <m/>
    <m/>
    <n v="50"/>
    <n v="450"/>
    <n v="0"/>
    <n v="0"/>
    <s v="Rick Carlson"/>
    <n v="18"/>
  </r>
  <r>
    <x v="260"/>
    <s v="FB Teams Dial2Teams Solutions - Austin"/>
    <s v="Won"/>
    <d v="2024-01-19T00:00:00"/>
    <n v="218.5"/>
    <s v="V-DID-S1-P="/>
    <s v="Ported Standard Inbound DIDs (Tier 1)"/>
    <s v="Voice Services"/>
    <n v="40"/>
    <n v="0.5"/>
    <n v="0.17"/>
    <m/>
    <n v="20"/>
    <m/>
    <m/>
    <n v="3"/>
    <n v="120"/>
    <n v="9"/>
    <n v="360"/>
    <s v="Rick Carlson"/>
    <n v="4.8"/>
  </r>
  <r>
    <x v="261"/>
    <s v="SR 247942 Acrobat Pro PO 50168402"/>
    <s v="Won"/>
    <d v="2024-01-12T00:00:00"/>
    <n v="0"/>
    <s v="65324394AD01A00"/>
    <s v="Adobe Acrobat Pro 2020"/>
    <s v="NRR - Agent Income"/>
    <n v="1"/>
    <n v="0"/>
    <n v="0"/>
    <m/>
    <n v="0"/>
    <m/>
    <m/>
    <n v="539"/>
    <n v="539"/>
    <n v="532.39"/>
    <n v="532.39"/>
    <s v="Jackie Moore"/>
    <n v="0"/>
  </r>
  <r>
    <x v="262"/>
    <s v="10405235 - Renew Warranty on Lenovo SR250 Server BCERMLB S/N# J100VWNN"/>
    <s v="Won"/>
    <d v="2024-01-22T00:00:00"/>
    <n v="0"/>
    <s v="SP-SVR-4HO-12"/>
    <s v="Extended Server Warranty - Onsite - 4 Hour Response"/>
    <s v="IT/LAN Equipment"/>
    <n v="1"/>
    <n v="0"/>
    <n v="0"/>
    <m/>
    <n v="0"/>
    <m/>
    <m/>
    <n v="288"/>
    <n v="288"/>
    <n v="180"/>
    <n v="180"/>
    <s v="Jonathan DeFez"/>
    <n v="8.64"/>
  </r>
  <r>
    <x v="263"/>
    <s v="MPX LA - Fortinet FortiCare renewal"/>
    <s v="Won"/>
    <d v="2024-01-18T00:00:00"/>
    <n v="0"/>
    <s v="FC-10-0060F-585-02-12"/>
    <s v="FortiGate-60F 1 Year FortiAnalyzer Cloud: cloud-Based central logging &amp; analytics. Include All FortiGate log types, IOC Service, Security Automation Service and FortiGuard Outbreak Detection Service."/>
    <s v="IT/LAN Equipment"/>
    <n v="1"/>
    <n v="0"/>
    <n v="0"/>
    <m/>
    <n v="0"/>
    <m/>
    <m/>
    <n v="260"/>
    <n v="260"/>
    <n v="213.12"/>
    <n v="213.12"/>
    <s v="Mitch Verma"/>
    <n v="1.8751999999999998"/>
  </r>
  <r>
    <x v="263"/>
    <s v="MPX LA - Fortinet FortiCare renewal"/>
    <s v="Won"/>
    <d v="2024-01-18T00:00:00"/>
    <n v="0"/>
    <s v="FC-10-0060F-950-02-12"/>
    <s v="FortiGate-60F 1 Year Unified Threat Protection (UTP) (IPS, Advanced Malware Protection, Application Control, URL, DNS &amp; Video Filtering, Antispam Service, and FortiCare Premium)"/>
    <s v="IT/LAN Equipment"/>
    <n v="1"/>
    <n v="0"/>
    <n v="0"/>
    <m/>
    <n v="0"/>
    <m/>
    <m/>
    <n v="607"/>
    <n v="607"/>
    <n v="497.28"/>
    <n v="497.28"/>
    <s v="Mitch Verma"/>
    <n v="4.3888000000000016"/>
  </r>
  <r>
    <x v="263"/>
    <s v="MPX LA - Fortinet FortiCare renewal"/>
    <s v="Won"/>
    <d v="2024-01-18T00:00:00"/>
    <n v="0"/>
    <s v="FC-10-PF231-247-02-12"/>
    <s v="FortiAP-231F 1 Year FortiCare Premium Support"/>
    <s v="IT/LAN Equipment"/>
    <n v="1"/>
    <n v="0"/>
    <n v="0"/>
    <m/>
    <n v="0"/>
    <m/>
    <m/>
    <n v="67"/>
    <n v="67"/>
    <n v="54.48"/>
    <n v="54.48"/>
    <s v="Mitch Verma"/>
    <n v="0.50080000000000013"/>
  </r>
  <r>
    <x v="263"/>
    <s v="MPX LA - Fortinet FortiCare renewal"/>
    <s v="Won"/>
    <d v="2024-01-18T00:00:00"/>
    <n v="0"/>
    <s v="FC-10-WP12E-247-02-12"/>
    <s v="FortiSwitch-124E 1 Year FortiCare Premium Support"/>
    <s v="IT/LAN Equipment"/>
    <n v="1"/>
    <n v="0"/>
    <n v="0"/>
    <m/>
    <n v="0"/>
    <m/>
    <m/>
    <n v="48"/>
    <n v="48"/>
    <n v="39.119999999999997"/>
    <n v="39.119999999999997"/>
    <s v="Mitch Verma"/>
    <n v="0.35520000000000013"/>
  </r>
  <r>
    <x v="264"/>
    <s v="MPX LA - Cisco Catalyst Switch SMARTnet renewal"/>
    <s v="Won"/>
    <d v="2024-01-19T00:00:00"/>
    <n v="0"/>
    <s v="CON-SNTP-WSC3851S"/>
    <s v="Cisco SMARTnet Premium - Extended Service - Service - 24 x 7 x 4 Hour - Exchange - Physical"/>
    <s v="IT/LAN Equipment"/>
    <n v="1"/>
    <n v="0"/>
    <n v="0"/>
    <m/>
    <n v="0"/>
    <m/>
    <m/>
    <n v="1341"/>
    <n v="1341"/>
    <n v="1099.28"/>
    <n v="1099.28"/>
    <s v="Mitch Verma"/>
    <n v="9.6688000000000009"/>
  </r>
  <r>
    <x v="265"/>
    <s v="SR 248048 Precision 7780 Bundle PO 962641"/>
    <s v="Won"/>
    <d v="2024-01-12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265"/>
    <s v="SR 248048 Precision 7780 Bundle PO 962641"/>
    <s v="Won"/>
    <d v="2024-01-12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265"/>
    <s v="SR 248048 Precision 7780 Bundle PO 962641"/>
    <s v="Won"/>
    <d v="2024-01-12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265"/>
    <s v="SR 248048 Precision 7780 Bundle PO 962641"/>
    <s v="Won"/>
    <d v="2024-01-12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265"/>
    <s v="SR 248048 Precision 7780 Bundle PO 962641"/>
    <s v="Won"/>
    <d v="2024-01-12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266"/>
    <s v="10470421 - Under Counter UPS' for Each Site"/>
    <s v="Won"/>
    <d v="2024-01-12T00:00:00"/>
    <n v="0"/>
    <s v="AVR900U"/>
    <s v="UPS 900VA 480W Line-Interactive UPS - 12 NEMA 5-15R Outlets AVR 120V 50/60 Hz USB Desktop/Wall Mount - Ultra-compact Desktop/Tower/Wall Mount - AVR - 8 Hour Recharge - 2.70 Minute Stand-by - 120 V AC Input - 110 V AC, 115 V AC, 120 V A"/>
    <s v="IT/LAN Equipment"/>
    <n v="24"/>
    <n v="0"/>
    <n v="0"/>
    <m/>
    <n v="0"/>
    <m/>
    <m/>
    <n v="132"/>
    <n v="3168"/>
    <n v="108.21"/>
    <n v="2597.04"/>
    <s v="Jonathan DeFez"/>
    <n v="45.676800000000007"/>
  </r>
  <r>
    <x v="267"/>
    <s v="10304289 - Adobe Annual License Renewal"/>
    <s v="Won"/>
    <d v="2024-01-15T00:00:00"/>
    <n v="0"/>
    <s v="65304041BA01C12"/>
    <s v="12-Month Renewal Adobe Photoshop"/>
    <s v="NRR - Agent Income"/>
    <n v="1"/>
    <n v="0"/>
    <n v="0"/>
    <m/>
    <n v="0"/>
    <m/>
    <m/>
    <n v="455.88"/>
    <n v="455.88"/>
    <n v="444.89"/>
    <n v="444.89"/>
    <s v="Jonathan DeFez"/>
    <n v="0.87920000000000076"/>
  </r>
  <r>
    <x v="267"/>
    <s v="10304289 - Adobe Annual License Renewal"/>
    <s v="Won"/>
    <d v="2024-01-15T00:00:00"/>
    <n v="0"/>
    <s v="65324104BA01A12"/>
    <s v="12-Month Renewal Adobe Acrobat Pro"/>
    <s v="IT/LAN Equipment"/>
    <n v="3"/>
    <n v="0"/>
    <n v="0"/>
    <m/>
    <n v="0"/>
    <m/>
    <m/>
    <n v="287.88"/>
    <n v="863.64"/>
    <n v="265.99"/>
    <n v="797.97"/>
    <s v="Jonathan DeFez"/>
    <n v="5.2535999999999969"/>
  </r>
  <r>
    <x v="268"/>
    <s v="SR 248006 Precision 7780 Bundle PO 50168382"/>
    <s v="Won"/>
    <d v="2024-01-12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268"/>
    <s v="SR 248006 Precision 7780 Bundle PO 50168382"/>
    <s v="Won"/>
    <d v="2024-01-12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268"/>
    <s v="SR 248006 Precision 7780 Bundle PO 50168382"/>
    <s v="Won"/>
    <d v="2024-01-12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268"/>
    <s v="SR 248006 Precision 7780 Bundle PO 50168382"/>
    <s v="Won"/>
    <d v="2024-01-12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268"/>
    <s v="SR 248006 Precision 7780 Bundle PO 50168382"/>
    <s v="Won"/>
    <d v="2024-01-12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269"/>
    <s v="SR 248041 Precision 7780 Bundle PO 962639"/>
    <s v="Won"/>
    <d v="2024-01-12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269"/>
    <s v="SR 248041 Precision 7780 Bundle PO 962639"/>
    <s v="Won"/>
    <d v="2024-01-12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269"/>
    <s v="SR 248041 Precision 7780 Bundle PO 962639"/>
    <s v="Won"/>
    <d v="2024-01-12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269"/>
    <s v="SR 248041 Precision 7780 Bundle PO 962639"/>
    <s v="Won"/>
    <d v="2024-01-12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269"/>
    <s v="SR 248041 Precision 7780 Bundle PO 962639"/>
    <s v="Won"/>
    <d v="2024-01-12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270"/>
    <s v="10468370 - Monitoring Alert / NorthShore Medical Group Certificate Expiration for access.northshore"/>
    <s v="Won"/>
    <d v="2024-01-25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Lathrop Lougheed"/>
    <n v="1.2008000000000005"/>
  </r>
  <r>
    <x v="270"/>
    <s v="10468370 - Monitoring Alert / NorthShore Medical Group Certificate Expiration for access.northshore"/>
    <s v="Won"/>
    <d v="2024-01-25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149"/>
    <n v="149"/>
    <n v="0"/>
    <n v="0"/>
    <s v="Lathrop Lougheed"/>
    <n v="5.96"/>
  </r>
  <r>
    <x v="271"/>
    <s v="SR 248049 Precision 7780 Bundle PO 50168420"/>
    <s v="Won"/>
    <d v="2024-01-12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271"/>
    <s v="SR 248049 Precision 7780 Bundle PO 50168420"/>
    <s v="Won"/>
    <d v="2024-01-12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271"/>
    <s v="SR 248049 Precision 7780 Bundle PO 50168420"/>
    <s v="Won"/>
    <d v="2024-01-12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271"/>
    <s v="SR 248049 Precision 7780 Bundle PO 50168420"/>
    <s v="Won"/>
    <d v="2024-01-12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271"/>
    <s v="SR 248049 Precision 7780 Bundle PO 50168420"/>
    <s v="Won"/>
    <d v="2024-01-12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272"/>
    <s v="10435042 - Monitoring Alert / NW Renal Clinic Certificate Expiration for *.nwrc.com"/>
    <s v="Won"/>
    <d v="2024-01-26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Lathrop Lougheed"/>
    <n v="1.2008000000000005"/>
  </r>
  <r>
    <x v="272"/>
    <s v="10435042 - Monitoring Alert / NW Renal Clinic Certificate Expiration for *.nwrc.com"/>
    <s v="Won"/>
    <d v="2024-01-26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149"/>
    <n v="149"/>
    <n v="0"/>
    <n v="0"/>
    <s v="Lathrop Lougheed"/>
    <n v="5.96"/>
  </r>
  <r>
    <x v="273"/>
    <s v="MPX LA - Cisco 110 Series 8-Port Unmanaged Gigabit Desktop Switch"/>
    <s v="Won"/>
    <d v="2024-01-22T00:00:00"/>
    <n v="0"/>
    <s v="SE3008"/>
    <s v="Linksys 8-Port Gigabit Ethernet Switch - 8 Ports - Gigabit Ethernet - 10/100/1000Base-T - 2 Layer Supported - Twisted Pair - Wall Mountable - 1 Year Limited Warranty"/>
    <s v="IT/LAN Equipment"/>
    <n v="1"/>
    <n v="0"/>
    <n v="0"/>
    <m/>
    <n v="0"/>
    <m/>
    <m/>
    <n v="80"/>
    <n v="80"/>
    <n v="44.99"/>
    <n v="44.99"/>
    <s v="Mitch Verma"/>
    <n v="1.4003999999999999"/>
  </r>
  <r>
    <x v="274"/>
    <s v="Quote #MPS122843 Per Service Ticket # 10469434 - Windows 11 Home to Pro Upgrade for Microsoft 365 Bu"/>
    <s v="Won"/>
    <d v="2024-01-16T00:00:00"/>
    <n v="0"/>
    <s v="DG7GMGF0D8H4:0002"/>
    <s v="Windows 11 Home to Pro Upgrade for Microsoft 365 B"/>
    <s v="IT/LAN Equipment"/>
    <n v="4"/>
    <n v="0"/>
    <n v="0"/>
    <m/>
    <n v="0"/>
    <m/>
    <m/>
    <n v="49"/>
    <n v="196"/>
    <n v="41.65"/>
    <n v="166.6"/>
    <s v="Kade Thurman"/>
    <n v="0"/>
  </r>
  <r>
    <x v="275"/>
    <s v="#10402809 - Yamhill Community Care Organization - Other SonicWALL TotalSecure Securit"/>
    <s v="Won"/>
    <d v="2024-01-16T00:00:00"/>
    <n v="0"/>
    <s v="01-SSC-1440"/>
    <s v="SonicWall Advanced Gateway Security Suite For TZ 400 - Subscription License - 1 License - 1 Year - TAA Compliant"/>
    <s v="IT/LAN Equipment"/>
    <n v="1"/>
    <n v="0"/>
    <n v="0"/>
    <m/>
    <n v="0"/>
    <m/>
    <m/>
    <n v="1232.21"/>
    <n v="1232.21"/>
    <n v="862.55"/>
    <n v="862.55"/>
    <s v="Lathrop Lougheed"/>
    <n v="29.572800000000008"/>
  </r>
  <r>
    <x v="276"/>
    <s v="#10470849 - Edward Brooks / Computer replacement request"/>
    <s v="Won"/>
    <d v="2024-01-16T00:00:00"/>
    <n v="0"/>
    <s v="819-9625"/>
    <s v="Dell Upgrade from 3Y Next Business Day to 3Y ProSupport"/>
    <s v="IT/LAN Equipment"/>
    <n v="1"/>
    <n v="0"/>
    <n v="0"/>
    <m/>
    <n v="0"/>
    <m/>
    <m/>
    <n v="68"/>
    <n v="68"/>
    <n v="55.4"/>
    <n v="55.4"/>
    <s v="Lathrop Lougheed"/>
    <n v="1.0080000000000002"/>
  </r>
  <r>
    <x v="276"/>
    <s v="#10470849 - Edward Brooks / Computer replacement request"/>
    <s v="Won"/>
    <d v="2024-01-16T00:00:00"/>
    <n v="0"/>
    <s v="W1JF2"/>
    <s v="Dell OptiPlex 7000 7010 Desktop Computer - Intel Core i7 13th Gen i7-13700 Hexadeca-core (16 Core) 2.10 GHz - 32 GB RAM DDR5 SDRAM - 512 GB M.2 PCI Express NVMe SSD - Black - Intel Chip - Windows 11 Pro - Intel UHD Graphics 770 DDR5 SDRAM - DVD-Writer - E"/>
    <s v="IT/LAN Equipment"/>
    <n v="1"/>
    <n v="0"/>
    <n v="0"/>
    <m/>
    <n v="0"/>
    <m/>
    <m/>
    <n v="1626"/>
    <n v="1626"/>
    <n v="1332.87"/>
    <n v="1332.87"/>
    <s v="Lathrop Lougheed"/>
    <n v="23.450400000000009"/>
  </r>
  <r>
    <x v="277"/>
    <s v="Quote #MPS122851 Per Service Ticket #10462722 - UPS Replacement"/>
    <s v="Won"/>
    <d v="2024-01-15T00:00:00"/>
    <n v="0"/>
    <s v="SMT1500RM2UCNC"/>
    <s v="APC by Schneider Electric Smart-UPS 1500VA Rack-Mountable UPS - 2U Rack-mountable - AVR - 3 Hour Recharge - 7.15 Minute Stand-by - 120 V Input - 120 V AC Output - Pure Sine Wave - USB - LCD Display - 6 x NEMA 5-15R"/>
    <s v="IT/LAN Equipment"/>
    <n v="1"/>
    <n v="0"/>
    <n v="0"/>
    <m/>
    <n v="0"/>
    <m/>
    <m/>
    <n v="1223"/>
    <n v="1223"/>
    <n v="1002.31"/>
    <n v="1002.31"/>
    <s v="Kade Thurman"/>
    <n v="0"/>
  </r>
  <r>
    <x v="277"/>
    <s v="Quote #MPS122851 Per Service Ticket #10462722 - UPS Replacement"/>
    <s v="Won"/>
    <d v="2024-01-15T00:00:00"/>
    <n v="0"/>
    <s v="WBEXTWAR3YR-SP-03"/>
    <s v="APC by Schneider Electric Service Pack - Extended Warranty - 3 Year - Warranty - Technical - Physical"/>
    <s v="IT/LAN Equipment"/>
    <n v="1"/>
    <n v="0"/>
    <n v="0"/>
    <m/>
    <n v="0"/>
    <m/>
    <m/>
    <n v="171"/>
    <n v="171"/>
    <n v="140.19"/>
    <n v="140.19"/>
    <s v="Kade Thurman"/>
    <n v="0"/>
  </r>
  <r>
    <x v="278"/>
    <s v="Meraki wifi renewal"/>
    <s v="Won"/>
    <d v="2024-01-19T00:00:00"/>
    <n v="0"/>
    <s v="LIC-ENT-3YR"/>
    <s v="Meraki MR Enterprise Cloud Controller License, 3 Years - Meraki MR Series Access Point - Subscription License 1 Access Point - 3 Year License Validation Period"/>
    <s v="IT/LAN Equipment"/>
    <n v="2"/>
    <n v="0"/>
    <n v="0"/>
    <m/>
    <n v="0"/>
    <m/>
    <m/>
    <n v="281"/>
    <n v="562"/>
    <n v="230.3"/>
    <n v="460.6"/>
    <s v="Lathrop Lougheed"/>
    <n v="8.1119999999999983"/>
  </r>
  <r>
    <x v="279"/>
    <s v="MPX LA - Domain renewals"/>
    <s v="Won"/>
    <d v="2024-01-18T00:00:00"/>
    <n v="0"/>
    <s v="VMS - Domain Reg/Renewal"/>
    <s v="Domain Registration/Renewal"/>
    <s v="IT/LAN Equipment"/>
    <n v="1"/>
    <n v="0"/>
    <n v="0"/>
    <m/>
    <n v="0"/>
    <m/>
    <m/>
    <n v="19.989999999999998"/>
    <n v="19.989999999999998"/>
    <n v="12.17"/>
    <n v="12.17"/>
    <s v="Mitch Verma"/>
    <n v="0.31279999999999997"/>
  </r>
  <r>
    <x v="280"/>
    <s v="Quote #MPS122862 Per Service Ticket #10477232 - Cisco SmartNet Renewal - San Antonio"/>
    <s v="Won"/>
    <d v="2024-01-22T00:00:00"/>
    <n v="0"/>
    <s v="CON-SNT-VG310ICV"/>
    <s v="Cisco SMARTnet - Extended Service - Service - 8 x 5 x Next Business Day - Exchange - Physical"/>
    <s v="IT/LAN Equipment"/>
    <n v="2"/>
    <n v="0"/>
    <n v="0"/>
    <m/>
    <n v="0"/>
    <m/>
    <m/>
    <n v="573"/>
    <n v="1146"/>
    <n v="475.59"/>
    <n v="951.18"/>
    <s v="Kade Thurman"/>
    <n v="0"/>
  </r>
  <r>
    <x v="281"/>
    <s v="MPX LA - Domain renewals"/>
    <s v="Won"/>
    <d v="2024-01-18T00:00:00"/>
    <n v="0"/>
    <s v="Network Solutions"/>
    <s v="Domain Name Renewal - Per Year"/>
    <s v="IT/LAN Equipment"/>
    <n v="1"/>
    <n v="0"/>
    <n v="0"/>
    <m/>
    <n v="0"/>
    <m/>
    <m/>
    <n v="64.95"/>
    <n v="64.95"/>
    <n v="44.34"/>
    <n v="44.34"/>
    <s v="Mitch Verma"/>
    <n v="0.82440000000000002"/>
  </r>
  <r>
    <x v="282"/>
    <s v="MPX LA - SSL Certificate renewal"/>
    <s v="Won"/>
    <d v="2024-01-19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Mitch Verma"/>
    <n v="0.60040000000000027"/>
  </r>
  <r>
    <x v="283"/>
    <s v="MPX LA - Domain renewals"/>
    <s v="Won"/>
    <d v="2024-01-16T00:00:00"/>
    <n v="0"/>
    <s v="VMS - Domain Reg/Renewal"/>
    <s v="Domain Registration/Renewal"/>
    <s v="IT/LAN Equipment"/>
    <n v="1"/>
    <n v="0"/>
    <n v="0"/>
    <m/>
    <n v="0"/>
    <m/>
    <m/>
    <n v="19.989999999999998"/>
    <n v="19.989999999999998"/>
    <n v="12.17"/>
    <n v="12.17"/>
    <s v="Mitch Verma"/>
    <n v="0.31279999999999997"/>
  </r>
  <r>
    <x v="284"/>
    <s v="Adobe - Arden Eng"/>
    <s v="Won"/>
    <d v="2024-01-15T00:00:00"/>
    <n v="0"/>
    <s v="65304050BA03C12"/>
    <s v="12MO SUB REAL INDESIGN FOR LICS TEAMS MPLAT L3 5099"/>
    <s v="NRR - Agent Income"/>
    <n v="1"/>
    <n v="0"/>
    <n v="0"/>
    <m/>
    <n v="0"/>
    <m/>
    <m/>
    <n v="517.19000000000005"/>
    <n v="517.19000000000005"/>
    <n v="413.75"/>
    <n v="413.75"/>
    <s v="Judas Schaeffer"/>
    <n v="0"/>
  </r>
  <r>
    <x v="284"/>
    <s v="Adobe - Arden Eng"/>
    <s v="Won"/>
    <d v="2024-01-15T00:00:00"/>
    <n v="0"/>
    <s v="65297908BA03A12"/>
    <s v="12MO SUB RNWL ACROBAT STANDARD MLIC DC FOR TEAM ALL WIN L3 50-99"/>
    <s v="NRR - Agent Income"/>
    <n v="45"/>
    <n v="0"/>
    <n v="0"/>
    <m/>
    <n v="0"/>
    <m/>
    <m/>
    <n v="187.04"/>
    <n v="8416.7999999999993"/>
    <n v="149.63"/>
    <n v="6733.3499999999995"/>
    <s v="Judas Schaeffer"/>
    <n v="0"/>
  </r>
  <r>
    <x v="284"/>
    <s v="Adobe - Arden Eng"/>
    <s v="Won"/>
    <d v="2024-01-15T00:00:00"/>
    <n v="0"/>
    <s v="65304052BA03C12"/>
    <s v="12MO SUB RENEWAL ILLUSTRATOR LICS FOR TEAMS ALL MPLAT L3 50-99"/>
    <s v="NRR - Agent Income"/>
    <n v="1"/>
    <n v="0"/>
    <n v="0"/>
    <m/>
    <n v="0"/>
    <m/>
    <m/>
    <n v="517.19000000000005"/>
    <n v="517.19000000000005"/>
    <n v="413.75"/>
    <n v="413.75"/>
    <s v="Judas Schaeffer"/>
    <n v="0"/>
  </r>
  <r>
    <x v="284"/>
    <s v="Adobe - Arden Eng"/>
    <s v="Won"/>
    <d v="2024-01-15T00:00:00"/>
    <n v="0"/>
    <s v="65304041BA03C12"/>
    <s v="12MO SUB REAL PHOTOSHOP FOR LICS TEAMS MPLAT L3 5099"/>
    <s v="NRR - Agent Income"/>
    <n v="1"/>
    <n v="0"/>
    <n v="0"/>
    <m/>
    <n v="0"/>
    <m/>
    <m/>
    <n v="517.19000000000005"/>
    <n v="517.19000000000005"/>
    <n v="413.75"/>
    <n v="413.75"/>
    <s v="Judas Schaeffer"/>
    <n v="0"/>
  </r>
  <r>
    <x v="284"/>
    <s v="Adobe - Arden Eng"/>
    <s v="Won"/>
    <d v="2024-01-15T00:00:00"/>
    <n v="0"/>
    <s v="65324104BA03A12"/>
    <s v="12MO SUB LICS TEAMS ACROBAT PROMLIC CUST ONLY RNWL MPLAT L3 50-99"/>
    <s v="NRR - Agent Income"/>
    <n v="2"/>
    <n v="0"/>
    <n v="0"/>
    <m/>
    <n v="0"/>
    <m/>
    <m/>
    <n v="299.31"/>
    <n v="598.62"/>
    <n v="239.45"/>
    <n v="478.9"/>
    <s v="Judas Schaeffer"/>
    <n v="0"/>
  </r>
  <r>
    <x v="285"/>
    <s v="MPX LA - Quote for Cisco Small Business Switch"/>
    <s v="Won"/>
    <d v="2024-01-22T00:00:00"/>
    <n v="0"/>
    <s v="SE3008"/>
    <s v="Linksys 8-Port Gigabit Ethernet Switch - 8 Ports - Gigabit Ethernet - 10/100/1000Base-T - 2 Layer Supported - Twisted Pair - Wall Mountable - 1 Year Limited Warranty"/>
    <s v="IT/LAN Equipment"/>
    <n v="1"/>
    <n v="0"/>
    <n v="0"/>
    <m/>
    <n v="0"/>
    <m/>
    <m/>
    <n v="80"/>
    <n v="80"/>
    <n v="44.99"/>
    <n v="44.99"/>
    <s v="Mitch Verma"/>
    <n v="1.4003999999999999"/>
  </r>
  <r>
    <x v="286"/>
    <s v="MPX LA - Quote for Cisco Small Business Switch"/>
    <s v="Won"/>
    <d v="2024-01-22T00:00:00"/>
    <n v="0"/>
    <s v="SE3008"/>
    <s v="Linksys 8-Port Gigabit Ethernet Switch - 8 Ports - Gigabit Ethernet - 10/100/1000Base-T - 2 Layer Supported - Twisted Pair - Wall Mountable - 1 Year Limited Warranty"/>
    <s v="IT/LAN Equipment"/>
    <n v="1"/>
    <n v="0"/>
    <n v="0"/>
    <m/>
    <n v="0"/>
    <m/>
    <m/>
    <n v="80"/>
    <n v="80"/>
    <n v="44.99"/>
    <n v="44.99"/>
    <s v="Mitch Verma"/>
    <n v="1.4003999999999999"/>
  </r>
  <r>
    <x v="287"/>
    <s v="Amendment to MPS119994 adding Professional Services Labor"/>
    <s v="Won"/>
    <d v="2024-01-30T00:00:00"/>
    <n v="0"/>
    <s v="MPC-PS-T3"/>
    <s v="Meriplex Tier 3 Engineer Labor"/>
    <s v="IT/LAN Installation"/>
    <n v="4"/>
    <n v="0"/>
    <n v="0"/>
    <m/>
    <n v="0"/>
    <m/>
    <m/>
    <n v="225"/>
    <n v="900"/>
    <n v="0"/>
    <n v="0"/>
    <s v="Michael True"/>
    <n v="36"/>
  </r>
  <r>
    <x v="288"/>
    <s v="MPX LA - Website Hosting"/>
    <s v="Won"/>
    <d v="2024-01-16T00:00:00"/>
    <n v="0"/>
    <s v="VMS - VSI-Web Hosting"/>
    <s v="Website Hosting - mtsusa.net - 1 Year"/>
    <s v="IT/LAN Equipment"/>
    <n v="1"/>
    <n v="0"/>
    <n v="0"/>
    <m/>
    <n v="0"/>
    <m/>
    <m/>
    <n v="300"/>
    <n v="300"/>
    <n v="0"/>
    <n v="0"/>
    <s v="Mitch Verma"/>
    <n v="12"/>
  </r>
  <r>
    <x v="289"/>
    <s v="10478348 - Change Order--Ticket # 10162811 - Adobe Annual Nonprofit Subscription License Renewal"/>
    <s v="Won"/>
    <d v="2024-01-15T00:00:00"/>
    <n v="0"/>
    <s v="65272451BB02A10"/>
    <s v="Adobe Creative Cloud CC MLP Named Renewal 10 Month"/>
    <s v="IT/LAN Equipment"/>
    <n v="5"/>
    <n v="0"/>
    <n v="0"/>
    <m/>
    <n v="0"/>
    <m/>
    <m/>
    <n v="307.89999999999998"/>
    <n v="1539.5"/>
    <n v="287.45"/>
    <n v="1437.25"/>
    <s v="Jonathan DeFez"/>
    <n v="8.18"/>
  </r>
  <r>
    <x v="289"/>
    <s v="10478348 - Change Order--Ticket # 10162811 - Adobe Annual Nonprofit Subscription License Renewal"/>
    <s v="Won"/>
    <d v="2024-01-15T00:00:00"/>
    <n v="0"/>
    <s v="65272480BB02A12"/>
    <s v="Adobe Creative Cloud CC MLP Named Renewal 12 Month"/>
    <s v="IT/LAN Equipment"/>
    <n v="-8"/>
    <n v="0"/>
    <n v="0"/>
    <m/>
    <n v="0"/>
    <m/>
    <m/>
    <n v="369.48"/>
    <n v="-2955.84"/>
    <n v="342.45"/>
    <n v="-2739.6"/>
    <s v="Jonathan DeFez"/>
    <n v="-17.29920000000002"/>
  </r>
  <r>
    <x v="290"/>
    <s v="10196469 - Adobe Nonprofit Subscriptions - Annual Renewal - VIP # A1B1E6C24CA69868680A"/>
    <s v="Won"/>
    <d v="2024-01-15T00:00:00"/>
    <n v="0"/>
    <s v="65297993BB02A12"/>
    <s v="Adobe Acrobat Pro DC for teams Annual Renewal"/>
    <s v="IT/LAN Equipment"/>
    <n v="12"/>
    <n v="0"/>
    <n v="0"/>
    <m/>
    <n v="0"/>
    <m/>
    <m/>
    <n v="177.36"/>
    <n v="2128.3200000000002"/>
    <n v="166.23"/>
    <n v="1994.7599999999998"/>
    <s v="John Sobernheim"/>
    <n v="11.352600000000034"/>
  </r>
  <r>
    <x v="291"/>
    <s v="AO- Jan 15, 3 laptops"/>
    <s v="Won"/>
    <d v="2024-01-16T00:00:00"/>
    <n v="0"/>
    <s v="MDPNX"/>
    <s v="Dell Latitude 3440 14&quot; Notebook - Full HD - 1920 x 1080 - Intel Core i5 13th Gen i5-1335U Deca-core (10 Core) - 16 GB Total RAM - 256 GB SSD - Space Gray - Intel Chip - Windows 11 Pro - Intel Iris Xe Graphics - In-plane Switching (IPS) Technology - Englis"/>
    <s v="IT/LAN Equipment"/>
    <n v="3"/>
    <n v="0"/>
    <n v="0"/>
    <m/>
    <n v="0"/>
    <m/>
    <m/>
    <n v="1053.28"/>
    <n v="3159.84"/>
    <n v="863.69"/>
    <n v="2591.0700000000002"/>
    <s v="Michael True"/>
    <n v="48.34545"/>
  </r>
  <r>
    <x v="291"/>
    <s v="AO- Jan 15, 3 laptops"/>
    <s v="Won"/>
    <d v="2024-01-16T00:00:00"/>
    <n v="0"/>
    <s v="808-3105"/>
    <s v="Upgrade from 1Y Next Business Day to 3Y Next Business Day"/>
    <s v="IT/LAN Equipment"/>
    <n v="3"/>
    <n v="0"/>
    <n v="0"/>
    <m/>
    <n v="0"/>
    <m/>
    <m/>
    <n v="101.39"/>
    <n v="304.17"/>
    <n v="83.14"/>
    <n v="249.42000000000002"/>
    <s v="Michael True"/>
    <n v="4.6537500000000005"/>
  </r>
  <r>
    <x v="292"/>
    <s v="Quote #MPS122902 Per Service Ticket #10478901 - Cisco SmartNet Renewal - Westborough"/>
    <s v="Won"/>
    <d v="2024-01-22T00:00:00"/>
    <n v="0"/>
    <s v="CON-SNT-VG310ICV"/>
    <s v="Cisco SMARTnet - Extended Service - Service - 8 x 5 x Next Business Day - Exchange - Physical"/>
    <s v="IT/LAN Equipment"/>
    <n v="2"/>
    <n v="0"/>
    <n v="0"/>
    <m/>
    <n v="0"/>
    <m/>
    <m/>
    <n v="573"/>
    <n v="1146"/>
    <n v="475.59"/>
    <n v="951.18"/>
    <s v="Kade Thurman"/>
    <n v="0"/>
  </r>
  <r>
    <x v="293"/>
    <s v="Colt Midstream-Surface Pro"/>
    <s v="Won"/>
    <d v="2024-01-30T00:00:00"/>
    <n v="0"/>
    <s v="Shipped"/>
    <s v="PC(s) will be built, updated and configured and then shipped to the client from the Meriplex Office"/>
    <s v="IT/LAN Installation"/>
    <n v="1"/>
    <n v="0"/>
    <n v="0"/>
    <m/>
    <n v="0"/>
    <m/>
    <m/>
    <n v="149"/>
    <n v="149"/>
    <n v="0"/>
    <n v="0"/>
    <s v="Jonathan DeFez"/>
    <n v="5.96"/>
  </r>
  <r>
    <x v="293"/>
    <s v="Colt Midstream-Surface Pro"/>
    <s v="Won"/>
    <d v="2024-01-30T00:00:00"/>
    <n v="0"/>
    <s v="QIY-00001"/>
    <s v="Microsoft Surface Pro 9 Tablet - 13&quot; - Core i7 12th Gen i7-1265U Deca-core (10 Core) - 16 GB RAM - 512 GB SSD - Windows 11 Pro 64-bit - Platinum - 2880 x 1920 - PixelSense Display - 15.50 Hours Maximum Battery Run Time"/>
    <s v="IT/LAN Equipment"/>
    <n v="1"/>
    <n v="0"/>
    <n v="0"/>
    <m/>
    <n v="0"/>
    <m/>
    <m/>
    <n v="2059.6799999999998"/>
    <n v="2059.6799999999998"/>
    <n v="1791.03"/>
    <n v="1791.03"/>
    <s v="Jonathan DeFez"/>
    <n v="21.49199999999999"/>
  </r>
  <r>
    <x v="294"/>
    <s v="ProSupport LIC#: APM00200206517 - EH National Bank"/>
    <s v="Won"/>
    <d v="2024-01-16T00:00:00"/>
    <n v="0"/>
    <s v="D4BD6C25F"/>
    <s v="UNITY 380 DPE 25 X 2.5 DELL FLD RCK| Recertification Health Check Midrange | 1/6/2024-1/6/2024"/>
    <s v="IT/LAN Equipment"/>
    <n v="1"/>
    <n v="0"/>
    <n v="0"/>
    <m/>
    <n v="0"/>
    <m/>
    <m/>
    <n v="4076.09"/>
    <n v="4076.09"/>
    <n v="3260.87"/>
    <n v="3260.87"/>
    <s v="Andrew Harp"/>
    <n v="65.217600000000019"/>
  </r>
  <r>
    <x v="294"/>
    <s v="ProSupport LIC#: APM00200206517 - EH National Bank"/>
    <s v="Won"/>
    <d v="2024-01-16T00:00:00"/>
    <n v="0"/>
    <s v="D4-2S10-1800U"/>
    <s v="D4 1.8TB 10K SAS 25X2.5 DRIVE UPG | PROSUPPORT PLUS 4HR/MC HARDWARE SUPPORT | 1/7/2023-12/31/2024"/>
    <s v="IT/LAN Equipment"/>
    <n v="1"/>
    <n v="0"/>
    <n v="0"/>
    <m/>
    <n v="0"/>
    <m/>
    <m/>
    <n v="2272.88"/>
    <n v="2272.88"/>
    <n v="1818.3"/>
    <n v="1818.3"/>
    <s v="Andrew Harp"/>
    <n v="36.366400000000013"/>
  </r>
  <r>
    <x v="294"/>
    <s v="ProSupport LIC#: APM00200206517 - EH National Bank"/>
    <s v="Won"/>
    <d v="2024-01-16T00:00:00"/>
    <n v="0"/>
    <s v="D4BD6C25F"/>
    <s v="UNITY 380 DPE 25 X 2.5 DELL FLD RCK | PROSUPPORT PLUS 4HR/MC HARDWARE SUPPORT | 1/7/2023-12/31/2024"/>
    <s v="IT/LAN Equipment"/>
    <n v="1"/>
    <n v="0"/>
    <n v="0"/>
    <m/>
    <n v="0"/>
    <m/>
    <m/>
    <n v="1878.14"/>
    <n v="1878.14"/>
    <n v="1502.51"/>
    <n v="1502.51"/>
    <s v="Andrew Harp"/>
    <n v="30.05040000000001"/>
  </r>
  <r>
    <x v="294"/>
    <s v="ProSupport LIC#: APM00200206517 - EH National Bank"/>
    <s v="Won"/>
    <d v="2024-01-16T00:00:00"/>
    <n v="0"/>
    <s v="D4SP-4X1800-10K"/>
    <s v="D4 SYSPACK 4X1.8TGB 10K SAS 25X2.5 | PROSUPPORT PLUS 4HR/MC HARDWARE SUPPORT | 1/7/2023-12/31/2024"/>
    <s v="IT/LAN Equipment"/>
    <n v="1"/>
    <n v="0"/>
    <n v="0"/>
    <m/>
    <n v="0"/>
    <m/>
    <m/>
    <n v="950.48"/>
    <n v="950.48"/>
    <n v="760.38"/>
    <n v="760.38"/>
    <s v="Andrew Harp"/>
    <n v="15.208000000000002"/>
  </r>
  <r>
    <x v="294"/>
    <s v="ProSupport LIC#: APM00200206517 - EH National Bank"/>
    <s v="Won"/>
    <d v="2024-01-16T00:00:00"/>
    <n v="0"/>
    <s v="D4-2S10-1800"/>
    <s v="D4 1.8TB 10K SAS 25X2.5 DRIVE | PROSUPPORT PLUS 4HR/MC HARDWARE SUPPORT | 1/7/2023-12/31/2024"/>
    <s v="IT/LAN Equipment"/>
    <n v="1"/>
    <n v="0"/>
    <n v="0"/>
    <m/>
    <n v="0"/>
    <m/>
    <m/>
    <n v="237.62"/>
    <n v="237.62"/>
    <n v="190.1"/>
    <n v="190.1"/>
    <s v="Andrew Harp"/>
    <n v="3.801600000000001"/>
  </r>
  <r>
    <x v="295"/>
    <s v="New Location - Midland - LTE, SDWAN, Switch, and WAP + Install"/>
    <s v="Won"/>
    <d v="2024-01-17T00:00:00"/>
    <n v="549"/>
    <s v="FS-224D-FPOE"/>
    <s v="Fortinet FortiSwitch 224D-FPOE Ethernet Switch - 24 Ports - Manageable - Gigabit Ethernet - 1000Base-X, 1000Base-T - 3 Layer Supported - 2 SFP Slots - Twisted Pair, Optical Fiber - 1U High - Rack-mountable - Lifetime Limited Warranty"/>
    <s v="IT/LAN Equipment"/>
    <n v="1"/>
    <n v="0"/>
    <n v="0"/>
    <m/>
    <n v="0"/>
    <m/>
    <m/>
    <n v="1429.21"/>
    <n v="1429.21"/>
    <n v="1171.95"/>
    <n v="1171.95"/>
    <s v="Erminio Lalli"/>
    <n v="20.5808"/>
  </r>
  <r>
    <x v="295"/>
    <s v="New Location - Midland - LTE, SDWAN, Switch, and WAP + Install"/>
    <s v="Won"/>
    <d v="2024-01-17T00:00:00"/>
    <n v="549"/>
    <s v="SDW-VCE510="/>
    <s v="SDWAN Managed Edge 510 Appliance"/>
    <s v="SD-WAN"/>
    <n v="1"/>
    <n v="25"/>
    <n v="0.97"/>
    <m/>
    <n v="25"/>
    <m/>
    <m/>
    <n v="300"/>
    <n v="300"/>
    <n v="375.2"/>
    <n v="375.2"/>
    <s v="Erminio Lalli"/>
    <n v="12"/>
  </r>
  <r>
    <x v="295"/>
    <s v="New Location - Midland - LTE, SDWAN, Switch, and WAP + Install"/>
    <s v="Won"/>
    <d v="2024-01-17T00:00:00"/>
    <n v="549"/>
    <s v="SP-LTE-CARD-ENH="/>
    <s v="Managed 5G/LTE Modem"/>
    <s v="Connectivity"/>
    <n v="1"/>
    <n v="45"/>
    <n v="0"/>
    <m/>
    <n v="45"/>
    <m/>
    <m/>
    <n v="300"/>
    <n v="300"/>
    <n v="1059.74"/>
    <n v="1059.74"/>
    <s v="Erminio Lalli"/>
    <n v="12"/>
  </r>
  <r>
    <x v="295"/>
    <s v="New Location - Midland - LTE, SDWAN, Switch, and WAP + Install"/>
    <s v="Won"/>
    <d v="2024-01-17T00:00:00"/>
    <n v="549"/>
    <s v="MR36-HW"/>
    <s v="Meraki MR36 802.11ax 1.70 Gbit/s Wireless Access Point - 2.40 GHz, 5 GHz - MIMO Technology - 1 x Network (RJ-45) - Gigabit Ethernet - Desktop, Ceiling Mountable, Wall Mountable, Rail-mountable"/>
    <s v="IT/LAN Equipment"/>
    <n v="1"/>
    <n v="0"/>
    <n v="0"/>
    <m/>
    <n v="0"/>
    <m/>
    <m/>
    <n v="447.27"/>
    <n v="447.27"/>
    <n v="366.76"/>
    <n v="366.76"/>
    <s v="Erminio Lalli"/>
    <n v="6.4407999999999994"/>
  </r>
  <r>
    <x v="295"/>
    <s v="New Location - Midland - LTE, SDWAN, Switch, and WAP + Install"/>
    <s v="Won"/>
    <d v="2024-01-17T00:00:00"/>
    <n v="549"/>
    <s v="LIC-ENT-3YR"/>
    <s v="Meraki MR Enterprise Cloud Controller License, 3 Years - Meraki MR Series Access Point - Subscription License 1 Access Point - 3 Year License Validation Period"/>
    <s v="IT/LAN Equipment"/>
    <n v="1"/>
    <n v="0"/>
    <n v="0"/>
    <m/>
    <n v="0"/>
    <m/>
    <m/>
    <n v="280.85000000000002"/>
    <n v="280.85000000000002"/>
    <n v="230.3"/>
    <n v="230.3"/>
    <s v="Erminio Lalli"/>
    <n v="4.0440000000000014"/>
  </r>
  <r>
    <x v="295"/>
    <s v="New Location - Midland - LTE, SDWAN, Switch, and WAP + Install"/>
    <s v="Won"/>
    <d v="2024-01-17T00:00:00"/>
    <n v="549"/>
    <s v="FC-10-W0226-247-02-36"/>
    <s v="Fortinet 3 Year 24X7 Services"/>
    <s v="IT/LAN Equipment"/>
    <n v="1"/>
    <n v="0"/>
    <n v="0"/>
    <m/>
    <n v="0"/>
    <m/>
    <m/>
    <n v="494.73"/>
    <n v="494.73"/>
    <n v="405.68"/>
    <n v="405.68"/>
    <s v="Erminio Lalli"/>
    <n v="7.1240000000000014"/>
  </r>
  <r>
    <x v="295"/>
    <s v="New Location - Midland - LTE, SDWAN, Switch, and WAP + Install"/>
    <s v="Won"/>
    <d v="2024-01-17T00:00:00"/>
    <n v="549"/>
    <s v="MPC-PS-T3"/>
    <s v="Meriplex Tier 3 Engineer Labor"/>
    <s v="IT/LAN Installation"/>
    <n v="5"/>
    <n v="0"/>
    <n v="0"/>
    <m/>
    <n v="0"/>
    <m/>
    <m/>
    <n v="225"/>
    <n v="1125"/>
    <n v="0"/>
    <n v="0"/>
    <s v="Erminio Lalli"/>
    <n v="45"/>
  </r>
  <r>
    <x v="296"/>
    <s v="AO- SonicWall support renewal for Lowry and Lincoln"/>
    <s v="Won"/>
    <d v="2024-01-16T00:00:00"/>
    <n v="0"/>
    <s v="01-SSC-1451"/>
    <s v="SonicWall Advanced Gateway Security Suite for TZ500, TZ500 High Availability, TZ500W - Subscription License - 1 License - 2 Year - TAA Compliant"/>
    <s v="IT/LAN Equipment"/>
    <n v="1"/>
    <n v="0"/>
    <n v="0"/>
    <m/>
    <n v="0"/>
    <m/>
    <m/>
    <n v="1977.96"/>
    <n v="1977.96"/>
    <n v="1621.93"/>
    <n v="1621.93"/>
    <s v="Michael True"/>
    <n v="30.262550000000001"/>
  </r>
  <r>
    <x v="296"/>
    <s v="AO- SonicWall support renewal for Lowry and Lincoln"/>
    <s v="Won"/>
    <d v="2024-01-16T00:00:00"/>
    <n v="0"/>
    <s v="01-SSC-1451"/>
    <s v="SonicWall Advanced Gateway Security Suite for TZ500, TZ500 High Availability, TZ500W - Subscription License - 1 License - 2 Year - TAA Compliant"/>
    <s v="IT/LAN Equipment"/>
    <n v="1"/>
    <n v="0"/>
    <n v="0"/>
    <m/>
    <n v="0"/>
    <m/>
    <m/>
    <n v="1977.96"/>
    <n v="1977.96"/>
    <n v="1621.93"/>
    <n v="1621.93"/>
    <s v="Michael True"/>
    <n v="30.262550000000001"/>
  </r>
  <r>
    <x v="297"/>
    <s v="New Laptop for Dan"/>
    <s v="Won"/>
    <d v="2024-01-25T00:00:00"/>
    <n v="0"/>
    <s v="PC Setup Fee"/>
    <s v="PC Setup Fee"/>
    <s v="IT/LAN Installation"/>
    <n v="3"/>
    <n v="0"/>
    <n v="0"/>
    <m/>
    <n v="0"/>
    <m/>
    <m/>
    <n v="250"/>
    <n v="750"/>
    <n v="0"/>
    <n v="0"/>
    <s v="Lathrop Lougheed"/>
    <n v="30"/>
  </r>
  <r>
    <x v="297"/>
    <s v="New Laptop for Dan"/>
    <s v="Won"/>
    <d v="2024-01-25T00:00:00"/>
    <n v="0"/>
    <s v="xctol7430usrvp"/>
    <s v="Dell Latitude 7430, 14&quot; screen, i7, 16GB Memory, 5"/>
    <s v="IT/LAN Equipment"/>
    <n v="3"/>
    <n v="0"/>
    <n v="0"/>
    <m/>
    <n v="0"/>
    <m/>
    <m/>
    <n v="1354.48"/>
    <n v="4063.44"/>
    <n v="1058.19"/>
    <n v="3174.57"/>
    <s v="Lathrop Lougheed"/>
    <n v="71.109599999999986"/>
  </r>
  <r>
    <x v="298"/>
    <s v="Sophos - Kenney Mfg"/>
    <s v="Won"/>
    <d v="2024-01-16T00:00:00"/>
    <n v="0"/>
    <s v="MDRS0S13BCRCAA"/>
    <s v="SOPHOS MM ENT NON UTM | Central Managed Detection and Response Essentials Server | 2/18/2024-3/17/2025"/>
    <s v="IT/LAN Equipment"/>
    <n v="25"/>
    <n v="0"/>
    <n v="0"/>
    <m/>
    <n v="0"/>
    <m/>
    <m/>
    <n v="205.88"/>
    <n v="5147"/>
    <n v="157.5"/>
    <n v="3937.5"/>
    <s v="Judas Schaeffer"/>
    <n v="0"/>
  </r>
  <r>
    <x v="298"/>
    <s v="Sophos - Kenney Mfg"/>
    <s v="Won"/>
    <d v="2024-01-16T00:00:00"/>
    <n v="0"/>
    <s v="MDRE0U13AFRCAA"/>
    <s v="SOPHOS MM ENT NON UTM | Central Managed Detection and Response Essentials | 2/18/2024-3/17/2025"/>
    <s v="IT/LAN Equipment"/>
    <n v="200"/>
    <n v="0"/>
    <n v="0"/>
    <m/>
    <n v="0"/>
    <m/>
    <m/>
    <n v="119.43"/>
    <n v="23886"/>
    <n v="91.37"/>
    <n v="18274"/>
    <s v="Judas Schaeffer"/>
    <n v="0"/>
  </r>
  <r>
    <x v="299"/>
    <s v="MPX LA - Change order for Sales Order #10626"/>
    <s v="Won"/>
    <d v="2024-01-22T00:00:00"/>
    <n v="0"/>
    <s v="SMT3000RM2UNC"/>
    <s v="APC by Schneider Electric Smart-UPS 3000VA LCD RM 2U 120V with Network Card - 2U Tower - 3 Hour Recharge - 120 V Input - 120 V AC Output - Sine Wave - 2 x NEMA 5-20R, 6 x NEMA 5-15R - 8 x Battery/Surge Outlet"/>
    <s v="IT/LAN Equipment"/>
    <n v="1"/>
    <n v="0"/>
    <n v="0"/>
    <m/>
    <n v="0"/>
    <m/>
    <m/>
    <n v="2133"/>
    <n v="2133"/>
    <n v="1793.37"/>
    <n v="1793.37"/>
    <s v="Mitch Verma"/>
    <n v="13.585200000000004"/>
  </r>
  <r>
    <x v="299"/>
    <s v="MPX LA - Change order for Sales Order #10626"/>
    <s v="Won"/>
    <d v="2024-01-22T00:00:00"/>
    <n v="0"/>
    <s v="SMT2200RM2UC"/>
    <s v="APC Smart-UPS 2200VA LCD RM 2U 120V with SmartConnect - 2U Rack-mountable - 3 Hour Recharge - 6.60 Minute Stand-by - 120 V Input - 120 V AC Output - Sine Wave - 6 x NEMA 5-15R, 2 x NEMA 5-20R - 8 x Battery/Surge Outlet"/>
    <s v="IT/LAN Equipment"/>
    <n v="-1"/>
    <n v="0"/>
    <n v="0"/>
    <m/>
    <n v="0"/>
    <m/>
    <m/>
    <n v="1599"/>
    <n v="-1599"/>
    <n v="1243.1500000000001"/>
    <n v="-1243.1500000000001"/>
    <s v="Mitch Verma"/>
    <n v="-14.233999999999996"/>
  </r>
  <r>
    <x v="300"/>
    <s v="10426949 - Renewal Cisco AnyConnect License for ASA S/N# JAD2421010A Qty 25"/>
    <s v="Won"/>
    <d v="2024-01-16T00:00:00"/>
    <n v="0"/>
    <s v="L-AC-PLS-1Y-S1"/>
    <s v="Cisco AnyConnect Plus for Blackford County Sheriff's Department"/>
    <s v="IT/LAN Equipment"/>
    <n v="25"/>
    <n v="0"/>
    <n v="0"/>
    <m/>
    <n v="0"/>
    <m/>
    <m/>
    <n v="6"/>
    <n v="150"/>
    <n v="3.31"/>
    <n v="82.75"/>
    <s v="John Sobernheim"/>
    <n v="5.7162500000000005"/>
  </r>
  <r>
    <x v="301"/>
    <s v="8 New desktop computers"/>
    <s v="Won"/>
    <d v="2024-01-18T00:00:00"/>
    <n v="0"/>
    <s v="MPC-PS-T3"/>
    <s v="Meriplex Tier 3 Engineer Labor - PC Set-up Cost"/>
    <s v="IT/LAN Installation"/>
    <n v="8"/>
    <n v="0"/>
    <n v="0"/>
    <m/>
    <n v="0"/>
    <m/>
    <m/>
    <n v="200"/>
    <n v="1600"/>
    <n v="0"/>
    <n v="0"/>
    <s v="Lathrop Lougheed"/>
    <n v="64"/>
  </r>
  <r>
    <x v="301"/>
    <s v="8 New desktop computers"/>
    <s v="Won"/>
    <d v="2024-01-18T00:00:00"/>
    <n v="0"/>
    <s v="V1CT9"/>
    <s v="PRECISION 3460 SFF I7 13-13700 SYST 32GB 2DIMMS 512GB W11"/>
    <s v="IT/LAN Equipment"/>
    <n v="8"/>
    <n v="0"/>
    <n v="0"/>
    <m/>
    <n v="0"/>
    <m/>
    <m/>
    <n v="2398.9899999999998"/>
    <n v="19191.919999999998"/>
    <n v="1654.08"/>
    <n v="13232.64"/>
    <s v="Lathrop Lougheed"/>
    <n v="476.74239999999992"/>
  </r>
  <r>
    <x v="302"/>
    <s v="Need ELS on 3 DID's"/>
    <s v="Won"/>
    <d v="2024-01-19T00:00:00"/>
    <n v="41.1"/>
    <s v="V-DID-ENH="/>
    <s v="New or Existing Enhanced DID"/>
    <s v="Voice Services"/>
    <n v="3"/>
    <n v="14"/>
    <n v="5.38"/>
    <m/>
    <n v="42"/>
    <m/>
    <m/>
    <n v="1"/>
    <n v="3"/>
    <n v="0"/>
    <n v="0"/>
    <s v="Erminio Lalli"/>
    <n v="0.12"/>
  </r>
  <r>
    <x v="303"/>
    <s v="10468369 - Monitoring Alert / Evos Smart Tools Certificate Expiration for ftp.evossmarttools.net"/>
    <s v="Won"/>
    <d v="2024-01-20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149"/>
    <n v="149"/>
    <n v="0"/>
    <n v="0"/>
    <s v="Lathrop Lougheed"/>
    <n v="5.96"/>
  </r>
  <r>
    <x v="303"/>
    <s v="10468369 - Monitoring Alert / Evos Smart Tools Certificate Expiration for ftp.evossmarttools.net"/>
    <s v="Won"/>
    <d v="2024-01-20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Lathrop Lougheed"/>
    <n v="1.2008000000000005"/>
  </r>
  <r>
    <x v="304"/>
    <s v="Talpa 13"/>
    <s v="Won"/>
    <d v="2024-01-19T00:00:00"/>
    <n v="1511"/>
    <s v="SDW-VCE620="/>
    <s v="SDWAN Managed Edge 620 Appliance"/>
    <s v="SD-WAN"/>
    <n v="1"/>
    <n v="75"/>
    <n v="0"/>
    <m/>
    <n v="75"/>
    <m/>
    <m/>
    <n v="300"/>
    <n v="300"/>
    <n v="757.1"/>
    <n v="757.1"/>
    <s v="Erminio Lalli"/>
    <n v="12"/>
  </r>
  <r>
    <x v="304"/>
    <s v="Talpa 13"/>
    <s v="Won"/>
    <d v="2024-01-19T00:00:00"/>
    <n v="1511"/>
    <s v="SP-BB="/>
    <s v="Broadband Internet Access"/>
    <s v="Connectivity"/>
    <n v="1"/>
    <n v="234"/>
    <n v="139.94"/>
    <m/>
    <n v="234"/>
    <m/>
    <m/>
    <n v="56.35"/>
    <n v="56.35"/>
    <n v="49"/>
    <n v="49"/>
    <s v="Erminio Lalli"/>
    <n v="2.254"/>
  </r>
  <r>
    <x v="304"/>
    <s v="Talpa 13"/>
    <s v="Won"/>
    <d v="2024-01-19T00:00:00"/>
    <n v="1511"/>
    <s v="UCS-LOC="/>
    <s v="UCaaS Location"/>
    <s v="UCaaS"/>
    <n v="1"/>
    <n v="18"/>
    <n v="4.3"/>
    <m/>
    <n v="18"/>
    <m/>
    <m/>
    <n v="11"/>
    <n v="11"/>
    <n v="11"/>
    <n v="11"/>
    <s v="Erminio Lalli"/>
    <n v="0.44"/>
  </r>
  <r>
    <x v="304"/>
    <s v="Talpa 13"/>
    <s v="Won"/>
    <d v="2024-01-19T00:00:00"/>
    <n v="1511"/>
    <s v="UCS-PS-WG="/>
    <s v="UCaaS Implementation Per Site"/>
    <s v="IT/LAN Installation"/>
    <n v="1"/>
    <n v="0"/>
    <n v="0"/>
    <m/>
    <n v="0"/>
    <m/>
    <m/>
    <n v="3000"/>
    <n v="3000"/>
    <n v="0"/>
    <n v="0"/>
    <s v="Erminio Lalli"/>
    <n v="120"/>
  </r>
  <r>
    <x v="304"/>
    <s v="Talpa 13"/>
    <s v="Won"/>
    <d v="2024-01-19T00:00:00"/>
    <n v="1511"/>
    <s v="UCS-US="/>
    <s v="UCaaS: Standard User"/>
    <s v="UCaaS"/>
    <n v="8"/>
    <n v="20"/>
    <n v="4.17"/>
    <m/>
    <n v="160"/>
    <m/>
    <m/>
    <n v="8"/>
    <n v="64"/>
    <n v="14"/>
    <n v="112"/>
    <s v="Erminio Lalli"/>
    <n v="2.56"/>
  </r>
  <r>
    <x v="305"/>
    <s v="Spray Clinic Setup"/>
    <s v="Won"/>
    <d v="2024-01-31T00:00:00"/>
    <n v="0"/>
    <s v="MCL-TR-LABOR"/>
    <s v="Travel Time and Labor"/>
    <s v="IT/LAN Installation"/>
    <n v="3.5"/>
    <n v="0"/>
    <n v="0"/>
    <m/>
    <n v="0"/>
    <m/>
    <m/>
    <n v="120"/>
    <n v="420"/>
    <n v="0"/>
    <n v="0"/>
    <s v="Lathrop Lougheed"/>
    <n v="16.8"/>
  </r>
  <r>
    <x v="305"/>
    <s v="Spray Clinic Setup"/>
    <s v="Won"/>
    <d v="2024-01-31T00:00:00"/>
    <n v="0"/>
    <s v="45-230-216"/>
    <s v="Ergotron 200 Telescoping Combo Arm - 18 lb - White"/>
    <s v="IT/LAN Equipment"/>
    <n v="1"/>
    <n v="0"/>
    <n v="0"/>
    <m/>
    <n v="0"/>
    <m/>
    <m/>
    <n v="616"/>
    <n v="616"/>
    <n v="504.61"/>
    <n v="504.61"/>
    <s v="Lathrop Lougheed"/>
    <n v="8.9111999999999991"/>
  </r>
  <r>
    <x v="305"/>
    <s v="Spray Clinic Setup"/>
    <s v="Won"/>
    <d v="2024-01-31T00:00:00"/>
    <n v="0"/>
    <s v="DELL-E2423HN"/>
    <s v="Dell E2423HN 24&quot; Class Full HD LCD Monitor - 16:9 - Black - 23.8&quot; Viewable - Vertical Alignment (VA) - LED Backlight - 1920 x 1080 - 16.7 Million Colors - 250 Nit - 5 ms - 60 Hz Refresh Rate - HDMI - VGA"/>
    <s v="IT/LAN Equipment"/>
    <n v="1"/>
    <n v="0"/>
    <n v="0"/>
    <m/>
    <n v="0"/>
    <m/>
    <m/>
    <n v="149"/>
    <n v="149"/>
    <n v="121.57"/>
    <n v="121.57"/>
    <s v="Lathrop Lougheed"/>
    <n v="2.1944000000000008"/>
  </r>
  <r>
    <x v="305"/>
    <s v="Spray Clinic Setup"/>
    <s v="Won"/>
    <d v="2024-01-31T00:00:00"/>
    <n v="0"/>
    <s v="MPC-PS-T1"/>
    <s v="Meriplex Tier 1 Technician Labor"/>
    <s v="IT/LAN Installation"/>
    <n v="2.25"/>
    <n v="0"/>
    <n v="0"/>
    <m/>
    <n v="0"/>
    <m/>
    <m/>
    <n v="120"/>
    <n v="270"/>
    <n v="0"/>
    <n v="0"/>
    <s v="Lathrop Lougheed"/>
    <n v="10.8"/>
  </r>
  <r>
    <x v="305"/>
    <s v="Spray Clinic Setup"/>
    <s v="Won"/>
    <d v="2024-01-31T00:00:00"/>
    <n v="0"/>
    <s v="MPC-PS-PM"/>
    <s v="Project Management"/>
    <s v="IT/LAN Installation"/>
    <n v="1"/>
    <n v="0"/>
    <n v="0"/>
    <m/>
    <n v="0"/>
    <m/>
    <m/>
    <n v="150"/>
    <n v="150"/>
    <n v="0"/>
    <n v="0"/>
    <s v="Lathrop Lougheed"/>
    <n v="6"/>
  </r>
  <r>
    <x v="306"/>
    <s v="Laptop and Monitors"/>
    <s v="Won"/>
    <d v="2024-01-23T00:00:00"/>
    <n v="0"/>
    <s v="210-BFZV"/>
    <s v="Dell Latitude 5440"/>
    <s v="IT/LAN Equipment"/>
    <n v="1"/>
    <n v="0"/>
    <n v="0"/>
    <m/>
    <n v="0"/>
    <m/>
    <m/>
    <n v="1426.91"/>
    <n v="1426.91"/>
    <n v="1189.0899999999999"/>
    <n v="1189.0899999999999"/>
    <s v="Lathrop Lougheed"/>
    <n v="19.025600000000015"/>
  </r>
  <r>
    <x v="307"/>
    <s v="Computer Setups"/>
    <s v="Won"/>
    <d v="2024-01-19T00:00:00"/>
    <n v="0"/>
    <s v="MPC-TNM"/>
    <s v="Time and Materials Professional Services: Estimated 3 hours onsite setup/config labor for 17 desktop computers."/>
    <s v="Managed Services"/>
    <n v="51"/>
    <n v="0"/>
    <n v="0"/>
    <m/>
    <n v="0"/>
    <m/>
    <m/>
    <n v="176"/>
    <n v="8976"/>
    <n v="0"/>
    <n v="0"/>
    <s v="Andrew Harp"/>
    <n v="359.04"/>
  </r>
  <r>
    <x v="308"/>
    <s v="Equipment Quote"/>
    <s v="Won"/>
    <d v="2024-01-19T00:00:00"/>
    <n v="0"/>
    <s v="86Y59UT#ABA"/>
    <s v="HP Elite Mini 800 G9 Desktop Computer - Intel Core i7 13th Gen i7-13700T Hexadeca-core (16 Core) - 16 GB RAM DDR5 SDRAM - 512 GB M.2 PCI Express NVMe SSD - Mini PC - Intel Q670 Chip - Windows 11 Pro - Intel UHD Graphics 770 DDR5 SDRAM - English Keyboard -"/>
    <s v="IT/LAN Equipment"/>
    <n v="2"/>
    <n v="0"/>
    <n v="0"/>
    <m/>
    <n v="0"/>
    <m/>
    <m/>
    <n v="1287"/>
    <n v="2574"/>
    <n v="1167.49"/>
    <n v="2334.98"/>
    <s v="Andrew Harp"/>
    <n v="19.121599999999997"/>
  </r>
  <r>
    <x v="308"/>
    <s v="Equipment Quote"/>
    <s v="Won"/>
    <d v="2024-01-19T00:00:00"/>
    <n v="0"/>
    <s v="7PS84A#BGJ"/>
    <s v="HP LaserJet Enterprise M611dn Desktop Laser Printer - Monochrome - 61 ppm Mono - 1200 x 1200 dpi Print - Automatic Duplex Print - 650 Sheets Input - Ethernet - 275000 Pages Duty Cycle - Plain Paper Print - Gigabit Ethernet - USB"/>
    <s v="IT/LAN Equipment"/>
    <n v="1"/>
    <n v="0"/>
    <n v="0"/>
    <m/>
    <n v="0"/>
    <m/>
    <m/>
    <n v="1463"/>
    <n v="1463"/>
    <n v="1325"/>
    <n v="1325"/>
    <s v="Andrew Harp"/>
    <n v="11.040000000000001"/>
  </r>
  <r>
    <x v="308"/>
    <s v="Equipment Quote"/>
    <s v="Won"/>
    <d v="2024-01-19T00:00:00"/>
    <n v="0"/>
    <s v="L0H17A"/>
    <s v="HP LaserJet 550-Sheet Paper Tray - Plain Paper"/>
    <s v="IT/LAN Equipment"/>
    <n v="1"/>
    <n v="0"/>
    <n v="0"/>
    <m/>
    <n v="0"/>
    <m/>
    <m/>
    <n v="332"/>
    <n v="332"/>
    <n v="266"/>
    <n v="266"/>
    <s v="Andrew Harp"/>
    <n v="5.28"/>
  </r>
  <r>
    <x v="308"/>
    <s v="Equipment Quote"/>
    <s v="Won"/>
    <d v="2024-01-19T00:00:00"/>
    <n v="0"/>
    <s v="7Z5F2UT#ABA"/>
    <s v="HP EliteBook 650 G10 15.6&quot; Touchscreen Notebook - Full HD - 1920 x 1080 - Intel Core i7 13th Gen i7-1355U Deca-core (10 Core) - 16 GB Total RAM - 512 GB SSD - Pike Silver Aluminum - Intel Chip - Windows 11 Pro - Intel Iris Xe Graphics - In-plane Switching"/>
    <s v="IT/LAN Equipment"/>
    <n v="2"/>
    <n v="0"/>
    <n v="0"/>
    <m/>
    <n v="0"/>
    <m/>
    <m/>
    <n v="1365"/>
    <n v="2730"/>
    <n v="1196.0999999999999"/>
    <n v="2392.1999999999998"/>
    <s v="Andrew Harp"/>
    <n v="27.024000000000015"/>
  </r>
  <r>
    <x v="308"/>
    <s v="Equipment Quote"/>
    <s v="Won"/>
    <d v="2024-01-19T00:00:00"/>
    <n v="0"/>
    <s v="MISCSHE"/>
    <s v="California State EWaste Fee"/>
    <s v="IT/LAN Equipment"/>
    <n v="2"/>
    <n v="0"/>
    <n v="0"/>
    <m/>
    <n v="0"/>
    <m/>
    <m/>
    <n v="5"/>
    <n v="10"/>
    <n v="0"/>
    <n v="0"/>
    <s v="Andrew Harp"/>
    <n v="0.8"/>
  </r>
  <r>
    <x v="308"/>
    <s v="Equipment Quote"/>
    <s v="Won"/>
    <d v="2024-01-19T00:00:00"/>
    <n v="0"/>
    <s v="4J0A2AA#ABA"/>
    <s v="HP Thunderbolt Dock 120W G4 - for Notebook/Desktop PC - 120 W - Thunderbolt 4 - 4 Displays Supported - 4K - 3840 x 2160 - 5 x USB Ports - USB Type-C - 1 x RJ-45 Ports - Network (RJ-45) - 1 x HDMI Ports - HDMI - 2 x DisplayPorts - DisplayPort - Black - Thu"/>
    <s v="IT/LAN Equipment"/>
    <n v="1"/>
    <n v="0"/>
    <n v="0"/>
    <m/>
    <n v="0"/>
    <m/>
    <m/>
    <n v="310"/>
    <n v="310"/>
    <n v="248"/>
    <n v="248"/>
    <s v="Andrew Harp"/>
    <n v="4.96"/>
  </r>
  <r>
    <x v="308"/>
    <s v="Equipment Quote"/>
    <s v="Won"/>
    <d v="2024-01-19T00:00:00"/>
    <n v="0"/>
    <s v="54401"/>
    <s v="C2G 6ft Ultra High Definition DisplayPort Cable with Latches"/>
    <s v="Cabling Services"/>
    <n v="2"/>
    <n v="0"/>
    <n v="0"/>
    <m/>
    <n v="0"/>
    <m/>
    <m/>
    <n v="18"/>
    <n v="36"/>
    <n v="12.33"/>
    <n v="24.66"/>
    <s v="Andrew Harp"/>
    <n v="0.90720000000000001"/>
  </r>
  <r>
    <x v="308"/>
    <s v="Equipment Quote"/>
    <s v="Won"/>
    <d v="2024-01-19T00:00:00"/>
    <n v="0"/>
    <s v="64W41AA#ABA"/>
    <s v="HP P27h G5 27&quot; Class Full HD LCD Monitor - 16:9 - Black - 27&quot; Viewable - In-plane Switching (IPS) Technology - LED Backlight - 1920 x 1080 - 16.7 Million Colors - 250 Nit - 5 ms - 75 Hz Refresh Rate - HDMI - VGA - DisplayPort"/>
    <s v="IT/LAN Equipment"/>
    <n v="2"/>
    <n v="0"/>
    <n v="0"/>
    <m/>
    <n v="0"/>
    <m/>
    <m/>
    <n v="216"/>
    <n v="432"/>
    <n v="171"/>
    <n v="342"/>
    <s v="Andrew Harp"/>
    <n v="7.2"/>
  </r>
  <r>
    <x v="308"/>
    <s v="Equipment Quote"/>
    <s v="Won"/>
    <d v="2024-01-19T00:00:00"/>
    <n v="0"/>
    <s v="MISCSHE"/>
    <s v="California State EWaste Fee"/>
    <s v="IT/LAN Equipment"/>
    <n v="2"/>
    <n v="0"/>
    <n v="0"/>
    <m/>
    <n v="0"/>
    <m/>
    <m/>
    <n v="5"/>
    <n v="10"/>
    <n v="0"/>
    <n v="0"/>
    <s v="Andrew Harp"/>
    <n v="0.8"/>
  </r>
  <r>
    <x v="308"/>
    <s v="Equipment Quote"/>
    <s v="Won"/>
    <d v="2024-01-19T00:00:00"/>
    <n v="0"/>
    <s v="MPSSHIP"/>
    <s v="Inbound Shipping"/>
    <s v="IT/LAN Equipment"/>
    <n v="1"/>
    <n v="0"/>
    <n v="0"/>
    <m/>
    <n v="0"/>
    <m/>
    <m/>
    <n v="67"/>
    <n v="67"/>
    <n v="0"/>
    <n v="0"/>
    <s v="Andrew Harp"/>
    <n v="5.36"/>
  </r>
  <r>
    <x v="309"/>
    <s v="Twyla Vittetoe / Quote out replacement pc"/>
    <s v="Won"/>
    <d v="2024-01-22T00:00:00"/>
    <n v="0"/>
    <s v="MPC-PS-T1"/>
    <s v="Meriplex Tier 1 Technician Labor"/>
    <s v="IT/LAN Installation"/>
    <n v="2"/>
    <n v="0"/>
    <n v="0"/>
    <m/>
    <n v="0"/>
    <m/>
    <m/>
    <n v="120"/>
    <n v="240"/>
    <n v="0"/>
    <n v="0"/>
    <s v="Lathrop Lougheed"/>
    <n v="9.6"/>
  </r>
  <r>
    <x v="309"/>
    <s v="Twyla Vittetoe / Quote out replacement pc"/>
    <s v="Won"/>
    <d v="2024-01-22T00:00:00"/>
    <n v="0"/>
    <s v="TV2DP"/>
    <s v="Dell Precision 3000 3260 Workstation - Intel Core i7 Hexadeca-core (16 Core) i7-13700 13th Gen 2.10 GHz - 32 GB DDR5 SDRAM RAM - 512 GB SSD - Ultra Small - Intel Chip - Windows 11 Pro - NVIDIA T1000 8 GB Graphics - Serial ATA/600 Controller - English (US)"/>
    <s v="IT/LAN Equipment"/>
    <n v="1"/>
    <n v="0"/>
    <n v="0"/>
    <m/>
    <n v="0"/>
    <m/>
    <m/>
    <n v="2229"/>
    <n v="2229"/>
    <n v="1827.4"/>
    <n v="1827.4"/>
    <s v="Lathrop Lougheed"/>
    <n v="32.127999999999993"/>
  </r>
  <r>
    <x v="309"/>
    <s v="Twyla Vittetoe / Quote out replacement pc"/>
    <s v="Won"/>
    <d v="2024-01-22T00:00:00"/>
    <n v="0"/>
    <s v="808-3307"/>
    <s v="Dell Upgrade from 3Y Next Business Day to 3Y ProSupport"/>
    <s v="IT/LAN Equipment"/>
    <n v="1"/>
    <n v="0"/>
    <n v="0"/>
    <m/>
    <n v="0"/>
    <m/>
    <m/>
    <n v="92"/>
    <n v="92"/>
    <n v="74.69"/>
    <n v="74.69"/>
    <s v="Lathrop Lougheed"/>
    <n v="1.3848000000000003"/>
  </r>
  <r>
    <x v="310"/>
    <s v="Laptop - Bella McKernan"/>
    <s v="Won"/>
    <d v="2024-01-17T00:00:00"/>
    <n v="0"/>
    <s v="s115l5540usrvp"/>
    <s v="Dell Lattitude 5540, 15.6&quot; laptop, i7-1355u, 512GB, 16GB, 4 year warranty"/>
    <s v="IT/LAN Equipment"/>
    <n v="1"/>
    <n v="0"/>
    <n v="0"/>
    <m/>
    <n v="0"/>
    <m/>
    <m/>
    <n v="2089.75"/>
    <n v="2089.75"/>
    <n v="1756.09"/>
    <n v="1756.09"/>
    <s v="Lathrop Lougheed"/>
    <n v="26.692800000000005"/>
  </r>
  <r>
    <x v="310"/>
    <s v="Laptop - Bella McKernan"/>
    <s v="Won"/>
    <d v="2024-01-17T00:00:00"/>
    <n v="0"/>
    <s v="PC Setup Fee"/>
    <s v="PC Setup Fee"/>
    <s v="IT/LAN Installation"/>
    <n v="1"/>
    <n v="0"/>
    <n v="0"/>
    <m/>
    <n v="0"/>
    <m/>
    <m/>
    <n v="250"/>
    <n v="250"/>
    <n v="0"/>
    <n v="0"/>
    <s v="Lathrop Lougheed"/>
    <n v="10"/>
  </r>
  <r>
    <x v="311"/>
    <s v="Barracuda renewal"/>
    <s v="Won"/>
    <d v="2024-01-26T00:00:00"/>
    <n v="0"/>
    <s v="BSF300a-e"/>
    <s v="Barracuda Energize Updates - Subscription License - 1 License - 1 Month"/>
    <s v="Physical Security"/>
    <n v="12"/>
    <n v="0"/>
    <n v="0"/>
    <m/>
    <n v="0"/>
    <m/>
    <m/>
    <n v="140"/>
    <n v="1680"/>
    <n v="120.88"/>
    <n v="1450.56"/>
    <s v="Lathrop Lougheed"/>
    <n v="18.355200000000004"/>
  </r>
  <r>
    <x v="311"/>
    <s v="Barracuda renewal"/>
    <s v="Won"/>
    <d v="2024-01-26T00:00:00"/>
    <n v="0"/>
    <s v="BSF300a-h"/>
    <s v="Barracuda Instant Replacement - Extended Service - 1 Month - Service - Service Depot - Exchange"/>
    <s v="Physical Security"/>
    <n v="12"/>
    <n v="0"/>
    <n v="0"/>
    <m/>
    <n v="0"/>
    <m/>
    <m/>
    <n v="79"/>
    <n v="948"/>
    <n v="68.209999999999994"/>
    <n v="818.52"/>
    <s v="Lathrop Lougheed"/>
    <n v="10.358400000000001"/>
  </r>
  <r>
    <x v="312"/>
    <s v="#10485312 - KnowBe4 Quote"/>
    <s v="Won"/>
    <d v="2024-01-22T00:00:00"/>
    <n v="595"/>
    <s v="MPC-PS-T3"/>
    <s v="Meriplex Tier 3 Engineer Labor"/>
    <s v="IT/LAN Installation"/>
    <n v="2"/>
    <n v="0"/>
    <n v="0"/>
    <m/>
    <n v="0"/>
    <m/>
    <m/>
    <n v="225"/>
    <n v="450"/>
    <n v="0"/>
    <n v="0"/>
    <s v="Lathrop Lougheed"/>
    <n v="18"/>
  </r>
  <r>
    <x v="313"/>
    <s v="Reno firewall security services expiration"/>
    <s v="Won"/>
    <d v="2024-01-17T00:00:00"/>
    <n v="0"/>
    <s v="01-SSC-0638"/>
    <s v="SonicWall Comprehensive Gateway Security Suite for TZ 300 - SonicWALL TZ300 Network Security Firewall - Subscription License 1 Appliance - 1 Year License Validation Period - TAA Compliant"/>
    <s v="IT/LAN Equipment"/>
    <n v="1"/>
    <n v="0"/>
    <n v="0"/>
    <m/>
    <n v="0"/>
    <m/>
    <m/>
    <n v="496.26"/>
    <n v="496.26"/>
    <n v="421.82"/>
    <n v="421.82"/>
    <s v="Lathrop Lougheed"/>
    <n v="5.9551999999999996"/>
  </r>
  <r>
    <x v="314"/>
    <s v="FortiGate FG-101F - Pearland State Bank"/>
    <s v="Won"/>
    <d v="2024-01-26T00:00:00"/>
    <n v="0"/>
    <s v="FC-10-F101F-950-02-36"/>
    <s v="FG101FTK20005906 | FortiGate-101F 3 Year Unified Threat Protection (UTP) (IPS, Advanced Malware Protection, Application Control, URL, DNS &amp; Video Filtering, Antispam Service, and FortiCare Premium) | 7/6/2024-7/6/2027"/>
    <s v="IT/LAN Equipment"/>
    <n v="1"/>
    <n v="0"/>
    <n v="0"/>
    <m/>
    <n v="0"/>
    <m/>
    <m/>
    <n v="5613.3"/>
    <n v="5613.3"/>
    <n v="4490.6400000000003"/>
    <n v="4490.6400000000003"/>
    <s v="Cynthia Newsom"/>
    <n v="95.426099999999991"/>
  </r>
  <r>
    <x v="315"/>
    <s v="SR 248101 Monitor PO 962701"/>
    <s v="Won"/>
    <d v="2024-01-17T00:00:00"/>
    <n v="0"/>
    <s v="210-BGPK"/>
    <s v="Dell E2424HS 24&quot; LED LCD"/>
    <s v="IT/LAN Equipment"/>
    <n v="1"/>
    <n v="0"/>
    <n v="0"/>
    <m/>
    <n v="0"/>
    <m/>
    <m/>
    <n v="189"/>
    <n v="189"/>
    <n v="107.74"/>
    <n v="107.74"/>
    <s v="Jackie Moore"/>
    <n v="0"/>
  </r>
  <r>
    <x v="316"/>
    <s v="#10485929 - Robin Moody / Procure New computer requested for Anna"/>
    <s v="Won"/>
    <d v="2024-01-29T00:00:00"/>
    <n v="0"/>
    <s v="4MRP5"/>
    <s v="Dell Latitude 3540 15.6&quot; Notebook - Full HD - 1920 x 1080 - Intel Core i5 13th Gen i5-1335U Deca-core (10 Core) - 16 GB Total RAM - 256 GB SSD - Gray - Intel Chip - Windows 11 Pro - Intel Iris Xe Graphics - In-plane Switching (IPS) Technology - English (U"/>
    <s v="IT/LAN Equipment"/>
    <n v="1"/>
    <n v="0"/>
    <n v="0"/>
    <m/>
    <n v="0"/>
    <m/>
    <m/>
    <n v="991"/>
    <n v="991"/>
    <n v="812.58"/>
    <n v="812.58"/>
    <s v="Lathrop Lougheed"/>
    <n v="14.273599999999997"/>
  </r>
  <r>
    <x v="316"/>
    <s v="#10485929 - Robin Moody / Procure New computer requested for Anna"/>
    <s v="Won"/>
    <d v="2024-01-29T00:00:00"/>
    <n v="0"/>
    <s v="808-3108"/>
    <s v="Dell ProSupport - Upgrade - 3 Year - Service - 24 x 7 x Next Business Day - On-site - Technical - Electronic, Physical"/>
    <s v="IT/LAN Equipment"/>
    <n v="1"/>
    <n v="0"/>
    <n v="0"/>
    <m/>
    <n v="0"/>
    <m/>
    <m/>
    <n v="152"/>
    <n v="152"/>
    <n v="124.49"/>
    <n v="124.49"/>
    <s v="Lathrop Lougheed"/>
    <n v="2.2008000000000005"/>
  </r>
  <r>
    <x v="316"/>
    <s v="#10485929 - Robin Moody / Procure New computer requested for Anna"/>
    <s v="Won"/>
    <d v="2024-01-29T00:00:00"/>
    <n v="0"/>
    <s v="MPC-PS-T1"/>
    <s v="Meriplex Tier 1 Technician Labor"/>
    <s v="IT/LAN Installation"/>
    <n v="2"/>
    <n v="0"/>
    <n v="0"/>
    <m/>
    <n v="0"/>
    <m/>
    <m/>
    <n v="120"/>
    <n v="240"/>
    <n v="0"/>
    <n v="0"/>
    <s v="Lathrop Lougheed"/>
    <n v="9.6"/>
  </r>
  <r>
    <x v="317"/>
    <s v="New Cisco Firewall (Fannin)"/>
    <s v="Won"/>
    <d v="2024-01-18T00:00:00"/>
    <n v="0"/>
    <s v="CON-ECMU-SFFMCK9V"/>
    <s v="NEW RNW SWSS UPGRADES FIREPOWERSVCS MANAGEMENT CENTER VMWA"/>
    <s v="IT/LAN Equipment"/>
    <n v="1"/>
    <n v="0"/>
    <n v="0"/>
    <m/>
    <n v="0"/>
    <m/>
    <m/>
    <n v="785"/>
    <n v="785"/>
    <n v="644.14"/>
    <n v="644.14"/>
    <s v="Ron Walker"/>
    <n v="11.973100000000002"/>
  </r>
  <r>
    <x v="317"/>
    <s v="New Cisco Firewall (Fannin)"/>
    <s v="Won"/>
    <d v="2024-01-18T00:00:00"/>
    <n v="0"/>
    <s v="CON-3SNT-FRP11209"/>
    <s v="CCW 3YR SNTC NBD 8X5 FIREPOWER DOWN 1120 NGFW APPL 1U"/>
    <s v="IT/LAN Equipment"/>
    <n v="1"/>
    <n v="0"/>
    <n v="0"/>
    <m/>
    <n v="0"/>
    <m/>
    <m/>
    <n v="1393"/>
    <n v="1393"/>
    <n v="1142.94"/>
    <n v="1142.94"/>
    <s v="Ron Walker"/>
    <n v="21.255099999999995"/>
  </r>
  <r>
    <x v="317"/>
    <s v="New Cisco Firewall (Fannin)"/>
    <s v="Won"/>
    <d v="2024-01-18T00:00:00"/>
    <n v="0"/>
    <s v="FPR1120-NGFW-K9"/>
    <s v="FIREPOWER 1120 NGFW APPL 1U PERP"/>
    <s v="IT/LAN Equipment"/>
    <n v="1"/>
    <n v="0"/>
    <n v="0"/>
    <m/>
    <n v="0"/>
    <m/>
    <m/>
    <n v="2443"/>
    <n v="2443"/>
    <n v="2003.59"/>
    <n v="2003.59"/>
    <s v="Ron Walker"/>
    <n v="37.349850000000011"/>
  </r>
  <r>
    <x v="317"/>
    <s v="New Cisco Firewall (Fannin)"/>
    <s v="Won"/>
    <d v="2024-01-18T00:00:00"/>
    <n v="0"/>
    <s v="L-FPR1120T-TMC-3Y"/>
    <s v="3YR SUB FPR1120 THREAT DEFENSE SVCS THREAT MALWARE AND URL"/>
    <s v="IT/LAN Equipment"/>
    <n v="1"/>
    <n v="0"/>
    <n v="0"/>
    <m/>
    <n v="0"/>
    <m/>
    <m/>
    <n v="3345"/>
    <n v="3345"/>
    <n v="2743.59"/>
    <n v="2743.59"/>
    <s v="Ron Walker"/>
    <n v="51.119849999999992"/>
  </r>
  <r>
    <x v="317"/>
    <s v="New Cisco Firewall (Fannin)"/>
    <s v="Won"/>
    <d v="2024-01-18T00:00:00"/>
    <n v="0"/>
    <s v="SF-FMC-VMW-10-K9"/>
    <s v="FIREPOWER MGMT CENTER FOR 10 LICS DEVICES"/>
    <s v="IT/LAN Equipment"/>
    <n v="1"/>
    <n v="0"/>
    <n v="0"/>
    <m/>
    <n v="0"/>
    <m/>
    <m/>
    <n v="2100"/>
    <n v="2100"/>
    <n v="1722.7"/>
    <n v="1722.7"/>
    <s v="Ron Walker"/>
    <n v="32.070499999999996"/>
  </r>
  <r>
    <x v="317"/>
    <s v="New Cisco Firewall (Fannin)"/>
    <s v="Won"/>
    <d v="2024-01-18T00:00:00"/>
    <n v="0"/>
    <s v="MPC-PS-T3"/>
    <s v="Meriplex Tier 3 Engineer Labor"/>
    <s v="IT/LAN Installation"/>
    <n v="34"/>
    <n v="0"/>
    <n v="0"/>
    <m/>
    <n v="0"/>
    <m/>
    <m/>
    <n v="225"/>
    <n v="7650"/>
    <n v="34"/>
    <n v="1156"/>
    <s v="Ron Walker"/>
    <n v="306"/>
  </r>
  <r>
    <x v="317"/>
    <s v="New Cisco Firewall (Fannin)"/>
    <s v="Won"/>
    <d v="2024-01-18T00:00:00"/>
    <n v="0"/>
    <s v="MPC-PS-PC"/>
    <s v="Project Coordinator"/>
    <s v="IT/LAN Installation"/>
    <n v="2"/>
    <n v="0"/>
    <n v="0"/>
    <m/>
    <n v="0"/>
    <m/>
    <m/>
    <n v="155"/>
    <n v="310"/>
    <n v="0"/>
    <n v="0"/>
    <s v="Ron Walker"/>
    <n v="12.4"/>
  </r>
  <r>
    <x v="318"/>
    <s v="SR 248105 Cisco 8811 Phones PO 32283"/>
    <s v="Won"/>
    <d v="2024-01-17T00:00:00"/>
    <n v="0"/>
    <s v="CISCO CP-8811-K9="/>
    <s v="Cisco 8811 Unified IP Phone"/>
    <s v="IT/LAN Equipment"/>
    <n v="10"/>
    <n v="0"/>
    <n v="0"/>
    <m/>
    <n v="0"/>
    <m/>
    <m/>
    <n v="309"/>
    <n v="3090"/>
    <n v="129.94999999999999"/>
    <n v="1299.5"/>
    <s v="Jackie Moore"/>
    <n v="0"/>
  </r>
  <r>
    <x v="319"/>
    <s v="SR 248122 Acrobat Std PO 20066239"/>
    <s v="Won"/>
    <d v="2024-01-17T00:00:00"/>
    <n v="0"/>
    <s v="65324347AD01A00"/>
    <s v="Adobe Acrobat Standard 2020"/>
    <s v="NRR - Agent Income"/>
    <n v="1"/>
    <n v="0"/>
    <n v="0"/>
    <m/>
    <n v="0"/>
    <m/>
    <m/>
    <n v="359"/>
    <n v="359"/>
    <n v="354.58"/>
    <n v="354.58"/>
    <s v="Jackie Moore"/>
    <n v="0"/>
  </r>
  <r>
    <x v="320"/>
    <s v="SR 248144 Latitude 5540 Bundle Monitors PO 3003873"/>
    <s v="Won"/>
    <d v="2024-01-17T00:00:00"/>
    <n v="0"/>
    <s v="210-BGPK"/>
    <s v="Dell E2424HS 24&quot; LED LCD"/>
    <s v="IT/LAN Equipment"/>
    <n v="2"/>
    <n v="0"/>
    <n v="0"/>
    <m/>
    <n v="0"/>
    <m/>
    <m/>
    <n v="189"/>
    <n v="378"/>
    <n v="107.74"/>
    <n v="215.48"/>
    <s v="Jackie Moore"/>
    <n v="0"/>
  </r>
  <r>
    <x v="320"/>
    <s v="SR 248144 Latitude 5540 Bundle Monitors PO 3003873"/>
    <s v="Won"/>
    <d v="2024-01-17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320"/>
    <s v="SR 248144 Latitude 5540 Bundle Monitors PO 3003873"/>
    <s v="Won"/>
    <d v="2024-01-17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20"/>
    <s v="SR 248144 Latitude 5540 Bundle Monitors PO 3003873"/>
    <s v="Won"/>
    <d v="2024-01-17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320"/>
    <s v="SR 248144 Latitude 5540 Bundle Monitors PO 3003873"/>
    <s v="Won"/>
    <d v="2024-01-17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320"/>
    <s v="SR 248144 Latitude 5540 Bundle Monitors PO 3003873"/>
    <s v="Won"/>
    <d v="2024-01-17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21"/>
    <s v="Block of Hours"/>
    <s v="Won"/>
    <d v="2024-01-18T00:00:00"/>
    <n v="0"/>
    <s v="MPC-BLK-1-10"/>
    <s v="Hourly Support Block (1 - 10 Units)"/>
    <s v="IT/LAN Installation"/>
    <n v="10"/>
    <n v="0"/>
    <n v="0"/>
    <m/>
    <n v="0"/>
    <m/>
    <m/>
    <n v="220"/>
    <n v="2200"/>
    <n v="0"/>
    <n v="0"/>
    <s v="Jonathan DeFez"/>
    <n v="88"/>
  </r>
  <r>
    <x v="322"/>
    <s v="Datto- Array Drive Needed for S3E24000 - SN: 1C1B0DB213"/>
    <s v="Won"/>
    <d v="2024-01-26T00:00:00"/>
    <n v="0"/>
    <s v="MISCSHW"/>
    <s v="MG06ACA600E-COMP: Datto 6TB Rot HDD MG06ACA600E"/>
    <s v="IT/LAN Equipment"/>
    <n v="1"/>
    <n v="0"/>
    <n v="0"/>
    <m/>
    <n v="0"/>
    <m/>
    <m/>
    <n v="344.38"/>
    <n v="344.38"/>
    <n v="287.10000000000002"/>
    <n v="287.10000000000002"/>
    <s v="Cynthia Newsom"/>
    <n v="4.8687999999999985"/>
  </r>
  <r>
    <x v="322"/>
    <s v="Datto- Array Drive Needed for S3E24000 - SN: 1C1B0DB213"/>
    <s v="Won"/>
    <d v="2024-01-26T00:00:00"/>
    <n v="0"/>
    <s v="MPSSHIP"/>
    <s v="Shipping Insurance to Site Office"/>
    <s v="IT/LAN Equipment"/>
    <n v="1"/>
    <n v="0"/>
    <n v="0"/>
    <m/>
    <n v="0"/>
    <m/>
    <m/>
    <n v="18"/>
    <n v="18"/>
    <n v="0"/>
    <n v="0"/>
    <s v="Cynthia Newsom"/>
    <n v="1.53"/>
  </r>
  <r>
    <x v="323"/>
    <s v="Server Warranty Quote"/>
    <s v="Won"/>
    <d v="2024-01-23T00:00:00"/>
    <n v="0"/>
    <s v="Lenovo - ZU5C3A"/>
    <s v="Premier Support"/>
    <s v="IT/LAN Equipment"/>
    <n v="1"/>
    <n v="0"/>
    <n v="0"/>
    <m/>
    <n v="0"/>
    <m/>
    <m/>
    <n v="248"/>
    <n v="248"/>
    <n v="202.96"/>
    <n v="202.96"/>
    <s v="Jonathan DeFez"/>
    <n v="3.6031999999999993"/>
  </r>
  <r>
    <x v="323"/>
    <s v="Server Warranty Quote"/>
    <s v="Won"/>
    <d v="2024-01-23T00:00:00"/>
    <n v="0"/>
    <s v="Lenovo - ZU5C3A"/>
    <s v="Essential YourDriveYourData"/>
    <s v="IT/LAN Equipment"/>
    <n v="1"/>
    <n v="0"/>
    <n v="0"/>
    <m/>
    <n v="0"/>
    <m/>
    <m/>
    <n v="1"/>
    <n v="1"/>
    <n v="0.01"/>
    <n v="0.01"/>
    <s v="Jonathan DeFez"/>
    <n v="7.9200000000000007E-2"/>
  </r>
  <r>
    <x v="323"/>
    <s v="Server Warranty Quote"/>
    <s v="Won"/>
    <d v="2024-01-23T00:00:00"/>
    <n v="0"/>
    <s v="Lenovo - ZU5C3A"/>
    <s v="Essential - Post Wty 24x7 4Hr Response"/>
    <s v="IT/LAN Equipment"/>
    <n v="1"/>
    <n v="0"/>
    <n v="0"/>
    <m/>
    <n v="0"/>
    <m/>
    <m/>
    <n v="933"/>
    <n v="933"/>
    <n v="764.54"/>
    <n v="764.54"/>
    <s v="Jonathan DeFez"/>
    <n v="13.476800000000003"/>
  </r>
  <r>
    <x v="324"/>
    <s v="5 docking stations"/>
    <s v="Won"/>
    <d v="2024-01-19T00:00:00"/>
    <n v="0"/>
    <s v="MPSSHIP"/>
    <s v="Shipping Insurance to Site Office"/>
    <s v="IT/LAN Equipment"/>
    <n v="1"/>
    <n v="0"/>
    <n v="0"/>
    <m/>
    <n v="0"/>
    <m/>
    <m/>
    <n v="32"/>
    <n v="32"/>
    <n v="0"/>
    <n v="0"/>
    <s v="Andrew Harp"/>
    <n v="2.56"/>
  </r>
  <r>
    <x v="324"/>
    <s v="5 docking stations"/>
    <s v="Won"/>
    <d v="2024-01-19T00:00:00"/>
    <n v="0"/>
    <s v="DELL-WD22TB4"/>
    <s v="Dell Thunderbolt Dock - WD22TB4 - for Notebook - 180 W - Thunderbolt 4 - 2 Displays Supported - 4K - 5120 x 2880, 3840 x 2160 - 3 x USB Type-A Ports - USB Type-A - 3 x USB Type-C Ports - USB Type-C - 1 x RJ-45 Ports - Network (RJ-45) - 1 x HDMI Ports - HD"/>
    <s v="IT/LAN Equipment"/>
    <n v="5"/>
    <n v="0"/>
    <n v="0"/>
    <m/>
    <n v="0"/>
    <m/>
    <m/>
    <n v="342"/>
    <n v="1710"/>
    <n v="284"/>
    <n v="1420"/>
    <s v="Andrew Harp"/>
    <n v="23.2"/>
  </r>
  <r>
    <x v="325"/>
    <s v="WellBiz-Five Dell Laptops"/>
    <s v="Won"/>
    <d v="2024-01-23T00:00:00"/>
    <n v="0"/>
    <s v="9268W"/>
    <s v="Dell Latitude 3440 14&quot; Touchscreen Notebook - Full HD - 1920 x 1080 - Intel Core i7 13th Gen i7-1355U Deca-core (10 Core) - 16 GB Total RAM - 512 GB SSD - Space Gray - Intel Chip - Windows 11 Pro - Intel Iris Xe Graphics - In-plane Switching (IPS) Technol"/>
    <s v="IT/LAN Equipment"/>
    <n v="5"/>
    <n v="0"/>
    <n v="0"/>
    <m/>
    <n v="0"/>
    <m/>
    <m/>
    <n v="1271.8"/>
    <n v="6359"/>
    <n v="1105.9100000000001"/>
    <n v="5529.55"/>
    <s v="Jonathan DeFez"/>
    <n v="66.35599999999998"/>
  </r>
  <r>
    <x v="325"/>
    <s v="WellBiz-Five Dell Laptops"/>
    <s v="Won"/>
    <d v="2024-01-23T00:00:00"/>
    <n v="0"/>
    <s v="808-3108"/>
    <s v="Dell ProSupport - Upgrade - 3 Year - Service - 24 x 7 x Next Business Day - On-site - Technical - Electronic, Physical"/>
    <s v="IT/LAN Equipment"/>
    <n v="5"/>
    <n v="0"/>
    <n v="0"/>
    <m/>
    <n v="0"/>
    <m/>
    <m/>
    <n v="136.26"/>
    <n v="681.3"/>
    <n v="118.49"/>
    <n v="592.44999999999993"/>
    <s v="Jonathan DeFez"/>
    <n v="7.1080000000000023"/>
  </r>
  <r>
    <x v="325"/>
    <s v="WellBiz-Five Dell Laptops"/>
    <s v="Won"/>
    <d v="2024-01-23T00:00:00"/>
    <n v="0"/>
    <s v="DELL-WD19S130W"/>
    <s v="Dell Dock- WD19S 90w Power Delivery - 130w AC - for Notebook - 130 W - USB Type C - 3.0 Displays Supported - 4K, Full HD, QHD - 3840 x 2160 - 6 x USB Ports - USB Type-A - USB Type-C - 1 x HDMI Ports - HDMI - 2 x DisplayPorts - DisplayPort - Gigabit Ethern"/>
    <s v="IT/LAN Equipment"/>
    <n v="5"/>
    <n v="0"/>
    <n v="0"/>
    <m/>
    <n v="0"/>
    <m/>
    <m/>
    <n v="239.52"/>
    <n v="1197.5999999999999"/>
    <n v="208.28"/>
    <n v="1041.4000000000001"/>
    <s v="Jonathan DeFez"/>
    <n v="12.495999999999986"/>
  </r>
  <r>
    <x v="326"/>
    <s v="HP Adapters"/>
    <s v="Won"/>
    <d v="2024-01-18T00:00:00"/>
    <n v="0"/>
    <s v="671R2AA#ABA"/>
    <s v="HPI SOURCING - NEW USB-C 65W Laptop Charger - 1 Pack - 65 W - United States - 5.91 ft Cable - 5 V DC, 9 V DC, 12 V DC, 15 V DC, 20 V DC Output - Black"/>
    <s v="IT/LAN Equipment"/>
    <n v="5"/>
    <n v="0"/>
    <n v="0"/>
    <m/>
    <n v="0"/>
    <m/>
    <m/>
    <n v="62"/>
    <n v="310"/>
    <n v="51.05"/>
    <n v="255.25"/>
    <s v="Ron Walker"/>
    <n v="4.6537500000000005"/>
  </r>
  <r>
    <x v="327"/>
    <s v="10485783 - New Plotter Set Up - Wednesday 1/24 - Need onsite - Requested by Colin Brown"/>
    <s v="Won"/>
    <d v="2024-01-18T00:00:00"/>
    <n v="0"/>
    <s v="MPC-PS-T2"/>
    <s v="Meriplex Tier 2 Engineer Labor"/>
    <s v="IT/LAN Installation"/>
    <n v="4"/>
    <n v="0"/>
    <n v="0"/>
    <m/>
    <n v="0"/>
    <m/>
    <m/>
    <n v="185"/>
    <n v="740"/>
    <n v="0"/>
    <n v="0"/>
    <s v="John Sobernheim"/>
    <n v="29.6"/>
  </r>
  <r>
    <x v="327"/>
    <s v="10485783 - New Plotter Set Up - Wednesday 1/24 - Need onsite - Requested by Colin Brown"/>
    <s v="Won"/>
    <d v="2024-01-18T00:00:00"/>
    <n v="0"/>
    <s v="MCL-TR-LABOR"/>
    <s v="Travel Time and Labor"/>
    <s v="IT/LAN Installation"/>
    <n v="1"/>
    <n v="0"/>
    <n v="0"/>
    <m/>
    <n v="0"/>
    <m/>
    <m/>
    <n v="115"/>
    <n v="115"/>
    <n v="0"/>
    <n v="0"/>
    <s v="John Sobernheim"/>
    <n v="4.6000000000000005"/>
  </r>
  <r>
    <x v="328"/>
    <s v="HPE Aruba - Arden Eng"/>
    <s v="Won"/>
    <d v="2024-01-18T00:00:00"/>
    <n v="0"/>
    <s v="H5EC9PE"/>
    <s v="CNJ4JSS4KG, CNJ4JSS4JY | 1YR NBD RNWL ARUBA FOUNDATION CARE SVCS NBD EXCHANGE IAP 305 SVC PL-VR"/>
    <s v="IT/LAN Equipment"/>
    <n v="2"/>
    <n v="0"/>
    <n v="0"/>
    <m/>
    <n v="0"/>
    <m/>
    <m/>
    <n v="34"/>
    <n v="68"/>
    <n v="24.53"/>
    <n v="49.06"/>
    <s v="Judas Schaeffer"/>
    <n v="0"/>
  </r>
  <r>
    <x v="329"/>
    <s v="SR 248325 Curved Monitor PO 3003868"/>
    <s v="Won"/>
    <d v="2024-01-18T00:00:00"/>
    <n v="0"/>
    <s v="GWRXB1A"/>
    <s v="Dell 34&quot; Curved USB-C Hub Monitor - P3421WM"/>
    <s v="IT/LAN Equipment"/>
    <n v="1"/>
    <n v="0"/>
    <n v="0"/>
    <m/>
    <n v="0"/>
    <m/>
    <m/>
    <n v="636"/>
    <n v="636"/>
    <n v="508.25"/>
    <n v="508.25"/>
    <s v="Jackie Moore"/>
    <n v="0"/>
  </r>
  <r>
    <x v="330"/>
    <s v="SR 248403 Monitors PO 20066240"/>
    <s v="Won"/>
    <d v="2024-01-18T00:00:00"/>
    <n v="0"/>
    <s v="210-BGPK"/>
    <s v="Dell E2424HS 24&quot; LED LCD"/>
    <s v="IT/LAN Equipment"/>
    <n v="2"/>
    <n v="0"/>
    <n v="0"/>
    <m/>
    <n v="0"/>
    <m/>
    <m/>
    <n v="189"/>
    <n v="378"/>
    <n v="107.74"/>
    <n v="215.48"/>
    <s v="Jackie Moore"/>
    <n v="0"/>
  </r>
  <r>
    <x v="331"/>
    <s v="SR 248491 Jabra Evolve2 PO 50168763"/>
    <s v="Won"/>
    <d v="2024-01-18T00:00:00"/>
    <n v="0"/>
    <s v="26599-989-999"/>
    <s v="Jabra Evolve2 65 Headset - Stereo - USB Type A - Wireless - Bluetooth - Over-the-head - Binaural - Supra-aural - Black"/>
    <s v="IT/LAN Equipment"/>
    <n v="1"/>
    <n v="0"/>
    <n v="0"/>
    <m/>
    <n v="0"/>
    <m/>
    <m/>
    <n v="245"/>
    <n v="245"/>
    <n v="202.79"/>
    <n v="202.79"/>
    <s v="Jackie Moore"/>
    <n v="0"/>
  </r>
  <r>
    <x v="332"/>
    <s v="SR 248412 Standard Dock PO 50168762"/>
    <s v="Won"/>
    <d v="2024-01-18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333"/>
    <s v="StorageCraft - SPC Retail Display Group (Sam Pievac)"/>
    <s v="Won"/>
    <d v="2024-01-22T00:00:00"/>
    <n v="0"/>
    <s v="XSXW00USMS011YZZZ"/>
    <s v="StorageCraft SP SPX Srvr(Wndws)-Maint-1Y-Qty 1-9 Reg | A8F7-D6B7-7029-F316"/>
    <s v="IT/LAN Equipment"/>
    <n v="2"/>
    <n v="0"/>
    <n v="0"/>
    <m/>
    <n v="0"/>
    <m/>
    <m/>
    <n v="290"/>
    <n v="580"/>
    <n v="210.24"/>
    <n v="420.48"/>
    <s v="Andrew Harp"/>
    <n v="12.7616"/>
  </r>
  <r>
    <x v="334"/>
    <s v="SR 248493 Acrobat Std PO 20066242"/>
    <s v="Won"/>
    <d v="2024-01-18T00:00:00"/>
    <n v="0"/>
    <s v="65324347AD01A00"/>
    <s v="Adobe Acrobat Standard 2020"/>
    <s v="NRR - Agent Income"/>
    <n v="1"/>
    <n v="0"/>
    <n v="0"/>
    <m/>
    <n v="0"/>
    <m/>
    <m/>
    <n v="359"/>
    <n v="359"/>
    <n v="354.03"/>
    <n v="354.03"/>
    <s v="Jackie Moore"/>
    <n v="0"/>
  </r>
  <r>
    <x v="335"/>
    <s v="SR 248496 Latitude 5540 Bundle PO 962702"/>
    <s v="Won"/>
    <d v="2024-01-18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35"/>
    <s v="SR 248496 Latitude 5540 Bundle PO 962702"/>
    <s v="Won"/>
    <d v="2024-01-18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35"/>
    <s v="SR 248496 Latitude 5540 Bundle PO 962702"/>
    <s v="Won"/>
    <d v="2024-01-18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335"/>
    <s v="SR 248496 Latitude 5540 Bundle PO 962702"/>
    <s v="Won"/>
    <d v="2024-01-18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335"/>
    <s v="SR 248496 Latitude 5540 Bundle PO 962702"/>
    <s v="Won"/>
    <d v="2024-01-18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336"/>
    <s v="SR 248494 Precision 7780 Bundle PO 50168764"/>
    <s v="Won"/>
    <d v="2024-01-18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336"/>
    <s v="SR 248494 Precision 7780 Bundle PO 50168764"/>
    <s v="Won"/>
    <d v="2024-01-18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336"/>
    <s v="SR 248494 Precision 7780 Bundle PO 50168764"/>
    <s v="Won"/>
    <d v="2024-01-18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36"/>
    <s v="SR 248494 Precision 7780 Bundle PO 50168764"/>
    <s v="Won"/>
    <d v="2024-01-18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336"/>
    <s v="SR 248494 Precision 7780 Bundle PO 50168764"/>
    <s v="Won"/>
    <d v="2024-01-18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37"/>
    <s v="SR 248581 Precision 7780 Bundle Monitors Desk Phone Acrobat Std PO 20066245"/>
    <s v="Won"/>
    <d v="2024-01-18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37"/>
    <s v="SR 248581 Precision 7780 Bundle Monitors Desk Phone Acrobat Std PO 20066245"/>
    <s v="Won"/>
    <d v="2024-01-18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337"/>
    <s v="SR 248581 Precision 7780 Bundle Monitors Desk Phone Acrobat Std PO 20066245"/>
    <s v="Won"/>
    <d v="2024-01-18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337"/>
    <s v="SR 248581 Precision 7780 Bundle Monitors Desk Phone Acrobat Std PO 20066245"/>
    <s v="Won"/>
    <d v="2024-01-18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37"/>
    <s v="SR 248581 Precision 7780 Bundle Monitors Desk Phone Acrobat Std PO 20066245"/>
    <s v="Won"/>
    <d v="2024-01-18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337"/>
    <s v="SR 248581 Precision 7780 Bundle Monitors Desk Phone Acrobat Std PO 20066245"/>
    <s v="Won"/>
    <d v="2024-01-18T00:00:00"/>
    <n v="0"/>
    <s v="210-BGPK"/>
    <s v="Dell E2424HS 24&quot; LED LCD"/>
    <s v="IT/LAN Equipment"/>
    <n v="2"/>
    <n v="0"/>
    <n v="0"/>
    <m/>
    <n v="0"/>
    <m/>
    <m/>
    <n v="189"/>
    <n v="378"/>
    <n v="107.74"/>
    <n v="215.48"/>
    <s v="Jackie Moore"/>
    <n v="0"/>
  </r>
  <r>
    <x v="337"/>
    <s v="SR 248581 Precision 7780 Bundle Monitors Desk Phone Acrobat Std PO 20066245"/>
    <s v="Won"/>
    <d v="2024-01-18T00:00:00"/>
    <n v="0"/>
    <s v="CISCO CP-8811-K9="/>
    <s v="Cisco 8811 Unified IP Phone"/>
    <s v="IT/LAN Equipment"/>
    <n v="1"/>
    <n v="0"/>
    <n v="0"/>
    <m/>
    <n v="0"/>
    <m/>
    <m/>
    <n v="309"/>
    <n v="309"/>
    <n v="189.95"/>
    <n v="189.95"/>
    <s v="Jackie Moore"/>
    <n v="0"/>
  </r>
  <r>
    <x v="337"/>
    <s v="SR 248581 Precision 7780 Bundle Monitors Desk Phone Acrobat Std PO 20066245"/>
    <s v="Won"/>
    <d v="2024-01-18T00:00:00"/>
    <n v="0"/>
    <s v="65324347AD01A00"/>
    <s v="Adobe Acrobat Standard 2020"/>
    <s v="NRR - Agent Income"/>
    <n v="1"/>
    <n v="0"/>
    <n v="0"/>
    <m/>
    <n v="0"/>
    <m/>
    <m/>
    <n v="359"/>
    <n v="359"/>
    <n v="354.03"/>
    <n v="354.03"/>
    <s v="Jackie Moore"/>
    <n v="0"/>
  </r>
  <r>
    <x v="338"/>
    <s v="SR 248587 Precision 7780 Bundle PO 20066246"/>
    <s v="Won"/>
    <d v="2024-01-18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338"/>
    <s v="SR 248587 Precision 7780 Bundle PO 20066246"/>
    <s v="Won"/>
    <d v="2024-01-18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338"/>
    <s v="SR 248587 Precision 7780 Bundle PO 20066246"/>
    <s v="Won"/>
    <d v="2024-01-18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38"/>
    <s v="SR 248587 Precision 7780 Bundle PO 20066246"/>
    <s v="Won"/>
    <d v="2024-01-18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338"/>
    <s v="SR 248587 Precision 7780 Bundle PO 20066246"/>
    <s v="Won"/>
    <d v="2024-01-18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39"/>
    <s v="10489822 - New Computer for Programming Director - Matthew Kepler"/>
    <s v="Won"/>
    <d v="2024-01-19T00:00:00"/>
    <n v="0"/>
    <s v="40AY0090US"/>
    <s v="Lenovo ThinkPad Universal USB-C Dock"/>
    <s v="IT/LAN Equipment"/>
    <n v="1"/>
    <n v="0"/>
    <n v="0"/>
    <m/>
    <n v="0"/>
    <m/>
    <m/>
    <n v="225.35"/>
    <n v="225.35"/>
    <n v="196.71"/>
    <n v="196.71"/>
    <s v="John Sobernheim"/>
    <n v="2.4343999999999992"/>
  </r>
  <r>
    <x v="339"/>
    <s v="10489822 - New Computer for Programming Director - Matthew Kepler"/>
    <s v="Won"/>
    <d v="2024-01-19T00:00:00"/>
    <n v="0"/>
    <s v="21KG000FUS"/>
    <s v="Lenovo ThinkBook 14 G6 IRL 14&quot; Touchscreen Notebook - WUXGA - 1920 x 1200 - Intel Core i7 13th Gen i7-1355U Deca-core (10 Core) 1.70 GHz - 16 GB Total RAM - 512 GB SSD - Arctic Gray - Intel Chip - Windows 11 Pro - Intel Iris Xe Graphics - In-pl"/>
    <s v="IT/LAN Equipment"/>
    <n v="1"/>
    <n v="0"/>
    <n v="0"/>
    <m/>
    <n v="0"/>
    <m/>
    <m/>
    <n v="968.36"/>
    <n v="968.36"/>
    <n v="842.05"/>
    <n v="842.05"/>
    <s v="John Sobernheim"/>
    <n v="10.736350000000005"/>
  </r>
  <r>
    <x v="339"/>
    <s v="10489822 - New Computer for Programming Director - Matthew Kepler"/>
    <s v="Won"/>
    <d v="2024-01-19T00:00:00"/>
    <n v="0"/>
    <s v="Pickup"/>
    <s v="PC(s) will be built, updated and configured and then picked up by the client from the Meriplex Office"/>
    <s v="IT/LAN Equipment"/>
    <n v="1"/>
    <n v="0"/>
    <n v="0"/>
    <m/>
    <n v="0"/>
    <m/>
    <m/>
    <n v="149"/>
    <n v="149"/>
    <n v="0"/>
    <n v="0"/>
    <s v="John Sobernheim"/>
    <n v="12.665000000000001"/>
  </r>
  <r>
    <x v="340"/>
    <s v="SR 248589 Precisiojn 7780 Bundle PO 20066249"/>
    <s v="Won"/>
    <d v="2024-01-18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340"/>
    <s v="SR 248589 Precisiojn 7780 Bundle PO 20066249"/>
    <s v="Won"/>
    <d v="2024-01-18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340"/>
    <s v="SR 248589 Precisiojn 7780 Bundle PO 20066249"/>
    <s v="Won"/>
    <d v="2024-01-18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40"/>
    <s v="SR 248589 Precisiojn 7780 Bundle PO 20066249"/>
    <s v="Won"/>
    <d v="2024-01-18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40"/>
    <s v="SR 248589 Precisiojn 7780 Bundle PO 20066249"/>
    <s v="Won"/>
    <d v="2024-01-18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341"/>
    <s v="SR 248588 Precision 7780 Bundle PO 20066247"/>
    <s v="Won"/>
    <d v="2024-01-18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41"/>
    <s v="SR 248588 Precision 7780 Bundle PO 20066247"/>
    <s v="Won"/>
    <d v="2024-01-18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341"/>
    <s v="SR 248588 Precision 7780 Bundle PO 20066247"/>
    <s v="Won"/>
    <d v="2024-01-18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341"/>
    <s v="SR 248588 Precision 7780 Bundle PO 20066247"/>
    <s v="Won"/>
    <d v="2024-01-18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341"/>
    <s v="SR 248588 Precision 7780 Bundle PO 20066247"/>
    <s v="Won"/>
    <d v="2024-01-18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42"/>
    <s v="SR 248634 Latitude 5540 Bundle PO 20066250"/>
    <s v="Won"/>
    <d v="2024-01-18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342"/>
    <s v="SR 248634 Latitude 5540 Bundle PO 20066250"/>
    <s v="Won"/>
    <d v="2024-01-18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342"/>
    <s v="SR 248634 Latitude 5540 Bundle PO 20066250"/>
    <s v="Won"/>
    <d v="2024-01-18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42"/>
    <s v="SR 248634 Latitude 5540 Bundle PO 20066250"/>
    <s v="Won"/>
    <d v="2024-01-18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342"/>
    <s v="SR 248634 Latitude 5540 Bundle PO 20066250"/>
    <s v="Won"/>
    <d v="2024-01-18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43"/>
    <s v="10486554 - Prep Three Computers for Deployment"/>
    <s v="Won"/>
    <d v="2024-01-18T00:00:00"/>
    <n v="0"/>
    <s v="Pickup"/>
    <s v="PC(s) will be built, updated and configured and then picked up by the client from the Meriplex Office"/>
    <s v="IT/LAN Equipment"/>
    <n v="3"/>
    <n v="0"/>
    <n v="0"/>
    <m/>
    <n v="0"/>
    <m/>
    <m/>
    <n v="99"/>
    <n v="297"/>
    <n v="0"/>
    <n v="0"/>
    <s v="John Sobernheim"/>
    <n v="25.245000000000001"/>
  </r>
  <r>
    <x v="344"/>
    <s v="SR 248645 Latitude 5540 Bundle Monitors Desk Phone PO 50168784"/>
    <s v="Won"/>
    <d v="2024-01-18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344"/>
    <s v="SR 248645 Latitude 5540 Bundle Monitors Desk Phone PO 50168784"/>
    <s v="Won"/>
    <d v="2024-01-18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344"/>
    <s v="SR 248645 Latitude 5540 Bundle Monitors Desk Phone PO 50168784"/>
    <s v="Won"/>
    <d v="2024-01-18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44"/>
    <s v="SR 248645 Latitude 5540 Bundle Monitors Desk Phone PO 50168784"/>
    <s v="Won"/>
    <d v="2024-01-18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344"/>
    <s v="SR 248645 Latitude 5540 Bundle Monitors Desk Phone PO 50168784"/>
    <s v="Won"/>
    <d v="2024-01-18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44"/>
    <s v="SR 248645 Latitude 5540 Bundle Monitors Desk Phone PO 50168784"/>
    <s v="Won"/>
    <d v="2024-01-18T00:00:00"/>
    <n v="0"/>
    <s v="210-BGPK"/>
    <s v="Dell E2424HS 24&quot; LED LCD"/>
    <s v="IT/LAN Equipment"/>
    <n v="2"/>
    <n v="0"/>
    <n v="0"/>
    <m/>
    <n v="0"/>
    <m/>
    <m/>
    <n v="189"/>
    <n v="378"/>
    <n v="107.74"/>
    <n v="215.48"/>
    <s v="Jackie Moore"/>
    <n v="0"/>
  </r>
  <r>
    <x v="344"/>
    <s v="SR 248645 Latitude 5540 Bundle Monitors Desk Phone PO 50168784"/>
    <s v="Won"/>
    <d v="2024-01-18T00:00:00"/>
    <n v="0"/>
    <s v="CISCO CP-8811-K9="/>
    <s v="Cisco 8811 Unified IP Phone"/>
    <s v="IT/LAN Equipment"/>
    <n v="1"/>
    <n v="0"/>
    <n v="0"/>
    <m/>
    <n v="0"/>
    <m/>
    <m/>
    <n v="309"/>
    <n v="309"/>
    <n v="189.95"/>
    <n v="189.95"/>
    <s v="Jackie Moore"/>
    <n v="0"/>
  </r>
  <r>
    <x v="345"/>
    <s v="SR 248651 Latitude 5540 Bundle PO 3003869"/>
    <s v="Won"/>
    <d v="2024-01-18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345"/>
    <s v="SR 248651 Latitude 5540 Bundle PO 3003869"/>
    <s v="Won"/>
    <d v="2024-01-18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345"/>
    <s v="SR 248651 Latitude 5540 Bundle PO 3003869"/>
    <s v="Won"/>
    <d v="2024-01-18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45"/>
    <s v="SR 248651 Latitude 5540 Bundle PO 3003869"/>
    <s v="Won"/>
    <d v="2024-01-18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345"/>
    <s v="SR 248651 Latitude 5540 Bundle PO 3003869"/>
    <s v="Won"/>
    <d v="2024-01-18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46"/>
    <s v="HPE 1YR PW - Centeno Schultz"/>
    <s v="Won"/>
    <d v="2024-01-29T00:00:00"/>
    <n v="0"/>
    <s v="H6PA9PE"/>
    <s v="1YR NBD - CN7AK3Q214 | HPE 1YR REN FOUNDATION CARE SVCS NBD EXCH 1920S 24G SWCHSVC PL-LS"/>
    <s v="IT/LAN Equipment"/>
    <n v="1"/>
    <n v="0"/>
    <n v="0"/>
    <m/>
    <n v="0"/>
    <m/>
    <m/>
    <n v="21"/>
    <n v="21"/>
    <n v="15.77"/>
    <n v="15.77"/>
    <s v="Andrew Harp"/>
    <n v="0.41840000000000005"/>
  </r>
  <r>
    <x v="346"/>
    <s v="HPE 1YR PW - Centeno Schultz"/>
    <s v="Won"/>
    <d v="2024-01-29T00:00:00"/>
    <n v="0"/>
    <s v="H6PM4PE"/>
    <s v="1YR NBD - CN7AK3R05B, CN7AK3R08T | 1YR RNWL FOUNDATION CARE NBD SVCS EXCH 1920S 48GSWCH SVC PL-LS"/>
    <s v="IT/LAN Equipment"/>
    <n v="2"/>
    <n v="0"/>
    <n v="0"/>
    <m/>
    <n v="0"/>
    <m/>
    <m/>
    <n v="25"/>
    <n v="50"/>
    <n v="18.96"/>
    <n v="37.92"/>
    <s v="Andrew Harp"/>
    <n v="0.96639999999999993"/>
  </r>
  <r>
    <x v="347"/>
    <s v="SR 248988 Latitude 5540 Bundle PO 13964518"/>
    <s v="Won"/>
    <d v="2024-01-18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347"/>
    <s v="SR 248988 Latitude 5540 Bundle PO 13964518"/>
    <s v="Won"/>
    <d v="2024-01-18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347"/>
    <s v="SR 248988 Latitude 5540 Bundle PO 13964518"/>
    <s v="Won"/>
    <d v="2024-01-18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47"/>
    <s v="SR 248988 Latitude 5540 Bundle PO 13964518"/>
    <s v="Won"/>
    <d v="2024-01-18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347"/>
    <s v="SR 248988 Latitude 5540 Bundle PO 13964518"/>
    <s v="Won"/>
    <d v="2024-01-18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48"/>
    <s v="SR 248976 Precision 7780 Bundle PO 50168767"/>
    <s v="Won"/>
    <d v="2024-01-19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348"/>
    <s v="SR 248976 Precision 7780 Bundle PO 50168767"/>
    <s v="Won"/>
    <d v="2024-01-19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348"/>
    <s v="SR 248976 Precision 7780 Bundle PO 50168767"/>
    <s v="Won"/>
    <d v="2024-01-19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348"/>
    <s v="SR 248976 Precision 7780 Bundle PO 50168767"/>
    <s v="Won"/>
    <d v="2024-01-19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348"/>
    <s v="SR 248976 Precision 7780 Bundle PO 50168767"/>
    <s v="Won"/>
    <d v="2024-01-19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349"/>
    <s v="10490450 - 2012 Server Upgrade Project - Phase 2 - App Installs, Data Migration, Testing"/>
    <s v="Won"/>
    <d v="2024-01-30T00:00:00"/>
    <n v="0"/>
    <s v="MPC-BLK-25-50"/>
    <s v="Hourly Support Block (26 - 50 Units)"/>
    <s v="IT/LAN Installation"/>
    <n v="40"/>
    <n v="0"/>
    <n v="0"/>
    <m/>
    <n v="0"/>
    <m/>
    <m/>
    <n v="225"/>
    <n v="9000"/>
    <n v="0"/>
    <n v="0"/>
    <s v="Jonathan DeFez"/>
    <n v="360"/>
  </r>
  <r>
    <x v="350"/>
    <s v="Lebco - Cabling for Shreveport Store"/>
    <s v="Won"/>
    <d v="2024-01-19T00:00:00"/>
    <n v="0"/>
    <s v="MPC-3P-CAB-1"/>
    <s v="3rd Party Cabling"/>
    <s v="IT/LAN Installation"/>
    <n v="1"/>
    <n v="0"/>
    <n v="0"/>
    <m/>
    <n v="0"/>
    <m/>
    <m/>
    <n v="1663"/>
    <n v="1663"/>
    <n v="1330"/>
    <n v="1330"/>
    <s v="Kennon Jayne"/>
    <n v="66.52"/>
  </r>
  <r>
    <x v="351"/>
    <s v="POTS line for Atoka PT Clinic"/>
    <s v="Won"/>
    <d v="2024-01-30T00:00:00"/>
    <n v="35"/>
    <s v="V-POTS="/>
    <s v="Local Exchange Business Line"/>
    <s v="Voice Services"/>
    <n v="1"/>
    <n v="35"/>
    <n v="70"/>
    <m/>
    <n v="35"/>
    <m/>
    <m/>
    <n v="35"/>
    <n v="35"/>
    <n v="0"/>
    <n v="0"/>
    <s v="Michael True"/>
    <n v="1.4000000000000001"/>
  </r>
  <r>
    <x v="352"/>
    <s v="10486782 - Fortinet Renewal 1-Year 24x7 UTM Renewal For multiple firewalls and devices"/>
    <s v="Won"/>
    <d v="2024-01-31T00:00:00"/>
    <n v="0"/>
    <s v="FORTICO-TERM"/>
    <s v="FORTINET COTERM PRICED PER QUOTE"/>
    <s v="IT/LAN Equipment"/>
    <n v="1"/>
    <n v="0"/>
    <n v="0"/>
    <m/>
    <n v="0"/>
    <m/>
    <m/>
    <n v="8600"/>
    <n v="8600"/>
    <n v="7051.95"/>
    <n v="7051.95"/>
    <s v="Ron Walker"/>
    <n v="131.58425000000003"/>
  </r>
  <r>
    <x v="353"/>
    <s v="MPX LA - Two Computers"/>
    <s v="Won"/>
    <d v="2024-01-23T00:00:00"/>
    <n v="0"/>
    <s v="83Q60UT#ABA"/>
    <s v="HP Pro Mini Pro Mini 400 G9 Desktop Computer - Intel Core i5 12th Gen i5-12500T Hexa-core (6 Core) 2 GHz - 16 GB RAM DDR4 SDRAM - 256 GB M.2 PCI Express NVMe SSD - Desktop Mini - Black - Intel Q670 Chip - Windows 11 Pro - Intel UHD Graphics 770 DDR4 SDRAM"/>
    <s v="IT/LAN Equipment"/>
    <n v="2"/>
    <n v="0"/>
    <n v="0"/>
    <m/>
    <n v="0"/>
    <m/>
    <m/>
    <n v="946.25"/>
    <n v="1892.5"/>
    <n v="692.51"/>
    <n v="1385.02"/>
    <s v="Mitch Verma"/>
    <n v="20.299200000000003"/>
  </r>
  <r>
    <x v="353"/>
    <s v="MPX LA - Two Computers"/>
    <s v="Won"/>
    <d v="2024-01-23T00:00:00"/>
    <n v="0"/>
    <s v="F2B56UT"/>
    <s v="HP DVD-Writer - External - DVD-R/RW Support - USB"/>
    <s v="IT/LAN Equipment"/>
    <n v="1"/>
    <n v="0"/>
    <n v="0"/>
    <m/>
    <n v="0"/>
    <m/>
    <m/>
    <n v="78"/>
    <n v="78"/>
    <n v="62.8"/>
    <n v="62.8"/>
    <s v="Mitch Verma"/>
    <n v="0.6080000000000001"/>
  </r>
  <r>
    <x v="354"/>
    <s v="10424731 - Digium Titanium Renewal"/>
    <s v="Won"/>
    <d v="2024-01-19T00:00:00"/>
    <n v="0"/>
    <s v="1SWXTSUB1R2"/>
    <s v="Digium 2 Year Switchvox Titanium Support and Maint"/>
    <s v="IT/LAN Equipment"/>
    <n v="25"/>
    <n v="0"/>
    <n v="0"/>
    <m/>
    <n v="0"/>
    <m/>
    <m/>
    <n v="36"/>
    <n v="900"/>
    <n v="28.44"/>
    <n v="711"/>
    <s v="Kennon Jayne"/>
    <n v="15.120000000000001"/>
  </r>
  <r>
    <x v="355"/>
    <s v="MPX LA - SSL Certificate renewals"/>
    <s v="Won"/>
    <d v="2024-01-30T00:00:00"/>
    <n v="0"/>
    <s v="SSL Certificates:3606-2"/>
    <s v="Single Domain Secure Sockets Layer (SSL) Certificate - Annual"/>
    <s v="NRR - Agent Income"/>
    <n v="2"/>
    <n v="0"/>
    <n v="0"/>
    <m/>
    <n v="0"/>
    <m/>
    <m/>
    <n v="83"/>
    <n v="166"/>
    <n v="67.989999999999995"/>
    <n v="135.97999999999999"/>
    <s v="Mitch Verma"/>
    <n v="1.2008000000000005"/>
  </r>
  <r>
    <x v="356"/>
    <s v="MPX LA - Barracuda Cloud Archiving Service Renewal"/>
    <s v="Won"/>
    <d v="2024-01-25T00:00:00"/>
    <n v="0"/>
    <s v="EP-CAS-Usr-1M"/>
    <s v="Email Protection, 274 Users, Cloud Archiving Service, per User, 1 Month SN# 891938 22-Mar-2024 - 21-Mar-2025"/>
    <s v="IT/LAN Equipment"/>
    <n v="1"/>
    <n v="0"/>
    <n v="0"/>
    <m/>
    <n v="0"/>
    <m/>
    <m/>
    <n v="12837"/>
    <n v="12837"/>
    <n v="10525.59"/>
    <n v="10525.59"/>
    <s v="Mitch Verma"/>
    <n v="92.456400000000002"/>
  </r>
  <r>
    <x v="357"/>
    <s v="Parker PT Workstation"/>
    <s v="Won"/>
    <d v="2024-01-23T00:00:00"/>
    <n v="0"/>
    <s v="MWP91"/>
    <s v="Dell OptiPlex Desktop Computer - Intel Core i5 13th Gen i5-13500T Tetradeca-core (14 Core) 1.60 GHz - 8 GB RAM DDR4 SDRAM - 256 GB M.2 PCI Express NVMe SSD - Micro PC - Black - Intel Chip - Windows 11 Pro - Intel UHD Graphics 770 DDR4 SDRAM - English (US)"/>
    <s v="IT/LAN Equipment"/>
    <n v="1"/>
    <n v="0"/>
    <n v="0"/>
    <m/>
    <n v="0"/>
    <m/>
    <m/>
    <n v="793.02"/>
    <n v="793.02"/>
    <n v="650.28"/>
    <n v="650.28"/>
    <s v="Michael True"/>
    <n v="12.132900000000001"/>
  </r>
  <r>
    <x v="357"/>
    <s v="Parker PT Workstation"/>
    <s v="Won"/>
    <d v="2024-01-23T00:00:00"/>
    <n v="0"/>
    <s v="N201-06N-BK"/>
    <s v="Tripp Lite Cat6 Gigabit Snagless Molded (UTP) Ethernet Cable (RJ45 M/M) PoE Black 6-in. (15.24 cm) - Category 6 for Network Device, Network Adapter, Router, Server, Modem, Hub, Switch - 128 MB/s - Patch Cable - 5.91&quot; - 1 x RJ-45 Male Network - 1 x RJ-45 M"/>
    <s v="IT/LAN Equipment"/>
    <n v="1"/>
    <n v="0"/>
    <n v="0"/>
    <m/>
    <n v="0"/>
    <m/>
    <m/>
    <n v="1.78"/>
    <n v="1.78"/>
    <n v="1.46"/>
    <n v="1.46"/>
    <s v="Michael True"/>
    <n v="2.7200000000000009E-2"/>
  </r>
  <r>
    <x v="358"/>
    <s v="MPX LA - SSL Certificate renewal"/>
    <s v="Won"/>
    <d v="2024-01-26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Mitch Verma"/>
    <n v="0.60040000000000027"/>
  </r>
  <r>
    <x v="359"/>
    <s v="Quote #MPS123082 Microsoft NCE - All Valley Washer - Additions"/>
    <s v="Won"/>
    <d v="2024-01-25T00:00:00"/>
    <n v="4.8"/>
    <s v="CPI-NCE-Y-MSTeamsSharedDev"/>
    <s v="Microsoft Teams Shared Devices"/>
    <s v="MRR - Agent Income"/>
    <n v="3"/>
    <n v="8"/>
    <n v="6.4"/>
    <n v="80"/>
    <n v="4.8"/>
    <m/>
    <m/>
    <n v="8"/>
    <n v="24"/>
    <n v="6.4"/>
    <n v="19.200000000000003"/>
    <s v="Lathrop Lougheed"/>
    <n v="0.96"/>
  </r>
  <r>
    <x v="359"/>
    <s v="Quote #MPS123082 Microsoft NCE - All Valley Washer - Additions"/>
    <s v="Won"/>
    <d v="2024-01-25T00:00:00"/>
    <n v="4.8"/>
    <s v="CPI-NCE-Y-MSTeamsPhoneWCalling"/>
    <s v="Microsoft Teams Phone with Calling Plan - A cloud-based calling solution that enables users to make and receive PSTN calls in Microsoft Teams. It includes a phone system and domestic calling plan."/>
    <s v="MRR - Agent Income"/>
    <n v="42"/>
    <n v="15"/>
    <n v="15"/>
    <n v="100"/>
    <n v="0"/>
    <m/>
    <m/>
    <n v="15"/>
    <n v="630"/>
    <n v="15"/>
    <n v="630"/>
    <s v="Lathrop Lougheed"/>
    <n v="25.2"/>
  </r>
  <r>
    <x v="360"/>
    <s v="20 Dell monitors for Epic Deployment"/>
    <s v="Won"/>
    <d v="2024-01-26T00:00:00"/>
    <n v="0"/>
    <s v="DELL-P2422H"/>
    <s v="Dell P2422H 24&quot; Class Full HD LCD Monitor - 16:9 - Black, Silver - 23.8&quot; Viewable - In-plane Switching (IPS) Technology - LED Backlight - 1920 x 1080 - 16.7 Million Colors - 250 Nit Typical - 5 ms GTG (Fast) - 75 Hz Refresh Rate - HDMI - VGA - DisplayPort"/>
    <s v="IT/LAN Equipment"/>
    <n v="20"/>
    <n v="0"/>
    <n v="0"/>
    <m/>
    <n v="0"/>
    <m/>
    <m/>
    <n v="189"/>
    <n v="3780"/>
    <n v="154.22"/>
    <n v="3084.4"/>
    <s v="Michael True"/>
    <n v="59.125999999999998"/>
  </r>
  <r>
    <x v="361"/>
    <s v="HPE Support ML110 Gen10 SN: 2M2018051P"/>
    <s v="Won"/>
    <d v="2024-01-22T00:00:00"/>
    <n v="0"/>
    <s v="SP-SVR-4HO-36"/>
    <s v="Extended Server Warranty - Onsite - 4 Hour Response. 36 Months."/>
    <s v="IT/LAN Equipment"/>
    <n v="1"/>
    <n v="0"/>
    <n v="0"/>
    <m/>
    <n v="0"/>
    <m/>
    <m/>
    <n v="852"/>
    <n v="852"/>
    <n v="532.79999999999995"/>
    <n v="532.79999999999995"/>
    <s v="Andrew Harp"/>
    <n v="25.536000000000005"/>
  </r>
  <r>
    <x v="362"/>
    <s v="MPX LA - Domain renewals"/>
    <s v="Won"/>
    <d v="2024-01-22T00:00:00"/>
    <n v="0"/>
    <s v="VMS - Domain Reg/Renewal"/>
    <s v="Domain Registration/Renewal"/>
    <s v="IT/LAN Equipment"/>
    <n v="1"/>
    <n v="0"/>
    <n v="0"/>
    <m/>
    <n v="0"/>
    <m/>
    <m/>
    <n v="215"/>
    <n v="215"/>
    <n v="175.93"/>
    <n v="175.93"/>
    <s v="Mitch Verma"/>
    <n v="1.5627999999999997"/>
  </r>
  <r>
    <x v="363"/>
    <s v="Quote #MPS123092 Per Service Ticket #10419362 - South Bay BMW UPS Replacement"/>
    <s v="Won"/>
    <d v="2024-01-30T00:00:00"/>
    <n v="0"/>
    <s v="SMX1500RM2UC"/>
    <s v="APC by Schneider Electric Smart-UPS SMX 1500VA Tower/Rack Convertible UPS - 2U Rack-mountable - AVR - 3 Hour Recharge - 5 Minute Stand-by - 120 V Input - 120 V AC Output - Sine Wave - Serial Port - 8 x NEMA 5-15R - 8 x Battery/Surge Outlet"/>
    <s v="IT/LAN Equipment"/>
    <n v="2"/>
    <n v="0"/>
    <n v="0"/>
    <m/>
    <n v="0"/>
    <m/>
    <m/>
    <n v="1016.5"/>
    <n v="2033"/>
    <n v="894.52"/>
    <n v="1789.04"/>
    <s v="Lathrop Lougheed"/>
    <n v="19.516800000000003"/>
  </r>
  <r>
    <x v="363"/>
    <s v="Quote #MPS123092 Per Service Ticket #10419362 - South Bay BMW UPS Replacement"/>
    <s v="Won"/>
    <d v="2024-01-30T00:00:00"/>
    <n v="0"/>
    <s v="SMX1500RM2UC"/>
    <s v="APC by Schneider Electric Smart-UPS SMX 1500VA Tower/Rack Convertible UPS - 2U Rack-mountable - AVR - 3 Hour Recharge - 5 Minute Stand-by - 120 V Input - 120 V AC Output - Sine Wave - Serial Port - 8 x NEMA 5-15R - 8 x Battery/Surge Outlet"/>
    <s v="IT/LAN Equipment"/>
    <n v="4"/>
    <n v="0"/>
    <n v="0"/>
    <m/>
    <n v="0"/>
    <m/>
    <m/>
    <n v="1016.5"/>
    <n v="4066"/>
    <n v="894.52"/>
    <n v="3578.08"/>
    <s v="Lathrop Lougheed"/>
    <n v="39.033600000000007"/>
  </r>
  <r>
    <x v="363"/>
    <s v="Quote #MPS123092 Per Service Ticket #10419362 - South Bay BMW UPS Replacement"/>
    <s v="Won"/>
    <d v="2024-01-30T00:00:00"/>
    <n v="0"/>
    <s v="SMX1500RM2UC"/>
    <s v="APC by Schneider Electric Smart-UPS SMX 1500VA Tower/Rack Convertible UPS - 2U Rack-mountable - AVR - 3 Hour Recharge - 5 Minute Stand-by - 120 V Input - 120 V AC Output - Sine Wave - Serial Port - 8 x NEMA 5-15R - 8 x Battery/Surge Outlet"/>
    <s v="IT/LAN Equipment"/>
    <n v="1"/>
    <n v="0"/>
    <n v="0"/>
    <m/>
    <n v="0"/>
    <m/>
    <m/>
    <n v="1016.5"/>
    <n v="1016.5"/>
    <n v="894.52"/>
    <n v="894.52"/>
    <s v="Lathrop Lougheed"/>
    <n v="9.7584000000000017"/>
  </r>
  <r>
    <x v="363"/>
    <s v="Quote #MPS123092 Per Service Ticket #10419362 - South Bay BMW UPS Replacement"/>
    <s v="Won"/>
    <d v="2024-01-30T00:00:00"/>
    <n v="0"/>
    <s v="SMX1500RM2UC"/>
    <s v="APC by Schneider Electric Smart-UPS SMX 1500VA Tower/Rack Convertible UPS - 2U Rack-mountable - AVR - 3 Hour Recharge - 5 Minute Stand-by - 120 V Input - 120 V AC Output - Sine Wave - Serial Port - 8 x NEMA 5-15R - 8 x Battery/Surge Outlet"/>
    <s v="IT/LAN Equipment"/>
    <n v="1"/>
    <n v="0"/>
    <n v="0"/>
    <m/>
    <n v="0"/>
    <m/>
    <m/>
    <n v="1016.5"/>
    <n v="1016.5"/>
    <n v="894.52"/>
    <n v="894.52"/>
    <s v="Lathrop Lougheed"/>
    <n v="9.7584000000000017"/>
  </r>
  <r>
    <x v="363"/>
    <s v="Quote #MPS123092 Per Service Ticket #10419362 - South Bay BMW UPS Replacement"/>
    <s v="Won"/>
    <d v="2024-01-30T00:00:00"/>
    <n v="0"/>
    <s v="MPC-PS-T2"/>
    <s v="Meriplex Tier 2 Engineer Labor"/>
    <s v="IT/LAN Installation"/>
    <n v="1"/>
    <n v="0"/>
    <n v="0"/>
    <m/>
    <n v="0"/>
    <m/>
    <m/>
    <n v="950"/>
    <n v="950"/>
    <n v="0"/>
    <n v="0"/>
    <s v="Lathrop Lougheed"/>
    <n v="38"/>
  </r>
  <r>
    <x v="364"/>
    <s v="Quote #MPS123068 Microsoft NCE - ACR Trust - Power Automate Premium Addition"/>
    <s v="Won"/>
    <d v="2024-01-23T00:00:00"/>
    <n v="27"/>
    <s v="CPI-NCE-M-PowerAutomatePrem"/>
    <s v="Power Automate Premium - Monthly"/>
    <s v="MRR - Agent Income"/>
    <n v="6"/>
    <n v="18"/>
    <n v="13.5"/>
    <n v="75"/>
    <n v="27"/>
    <m/>
    <m/>
    <n v="18"/>
    <n v="108"/>
    <n v="13.5"/>
    <n v="81"/>
    <s v="Kade Thurman"/>
    <n v="0"/>
  </r>
  <r>
    <x v="365"/>
    <s v="Quote #MPS123083 Per Service Ticket # 10481868 - Dock for Sara Mariniello"/>
    <s v="Won"/>
    <d v="2024-01-25T00:00:00"/>
    <n v="0"/>
    <s v="40B00135US"/>
    <s v="Lenovo - Open Source Docking Station - for Notebook/Monitor - 100 W - USB Type C - 4 Displays Supported - 4K - 3840 x 2160 - 4 x USB Type-A Ports - USB Type-A - 1 x USB Type-C Ports - USB Type-C - 1 x RJ-45 Ports - Network (RJ-45) - HDMI - DisplayPort - T"/>
    <s v="IT/LAN Equipment"/>
    <n v="1"/>
    <n v="0"/>
    <n v="0"/>
    <m/>
    <n v="0"/>
    <m/>
    <m/>
    <n v="304.86"/>
    <n v="304.86"/>
    <n v="262.18"/>
    <n v="262.18"/>
    <s v="Kade Thurman"/>
    <n v="0"/>
  </r>
  <r>
    <x v="366"/>
    <s v="Pufahl Gee Insurance Agencies- NetManage and NetSecure"/>
    <s v="Won"/>
    <d v="2024-01-18T00:00:00"/>
    <n v="2000"/>
    <s v="NMCU001"/>
    <s v="Unlimited Support with ticketing for a single user running a current version of Windows or Mac OS X. Includes Server and Workstation Patching, Supporting Infrastructure (Servers, Switches, Firewalls, Routers, Storage Appliances, Wireless) and Monitoring,"/>
    <s v="Managed Services"/>
    <n v="10"/>
    <n v="200"/>
    <n v="0"/>
    <m/>
    <n v="2000"/>
    <m/>
    <m/>
    <n v="200"/>
    <n v="2000"/>
    <n v="0"/>
    <n v="0"/>
    <s v="Lathrop Lougheed"/>
    <n v="80"/>
  </r>
  <r>
    <x v="367"/>
    <s v="Smart-UPS C1500 replacement battery"/>
    <s v="Won"/>
    <d v="2024-01-23T00:00:00"/>
    <n v="0"/>
    <s v="MPC-PS-T2"/>
    <s v="Meriplex Tier 2 Engineer Labor"/>
    <s v="IT/LAN Installation"/>
    <n v="0.5"/>
    <n v="0"/>
    <n v="0"/>
    <m/>
    <n v="0"/>
    <m/>
    <m/>
    <n v="120"/>
    <n v="60"/>
    <n v="0"/>
    <n v="0"/>
    <s v="Lathrop Lougheed"/>
    <n v="2.4"/>
  </r>
  <r>
    <x v="367"/>
    <s v="Smart-UPS C1500 replacement battery"/>
    <s v="Won"/>
    <d v="2024-01-23T00:00:00"/>
    <n v="0"/>
    <s v="RBC6"/>
    <s v="APC by Schneider Electric Replacement Battery Cartridge #6 - 12 V DC - Lead Acid - Hot Swappable - 3 Year Minimum Battery Life - 5 Year Maximum Battery Life"/>
    <s v="IT/LAN Equipment"/>
    <n v="1"/>
    <n v="0"/>
    <n v="0"/>
    <m/>
    <n v="0"/>
    <m/>
    <m/>
    <n v="223"/>
    <n v="223"/>
    <n v="181.15"/>
    <n v="181.15"/>
    <s v="Lathrop Lougheed"/>
    <n v="3.3479999999999994"/>
  </r>
  <r>
    <x v="368"/>
    <s v="Aruba - OrthoSouth"/>
    <s v="Won"/>
    <d v="2024-01-30T00:00:00"/>
    <n v="0"/>
    <s v="Q9Y59AAE"/>
    <s v="3YR SUB ARUBA CENTRAL AP FND LICS E-STU PL-L5"/>
    <s v="IT/LAN Equipment"/>
    <n v="25"/>
    <n v="0"/>
    <n v="0"/>
    <m/>
    <n v="0"/>
    <m/>
    <m/>
    <n v="244.06"/>
    <n v="6101.5"/>
    <n v="195.25"/>
    <n v="4881.25"/>
    <s v="Michael True"/>
    <n v="103.72125000000001"/>
  </r>
  <r>
    <x v="369"/>
    <s v="FortiAP231F 1YR - 174 Power Global Corp"/>
    <s v="Won"/>
    <d v="2024-01-22T00:00:00"/>
    <n v="0"/>
    <s v="FC-10-PF231-247-02-12"/>
    <s v="FP231FTF21030361 | 1YR 24X7 FORTIAP-231F FORTICARE CONTRACT | 2/9/2024-2/8/2025"/>
    <s v="IT/LAN Equipment"/>
    <n v="1"/>
    <n v="0"/>
    <n v="0"/>
    <m/>
    <n v="0"/>
    <m/>
    <m/>
    <n v="68.099999999999994"/>
    <n v="68.099999999999994"/>
    <n v="54.48"/>
    <n v="54.48"/>
    <s v="Cynthia Newsom"/>
    <n v="1.1577"/>
  </r>
  <r>
    <x v="370"/>
    <s v="MPX LA - SSL Certificate renewal"/>
    <s v="Won"/>
    <d v="2024-01-23T00:00:00"/>
    <n v="0"/>
    <s v="VMS - VSI-SSL Cert Standard"/>
    <s v="Standard SSL Certificate - 1 Year"/>
    <s v="IT/LAN Equipment"/>
    <n v="1"/>
    <n v="0"/>
    <n v="0"/>
    <m/>
    <n v="0"/>
    <m/>
    <m/>
    <n v="85"/>
    <n v="85"/>
    <n v="67.989999999999995"/>
    <n v="67.989999999999995"/>
    <s v="Mitch Verma"/>
    <n v="0.68040000000000023"/>
  </r>
  <r>
    <x v="371"/>
    <s v="MPX LA - Domain renewals"/>
    <s v="Won"/>
    <d v="2024-01-23T00:00:00"/>
    <n v="0"/>
    <s v="Godaddy Domain Renewal"/>
    <s v="Domain Name Renewal - Per Year"/>
    <s v="IT/LAN Equipment"/>
    <n v="1"/>
    <n v="0"/>
    <n v="0"/>
    <m/>
    <n v="0"/>
    <m/>
    <m/>
    <n v="30"/>
    <n v="30"/>
    <n v="23.42"/>
    <n v="23.42"/>
    <s v="Mitch Verma"/>
    <n v="0.26319999999999993"/>
  </r>
  <r>
    <x v="372"/>
    <s v="FB Teams Dial2Teams Solutions - NYC Temporary Office"/>
    <s v="Won"/>
    <d v="2024-01-24T00:00:00"/>
    <n v="43.54"/>
    <s v="UCS-D2T-LOC="/>
    <s v="Meriplex Dial2Teams - Location"/>
    <s v="UCaaS"/>
    <n v="1"/>
    <n v="18"/>
    <n v="5.38"/>
    <m/>
    <n v="18"/>
    <m/>
    <m/>
    <n v="50"/>
    <n v="50"/>
    <n v="0"/>
    <n v="0"/>
    <s v="Rick Carlson"/>
    <n v="2"/>
  </r>
  <r>
    <x v="372"/>
    <s v="FB Teams Dial2Teams Solutions - NYC Temporary Office"/>
    <s v="Won"/>
    <d v="2024-01-24T00:00:00"/>
    <n v="43.54"/>
    <s v="UCS-D2T-CPO="/>
    <s v="Meriplex Dial2Teams - Calling Plan Only"/>
    <s v="Voice Services"/>
    <n v="2"/>
    <n v="10.5"/>
    <n v="3.21"/>
    <m/>
    <n v="21"/>
    <m/>
    <m/>
    <n v="50"/>
    <n v="100"/>
    <n v="0"/>
    <n v="0"/>
    <s v="Rick Carlson"/>
    <n v="4"/>
  </r>
  <r>
    <x v="372"/>
    <s v="FB Teams Dial2Teams Solutions - NYC Temporary Office"/>
    <s v="Won"/>
    <d v="2024-01-24T00:00:00"/>
    <n v="43.54"/>
    <s v="V-DID-S1-P="/>
    <s v="Ported Standard Inbound DIDs (Tier 1)"/>
    <s v="Voice Services"/>
    <n v="3"/>
    <n v="0.5"/>
    <n v="0.17"/>
    <m/>
    <n v="1.5"/>
    <m/>
    <m/>
    <n v="3"/>
    <n v="9"/>
    <n v="9"/>
    <n v="27"/>
    <s v="Rick Carlson"/>
    <n v="0.36"/>
  </r>
  <r>
    <x v="373"/>
    <s v="Windows 2022 Server License"/>
    <s v="Won"/>
    <d v="2024-01-25T00:00:00"/>
    <n v="0"/>
    <s v="DG7GMGF0D5RK:0005"/>
    <s v="Microsoft Windows Server 2022 Standard - Perpetual License - 16 Core - Commercial - PC"/>
    <s v="IT/LAN Equipment"/>
    <n v="1"/>
    <n v="0"/>
    <n v="0"/>
    <m/>
    <n v="0"/>
    <m/>
    <m/>
    <n v="1081"/>
    <n v="1081"/>
    <n v="919.34"/>
    <n v="919.34"/>
    <s v="Ron Walker"/>
    <n v="13.741099999999998"/>
  </r>
  <r>
    <x v="374"/>
    <s v="MPX LA - Three small switches for training day"/>
    <s v="Won"/>
    <d v="2024-01-24T00:00:00"/>
    <n v="0"/>
    <s v="SE3008"/>
    <s v="Linksys 8-Port Gigabit Ethernet Switch - 8 Ports - Gigabit Ethernet - 10/100/1000Base-T - 2 Layer Supported - Twisted Pair - Wall Mountable - 1 Year Limited Warranty"/>
    <s v="IT/LAN Equipment"/>
    <n v="3"/>
    <n v="0"/>
    <n v="0"/>
    <m/>
    <n v="0"/>
    <m/>
    <m/>
    <n v="80"/>
    <n v="240"/>
    <n v="44.99"/>
    <n v="134.97"/>
    <s v="Mitch Verma"/>
    <n v="4.2012"/>
  </r>
  <r>
    <x v="375"/>
    <s v="MPX LA - APC Battery Backup replacement"/>
    <s v="Won"/>
    <d v="2024-01-23T00:00:00"/>
    <n v="0"/>
    <s v="SMT1500RM2UC"/>
    <s v="APC by Schneider Electric Smart-UPS 1500VA LCD RM 2U 120V with SmartConnect - 2U Rack-mountable - 3 Hour Recharge - 120 V Input - 120 V AC Output - Sine Wave - Serial Port - 6 x NEMA 5-15R - 6 x Battery/Surge Outlet"/>
    <s v="IT/LAN Equipment"/>
    <n v="1"/>
    <n v="0"/>
    <n v="0"/>
    <m/>
    <n v="0"/>
    <m/>
    <m/>
    <n v="914"/>
    <n v="914"/>
    <n v="749.01"/>
    <n v="749.01"/>
    <s v="Mitch Verma"/>
    <n v="6.5996000000000006"/>
  </r>
  <r>
    <x v="375"/>
    <s v="MPX LA - APC Battery Backup replacement"/>
    <s v="Won"/>
    <d v="2024-01-23T00:00:00"/>
    <n v="0"/>
    <s v="MPC-PS-T2"/>
    <s v="Meriplex Tier 2 Engineer Labor"/>
    <s v="IT/LAN Installation"/>
    <n v="2"/>
    <n v="0"/>
    <n v="0"/>
    <m/>
    <n v="0"/>
    <m/>
    <m/>
    <n v="185"/>
    <n v="370"/>
    <n v="0"/>
    <n v="0"/>
    <s v="Mitch Verma"/>
    <n v="14.8"/>
  </r>
  <r>
    <x v="376"/>
    <s v="MPX LA - 16 Port Non-PoE FortiSwitch"/>
    <s v="Won"/>
    <d v="2024-01-24T00:00:00"/>
    <n v="0"/>
    <s v="FS-124E"/>
    <s v="Fortinet FortiSwitch Ethernet Switch - 24 Ports - Manageable - Gigabit Ethernet - 1000Base-X, 10/100/1000Base-T - 2 Layer Supported - Modular - 4 SFP Slots - 17.79 W Power Consumption - Optical Fiber, Twisted Pair - 1U High - Rack-mountable - Life"/>
    <s v="IT/LAN Equipment"/>
    <n v="1"/>
    <n v="0"/>
    <n v="0"/>
    <m/>
    <n v="0"/>
    <m/>
    <m/>
    <n v="280"/>
    <n v="280"/>
    <n v="238"/>
    <n v="238"/>
    <s v="Mitch Verma"/>
    <n v="1.68"/>
  </r>
  <r>
    <x v="376"/>
    <s v="MPX LA - 16 Port Non-PoE FortiSwitch"/>
    <s v="Won"/>
    <d v="2024-01-24T00:00:00"/>
    <n v="0"/>
    <s v="FC-10-WP12E-247-02-12"/>
    <s v="Fortinet FortiCare Comprehensive Support - Extended Service (Renewal) - 1 Year - Service - 24 x 7 - Service Depot - Exchange - Parts - Physical, Electronic"/>
    <s v="IT/LAN Equipment"/>
    <n v="1"/>
    <n v="0"/>
    <n v="0"/>
    <m/>
    <n v="0"/>
    <m/>
    <m/>
    <n v="48.9"/>
    <n v="48.9"/>
    <n v="38.15"/>
    <n v="38.15"/>
    <s v="Mitch Verma"/>
    <n v="0.43"/>
  </r>
  <r>
    <x v="376"/>
    <s v="MPX LA - 16 Port Non-PoE FortiSwitch"/>
    <s v="Won"/>
    <d v="2024-01-24T00:00:00"/>
    <n v="0"/>
    <s v="MPC-PS-T2"/>
    <s v="Meriplex Tier 2 Engineer Labor: Install Config FortiSwitch"/>
    <s v="IT/LAN Installation"/>
    <n v="2"/>
    <n v="0"/>
    <n v="0"/>
    <m/>
    <n v="0"/>
    <m/>
    <m/>
    <n v="185"/>
    <n v="370"/>
    <n v="0"/>
    <n v="0"/>
    <s v="Mitch Verma"/>
    <n v="14.8"/>
  </r>
  <r>
    <x v="377"/>
    <s v="Quote #MPS123137 Per Service Ticket # 10503279 - Thunderbolt 3 Dock"/>
    <s v="Won"/>
    <d v="2024-01-24T00:00:00"/>
    <n v="0"/>
    <s v="40AN0135US"/>
    <s v="THUNDERBOLT 3 DOCK GEN 2 USB-C EXCESS NEW NO MFG REBATE Lenovo - Open Source ThinkPad Thunderbolt 3 Dock Gen 2 - US - for Notebook - 135 W - USB Type C - USB Type-C - Network (RJ-45) - HDMI - Thunderbolt - Wired"/>
    <s v="IT/LAN Equipment"/>
    <n v="1"/>
    <n v="0"/>
    <n v="0"/>
    <m/>
    <n v="0"/>
    <m/>
    <m/>
    <n v="411.27"/>
    <n v="411.27"/>
    <n v="361.92"/>
    <n v="361.92"/>
    <s v="Lathrop Lougheed"/>
    <n v="3.9479999999999973"/>
  </r>
  <r>
    <x v="378"/>
    <s v="Sterling Ranch CAB--Three Adobe Pro Licenses"/>
    <s v="Won"/>
    <d v="2024-01-26T00:00:00"/>
    <n v="0"/>
    <s v="65324055BA02A12"/>
    <s v="Adobe Acrobat Pro for teams - Subscription - 1 User - Price Level 2 - (10-49) - Volume - Adobe Value Incentive Plan (VIP) - PC, Mac"/>
    <s v="NRR - Agent Income"/>
    <n v="3"/>
    <n v="0"/>
    <n v="0"/>
    <m/>
    <n v="0"/>
    <m/>
    <m/>
    <n v="257"/>
    <n v="771"/>
    <n v="210.22"/>
    <n v="630.66"/>
    <s v="Jonathan DeFez"/>
    <n v="11.227200000000003"/>
  </r>
  <r>
    <x v="379"/>
    <s v="Everwest--Change Order Opportunity 38473 - Three New Laptops"/>
    <s v="Won"/>
    <d v="2024-01-24T00:00:00"/>
    <n v="0"/>
    <s v="Travel Time - Hourly"/>
    <s v="Travel Time - Hourly"/>
    <s v="IT/LAN Installation"/>
    <n v="-0.5"/>
    <n v="0"/>
    <n v="0"/>
    <m/>
    <n v="0"/>
    <m/>
    <m/>
    <n v="135"/>
    <n v="-67.5"/>
    <n v="0"/>
    <n v="0"/>
    <s v="Jonathan DeFez"/>
    <n v="-2.7"/>
  </r>
  <r>
    <x v="379"/>
    <s v="Everwest--Change Order Opportunity 38473 - Three New Laptops"/>
    <s v="Won"/>
    <d v="2024-01-24T00:00:00"/>
    <n v="0"/>
    <s v="Delivered"/>
    <s v="PC(s) will be built, updated and configured and then delivered and installed by Meriplex"/>
    <s v="IT/LAN Installation"/>
    <n v="-3"/>
    <n v="0"/>
    <n v="0"/>
    <m/>
    <n v="0"/>
    <m/>
    <m/>
    <n v="295"/>
    <n v="-885"/>
    <n v="0"/>
    <n v="0"/>
    <s v="Jonathan DeFez"/>
    <n v="-35.4"/>
  </r>
  <r>
    <x v="380"/>
    <s v="Quote #MPS122584 Per Service Ticket #10449744 - Cisco SmartNet Renewal"/>
    <s v="Won"/>
    <d v="2024-01-22T00:00:00"/>
    <n v="0"/>
    <s v="CON-SNTP-ISR4331V"/>
    <s v="Cisco SMARTnet Premium - Extended Service - Service - 24 x 7 x 4 Hour - Exchange - Physical"/>
    <s v="IT/LAN Equipment"/>
    <n v="1"/>
    <n v="0"/>
    <n v="0"/>
    <m/>
    <n v="0"/>
    <m/>
    <m/>
    <n v="1069"/>
    <n v="1069"/>
    <n v="876.41"/>
    <n v="876.41"/>
    <s v="Lathrop Lougheed"/>
    <n v="15.407200000000003"/>
  </r>
  <r>
    <x v="381"/>
    <s v="Laptop battery for Dr. Emmerich"/>
    <s v="Won"/>
    <d v="2024-01-29T00:00:00"/>
    <n v="0"/>
    <s v="MPSSHIP"/>
    <s v="Shipping Insurance to Site Office"/>
    <s v="IT/LAN Equipment"/>
    <n v="1"/>
    <n v="0"/>
    <n v="0"/>
    <m/>
    <n v="0"/>
    <m/>
    <m/>
    <n v="18"/>
    <n v="18"/>
    <n v="0"/>
    <n v="0"/>
    <s v="Lathrop Lougheed"/>
    <n v="1.44"/>
  </r>
  <r>
    <x v="381"/>
    <s v="Laptop battery for Dr. Emmerich"/>
    <s v="Won"/>
    <d v="2024-01-29T00:00:00"/>
    <n v="0"/>
    <s v="451-BBZT"/>
    <s v="Dell 51 WHr 3-Cell Primary Lithium-Ion Battery - For Notebook - Battery Rechargeable - 1"/>
    <s v="IT/LAN Equipment"/>
    <n v="1"/>
    <n v="0"/>
    <n v="0"/>
    <m/>
    <n v="0"/>
    <m/>
    <m/>
    <n v="130"/>
    <n v="130"/>
    <n v="96.21"/>
    <n v="96.21"/>
    <s v="Lathrop Lougheed"/>
    <n v="2.7032000000000007"/>
  </r>
  <r>
    <x v="382"/>
    <s v="Fortinet Renewal 1-Year 24x7 UTM For multiple firewalls FG60EPTK18004187 &amp; FG100ETK18018217"/>
    <s v="Won"/>
    <d v="2024-01-29T00:00:00"/>
    <n v="0"/>
    <s v="FC-10-FG60P-950-02-12"/>
    <s v="FortiGate-60E-POE 1 Year Unified Threat Protection (UTP) (IPS, Advanced Malware Protection, Application Control, URL, DNS &amp; Video Filtering, Antispam Service, and FortiCare Premium)"/>
    <s v="IT/LAN Equipment"/>
    <n v="1"/>
    <n v="0"/>
    <n v="0"/>
    <m/>
    <n v="0"/>
    <m/>
    <m/>
    <n v="644"/>
    <n v="644"/>
    <n v="527.52"/>
    <n v="527.52"/>
    <s v="Jonathan DeFez"/>
    <n v="9.3184000000000022"/>
  </r>
  <r>
    <x v="382"/>
    <s v="Fortinet Renewal 1-Year 24x7 UTM For multiple firewalls FG60EPTK18004187 &amp; FG100ETK18018217"/>
    <s v="Won"/>
    <d v="2024-01-29T00:00:00"/>
    <n v="0"/>
    <s v="FC-10-FG1HE-950-02-12"/>
    <s v="FortiGate-100E 1 Year Unified Threat Protection (UTP) (IPS, Advanced Malware Protection, Application Control, URL, DNS &amp; Video Filtering, Antispam Service, and FortiCare Premium)"/>
    <s v="IT/LAN Equipment"/>
    <n v="1"/>
    <n v="0"/>
    <n v="0"/>
    <m/>
    <n v="0"/>
    <m/>
    <m/>
    <n v="1755"/>
    <n v="1755"/>
    <n v="1438.4"/>
    <n v="1438.4"/>
    <s v="Jonathan DeFez"/>
    <n v="25.327999999999992"/>
  </r>
  <r>
    <x v="383"/>
    <s v="10505145 - Fortinet Renewal 1-Year 24x7 UTM For firewall FGT60ETK18075838"/>
    <s v="Won"/>
    <d v="2024-01-25T00:00:00"/>
    <n v="0"/>
    <s v="FC-10-0060E-950-02-12"/>
    <s v="FortiGate-60E 1 Year Unified Threat Protection (UTP) (IPS, Advanced Malware Protection, Application Control, URL, DNS &amp; Video Filtering, Antispam Service, and FortiCare Premium)"/>
    <s v="IT/LAN Equipment"/>
    <n v="1"/>
    <n v="0"/>
    <n v="0"/>
    <m/>
    <n v="0"/>
    <m/>
    <m/>
    <n v="533"/>
    <n v="533"/>
    <n v="436.8"/>
    <n v="436.8"/>
    <s v="Jonathan DeFez"/>
    <n v="7.6959999999999988"/>
  </r>
  <r>
    <x v="384"/>
    <s v="10505175 - Fortinet Renewal 1-Year 24x7 UTM For firewall FGT60FTK20069738"/>
    <s v="Won"/>
    <d v="2024-01-30T00:00:00"/>
    <n v="0"/>
    <s v="FC-10-0060F-950-02-12"/>
    <s v="FortiGate-60F 1 Year Unified Threat Protection (UTP) (IPS, Advanced Malware Protection, Application Control, URL, DNS &amp; Video Filtering, Antispam Service, and FortiCare Premium)"/>
    <s v="IT/LAN Equipment"/>
    <n v="1"/>
    <n v="0"/>
    <n v="0"/>
    <m/>
    <n v="0"/>
    <m/>
    <m/>
    <n v="607"/>
    <n v="607"/>
    <n v="497.28"/>
    <n v="497.28"/>
    <s v="Jonathan DeFez"/>
    <n v="8.7776000000000032"/>
  </r>
  <r>
    <x v="385"/>
    <s v="MPX LA - Lift to repair wireless access point"/>
    <s v="Won"/>
    <d v="2024-01-24T00:00:00"/>
    <n v="0"/>
    <s v="MPC-PS-T2"/>
    <s v="Meriplex Tier 2 Engineer Labor"/>
    <s v="IT/LAN Installation"/>
    <n v="4"/>
    <n v="0"/>
    <n v="0"/>
    <m/>
    <n v="0"/>
    <m/>
    <m/>
    <n v="200"/>
    <n v="800"/>
    <n v="0"/>
    <n v="0"/>
    <s v="Mitch Verma"/>
    <n v="32"/>
  </r>
  <r>
    <x v="385"/>
    <s v="MPX LA - Lift to repair wireless access point"/>
    <s v="Won"/>
    <d v="2024-01-24T00:00:00"/>
    <n v="0"/>
    <s v="CAB-LIFT-1"/>
    <s v="Lift Rental (1 Day)"/>
    <s v="Cabling Services"/>
    <n v="1"/>
    <n v="0"/>
    <n v="0"/>
    <m/>
    <n v="0"/>
    <m/>
    <m/>
    <n v="300"/>
    <n v="300"/>
    <n v="300"/>
    <n v="300"/>
    <s v="Mitch Verma"/>
    <n v="0"/>
  </r>
  <r>
    <x v="386"/>
    <s v="10505197 - Fortinet Renewal 1-Year 24x7 UTM For firewall FGT30E5620002876 - Tustin"/>
    <s v="Won"/>
    <d v="2024-01-29T00:00:00"/>
    <n v="0"/>
    <s v="FC-10-0030E-950-02-12"/>
    <s v="FortiGate-30E 1 Year Unified Threat Protection (UTP) (IPS, Advanced Malware Protection, Application Control, URL, DNS &amp; Video Filtering, Antispam Service, and FortiCare Premium)"/>
    <s v="IT/LAN Equipment"/>
    <n v="1"/>
    <n v="0"/>
    <n v="0"/>
    <m/>
    <n v="0"/>
    <m/>
    <m/>
    <n v="379"/>
    <n v="379"/>
    <n v="310.39999999999998"/>
    <n v="310.39999999999998"/>
    <s v="Jonathan DeFez"/>
    <n v="5.4880000000000022"/>
  </r>
  <r>
    <x v="387"/>
    <s v="10526239 - Fortinet Renewal 1-Year 24x7 UTM for FGT60E4Q16043952 Prime West Denver 60E"/>
    <s v="Won"/>
    <d v="2024-01-29T00:00:00"/>
    <n v="0"/>
    <s v="FC-10-0060E-950-02-12"/>
    <s v="FortiGate-60E 1 Year Unified Threat Protection (UTP) (IPS, Advanced Malware Protection, Application Control, URL, DNS &amp; Video Filtering, Antispam Service, and FortiCare Premium) Prime West Denver 60E"/>
    <s v="IT/LAN Equipment"/>
    <n v="1"/>
    <n v="0"/>
    <n v="0"/>
    <m/>
    <n v="0"/>
    <m/>
    <m/>
    <n v="533"/>
    <n v="533"/>
    <n v="436.8"/>
    <n v="436.8"/>
    <s v="Jonathan DeFez"/>
    <n v="7.6959999999999988"/>
  </r>
  <r>
    <x v="387"/>
    <s v="10526239 - Fortinet Renewal 1-Year 24x7 UTM for FGT60E4Q16043952 Prime West Denver 60E"/>
    <s v="Won"/>
    <d v="2024-01-29T00:00:00"/>
    <n v="0"/>
    <s v="FC-10-0040F-950-02-12"/>
    <s v="FortiGate-40F 1 Year Unified Threat Protection (UTP) (IPS, Advanced Malware Protection, Application Control, URL, DNS &amp; Video Filtering, Antispam Service, and FortiCare Premium) Prime West - Layton St Location"/>
    <s v="IT/LAN Equipment"/>
    <n v="1"/>
    <n v="0"/>
    <n v="0"/>
    <m/>
    <n v="0"/>
    <m/>
    <m/>
    <n v="393"/>
    <n v="393"/>
    <n v="322"/>
    <n v="322"/>
    <s v="Jonathan DeFez"/>
    <n v="5.68"/>
  </r>
  <r>
    <x v="388"/>
    <s v="10505249 - Fortinet Renewal 1-Year 24x7 UTM For multiple firewalls FG100E4Q17030026 &amp; FG100E4Q170293"/>
    <s v="Won"/>
    <d v="2024-01-24T00:00:00"/>
    <n v="0"/>
    <s v="FC-10-FG1HE-950-02-12"/>
    <s v="FortiGate-100E 1 Year Unified Threat Protection (UTP) (IPS, Advanced Malware Protection, Application Control, URL, DNS &amp; Video Filtering, Antispam Service, and FortiCare Premium)"/>
    <s v="IT/LAN Equipment"/>
    <n v="2"/>
    <n v="0"/>
    <n v="0"/>
    <m/>
    <n v="0"/>
    <m/>
    <m/>
    <n v="1755"/>
    <n v="3510"/>
    <n v="1438.4"/>
    <n v="2876.8"/>
    <s v="Jonathan DeFez"/>
    <n v="50.655999999999985"/>
  </r>
  <r>
    <x v="389"/>
    <s v="10212010 - Annual VMware SnS Subscription Renewal - Contract # 382874199"/>
    <s v="Won"/>
    <d v="2024-01-23T00:00:00"/>
    <n v="0"/>
    <s v="VS8-ESSL-SUB-C"/>
    <s v="Subscription VMware vSphere 8 Essentials Kit for 3 hosts (Max 2 processors per host)"/>
    <s v="IT/LAN Equipment"/>
    <n v="1"/>
    <n v="0"/>
    <n v="0"/>
    <m/>
    <n v="0"/>
    <m/>
    <m/>
    <n v="76"/>
    <n v="76"/>
    <n v="62.28"/>
    <n v="62.28"/>
    <s v="Jonathan DeFez"/>
    <n v="1.0975999999999999"/>
  </r>
  <r>
    <x v="390"/>
    <s v="Block Time"/>
    <s v="Won"/>
    <d v="2024-01-30T00:00:00"/>
    <n v="0"/>
    <s v="MPC-BLK-50-100"/>
    <s v="Hourly Support Block (51 - 100 Units)"/>
    <s v="IT/LAN Installation"/>
    <n v="65"/>
    <n v="0"/>
    <n v="0"/>
    <m/>
    <n v="0"/>
    <m/>
    <m/>
    <n v="205"/>
    <n v="13325"/>
    <n v="0"/>
    <n v="0"/>
    <s v="Ron Walker"/>
    <n v="533"/>
  </r>
  <r>
    <x v="390"/>
    <s v="Block Time"/>
    <s v="Won"/>
    <d v="2024-01-30T00:00:00"/>
    <n v="0"/>
    <s v="MPC-BLK-DISC"/>
    <s v="Discount for Hourly Support Block"/>
    <s v="IT/LAN Installation"/>
    <n v="1"/>
    <n v="0"/>
    <n v="0"/>
    <m/>
    <n v="0"/>
    <m/>
    <m/>
    <n v="-1300"/>
    <n v="-1300"/>
    <n v="0.01"/>
    <n v="0.01"/>
    <s v="Ron Walker"/>
    <n v="-52"/>
  </r>
  <r>
    <x v="391"/>
    <s v="3 docking stations"/>
    <s v="Won"/>
    <d v="2024-01-23T00:00:00"/>
    <n v="0"/>
    <s v="wd22tb4sap"/>
    <s v="Dell Thunderbolt Dock ? WD22TB4"/>
    <s v="IT/LAN Equipment"/>
    <n v="3"/>
    <n v="0"/>
    <n v="0"/>
    <m/>
    <n v="0"/>
    <m/>
    <m/>
    <n v="335.99"/>
    <n v="1007.97"/>
    <n v="279.99"/>
    <n v="839.97"/>
    <s v="Lathrop Lougheed"/>
    <n v="13.44"/>
  </r>
  <r>
    <x v="392"/>
    <s v="12ft (3.7m) Cat6a Snagless Unshielded (UTP) Ethernet Network Patch Cable - Blue"/>
    <s v="Won"/>
    <d v="2024-01-23T00:00:00"/>
    <n v="0"/>
    <s v="00699"/>
    <s v="C2G 12ft Cat6a Snagless Unshielded (UTP) Ethernet Cable - Cat6a Network Patch Cable - PoE - Blue - Category 6a for Network Device - RJ-45 Male - RJ-45 Male - 10GBase-T - 12ft - Blue"/>
    <s v="IT/LAN Equipment"/>
    <n v="24"/>
    <n v="0"/>
    <n v="0"/>
    <m/>
    <n v="0"/>
    <m/>
    <m/>
    <n v="12"/>
    <n v="288"/>
    <n v="9.5399999999999991"/>
    <n v="228.95999999999998"/>
    <s v="John Sobernheim"/>
    <n v="5.0184000000000024"/>
  </r>
  <r>
    <x v="393"/>
    <s v="Durango Lenovo Laptops"/>
    <s v="Won"/>
    <d v="2024-01-25T00:00:00"/>
    <n v="0"/>
    <s v="21KG000FUS"/>
    <s v="Lenovo ThinkBook 14 G6 IRL 14&quot; Touchscreen Notebook - WUXGA - 1920 x 1200 - Intel Core i7 13th Gen i7-1355U Deca-core (10 Core) 1.70 GHz - 16 GB Total RAM - 512 GB SSD - Arctic Gray - Intel Chip - Windows 11 Pro - Intel Iris Xe Graphics - In-pl"/>
    <s v="IT/LAN Equipment"/>
    <n v="5"/>
    <n v="0"/>
    <n v="0"/>
    <m/>
    <n v="0"/>
    <m/>
    <m/>
    <n v="968.36"/>
    <n v="4841.8"/>
    <n v="842.05"/>
    <n v="4210.25"/>
    <s v="Jonathan DeFez"/>
    <n v="50.524000000000015"/>
  </r>
  <r>
    <x v="393"/>
    <s v="Durango Lenovo Laptops"/>
    <s v="Won"/>
    <d v="2024-01-25T00:00:00"/>
    <n v="0"/>
    <s v="40AY0090US"/>
    <s v="Lenovo ThinkPad Universal USB-C Dock - for Notebook - 90 W - USB Type C - 3 Displays Supported - 3840 x 2160 - 6 x USB Ports - 2 x USB 2.0 - USB Type-C - 1 x RJ-45 Ports - Network (RJ-45) - 1 x HDMI Ports - HDMI - 2 x DisplayPorts - DisplayPort - Thunderb"/>
    <s v="IT/LAN Equipment"/>
    <n v="5"/>
    <n v="0"/>
    <n v="0"/>
    <m/>
    <n v="0"/>
    <m/>
    <m/>
    <n v="226.22"/>
    <n v="1131.0999999999999"/>
    <n v="196.71"/>
    <n v="983.55000000000007"/>
    <s v="Jonathan DeFez"/>
    <n v="11.803999999999988"/>
  </r>
  <r>
    <x v="393"/>
    <s v="Durango Lenovo Laptops"/>
    <s v="Won"/>
    <d v="2024-01-25T00:00:00"/>
    <n v="0"/>
    <s v="Shipped"/>
    <s v="PC(s) will be built, updated and configured and then shipped to the client from the Meriplex Office"/>
    <s v="IT/LAN Installation"/>
    <n v="5"/>
    <n v="0"/>
    <n v="0"/>
    <m/>
    <n v="0"/>
    <m/>
    <m/>
    <n v="149"/>
    <n v="745"/>
    <n v="0"/>
    <n v="0"/>
    <s v="Jonathan DeFez"/>
    <n v="29.8"/>
  </r>
  <r>
    <x v="394"/>
    <s v="Durango-Dell Rugged Laptops"/>
    <s v="Won"/>
    <d v="2024-01-25T00:00:00"/>
    <n v="0"/>
    <s v="DELL-WD22TB4"/>
    <s v="Dell Thunderbolt Dock - WD22TB4 - for Notebook - 180 W - Thunderbolt 4 - 2 Displays Supported - 4K - 5120 x 2880, 3840 x 2160 - 3 x USB Type-A Ports - USB Type-A - 3 x USB Type-C Ports - USB Type-C - 1 x RJ-45 Ports - Network (RJ-45) - 1 x HDMI Ports - HD"/>
    <s v="IT/LAN Equipment"/>
    <n v="4"/>
    <n v="0"/>
    <n v="0"/>
    <m/>
    <n v="0"/>
    <m/>
    <m/>
    <n v="326.60000000000002"/>
    <n v="1306.4000000000001"/>
    <n v="284"/>
    <n v="1136"/>
    <s v="Jonathan DeFez"/>
    <n v="13.632000000000007"/>
  </r>
  <r>
    <x v="394"/>
    <s v="Durango-Dell Rugged Laptops"/>
    <s v="Won"/>
    <d v="2024-01-25T00:00:00"/>
    <n v="0"/>
    <s v="M7WND"/>
    <s v="Dell Latitude 5000 5430 14&quot; Rugged Notebook - Full HD - 1920 x 1080 - Intel Core i5 11th Gen i5-1145G7 Quad-core (4 Core) 2.60 GHz - 16 GB Total RAM - 512 GB SSD - Black - Intel Chip - Windows 10 Pro - Intel Iris Xe Graphics - English (US) Keyboard - Fron"/>
    <s v="IT/LAN Equipment"/>
    <n v="4"/>
    <n v="0"/>
    <n v="0"/>
    <m/>
    <n v="0"/>
    <m/>
    <m/>
    <n v="2159.27"/>
    <n v="8637.08"/>
    <n v="1877.63"/>
    <n v="7510.52"/>
    <s v="Jonathan DeFez"/>
    <n v="90.124799999999965"/>
  </r>
  <r>
    <x v="394"/>
    <s v="Durango-Dell Rugged Laptops"/>
    <s v="Won"/>
    <d v="2024-01-25T00:00:00"/>
    <n v="0"/>
    <s v="Shipped"/>
    <s v="PC(s) will be built, updated and configured and then shipped to the client from the Meriplex Office"/>
    <s v="IT/LAN Installation"/>
    <n v="4"/>
    <n v="0"/>
    <n v="0"/>
    <m/>
    <n v="0"/>
    <m/>
    <m/>
    <n v="149"/>
    <n v="596"/>
    <n v="0"/>
    <n v="0"/>
    <s v="Jonathan DeFez"/>
    <n v="23.84"/>
  </r>
  <r>
    <x v="395"/>
    <s v="Quote #MPS123170 Per Service Ticket #10506511 - Desktop Replacement for SJOFFICE-07"/>
    <s v="Won"/>
    <d v="2024-01-25T00:00:00"/>
    <n v="0"/>
    <s v="MPC-PS-T2"/>
    <s v="PC Migration or Installation Services"/>
    <s v="IT/LAN Installation"/>
    <n v="1"/>
    <n v="0"/>
    <n v="0"/>
    <m/>
    <n v="0"/>
    <m/>
    <m/>
    <n v="200"/>
    <n v="200"/>
    <n v="0"/>
    <n v="0"/>
    <s v="Lathrop Lougheed"/>
    <n v="8"/>
  </r>
  <r>
    <x v="396"/>
    <s v="DINION IP starlight 7000 1080p INTELLIGE"/>
    <s v="Won"/>
    <d v="2024-01-24T00:00:00"/>
    <n v="0"/>
    <s v="BOS-NBN75023BA NBN-75023-BA"/>
    <s v="DINION IP starlight 7000 1080p INTELLIGE"/>
    <s v="IT/LAN Equipment"/>
    <n v="1"/>
    <n v="0"/>
    <n v="0"/>
    <m/>
    <n v="0"/>
    <m/>
    <m/>
    <n v="1054"/>
    <n v="1054"/>
    <n v="960.31"/>
    <n v="960.31"/>
    <s v="Cynthia Newsom"/>
    <n v="7.9636500000000048"/>
  </r>
  <r>
    <x v="397"/>
    <s v="Wireless Meraki License Renewal"/>
    <s v="Won"/>
    <d v="2024-01-23T00:00:00"/>
    <n v="0"/>
    <s v="QX9284"/>
    <s v="Meraki MR Series Access Point - Subscription Licen"/>
    <s v="IT/LAN Equipment"/>
    <n v="2"/>
    <n v="0"/>
    <n v="0"/>
    <m/>
    <n v="0"/>
    <m/>
    <m/>
    <n v="120.41"/>
    <n v="240.82"/>
    <n v="102.35"/>
    <n v="204.7"/>
    <s v="Lathrop Lougheed"/>
    <n v="2.8896000000000006"/>
  </r>
  <r>
    <x v="398"/>
    <s v="Replacement PC per Service Ticket #10501067 - Warranty"/>
    <s v="Won"/>
    <d v="2024-01-31T00:00:00"/>
    <n v="0"/>
    <s v="7R3MP"/>
    <s v="Dell OptiPlex 7000 7010 Desktop Computer - Intel Core i5 13th Gen i5-13500T Tetradeca-core (14 Core) 1.60 GHz - 16 GB RAM DDR4 SDRAM - 512 GB M.2 PCI Express NVMe SSD - Micro PC - Black - Intel Chip - Windows 11 Pro - Intel UHD Graphics 770 DDR4 SDRAM - E"/>
    <s v="IT/LAN Equipment"/>
    <n v="2"/>
    <n v="0"/>
    <n v="0"/>
    <m/>
    <n v="0"/>
    <m/>
    <m/>
    <n v="964"/>
    <n v="1928"/>
    <n v="770.9"/>
    <n v="1541.8"/>
    <s v="Kennon Jayne"/>
    <n v="30.896000000000004"/>
  </r>
  <r>
    <x v="399"/>
    <s v="MPX LA - Curved Monitor"/>
    <s v="Won"/>
    <d v="2024-01-26T00:00:00"/>
    <n v="0"/>
    <s v="21Y56AA#ABA"/>
    <s v="HP P34HC G4 34&quot; Class WQHD Curved Screen LCD Monitor - 21:9 - Black - 34&quot; Viewable - Vertical Alignment (VA) - Edge LED Backlight - 3440 x 1440 - 250 Nit - 5 ms GTG (OD) - 100 Hz Refresh Rate - HDMI - DisplayPort - USB Hub, KVM Switch"/>
    <s v="IT/LAN Equipment"/>
    <n v="1"/>
    <n v="0"/>
    <n v="0"/>
    <m/>
    <n v="0"/>
    <m/>
    <m/>
    <n v="559"/>
    <n v="559"/>
    <n v="462.6"/>
    <n v="462.6"/>
    <s v="Mitch Verma"/>
    <n v="3.855999999999999"/>
  </r>
  <r>
    <x v="399"/>
    <s v="MPX LA - Curved Monitor"/>
    <s v="Won"/>
    <d v="2024-01-26T00:00:00"/>
    <n v="0"/>
    <s v="MPC-PS-T2"/>
    <s v="Meriplex Tier 2 Engineer Labor"/>
    <s v="IT/LAN Installation"/>
    <n v="1"/>
    <n v="0"/>
    <n v="0"/>
    <m/>
    <n v="0"/>
    <m/>
    <m/>
    <n v="185"/>
    <n v="185"/>
    <n v="0"/>
    <n v="0"/>
    <s v="Mitch Verma"/>
    <n v="7.4"/>
  </r>
  <r>
    <x v="400"/>
    <s v="Quote #MPS123135 Per Service Ticket # 10428182 - KMHS iPads"/>
    <s v="Won"/>
    <d v="2024-01-25T00:00:00"/>
    <n v="0"/>
    <s v="MQGH2AM/A"/>
    <s v="Apple USB-C to Lightning Cable (2 m) - 6.56 ft Lightning/USB-C Data Transfer Cable for iPhone, iPad, iPad Pro, iPad Air, iPad mini, MacBook Air, MacBook Pro, iMac, iMac Pro, iPod touch, iPod nano, ... - First End: 1 x USB Type C - Male - Second End: 1 x L"/>
    <s v="IT/LAN Equipment"/>
    <n v="2"/>
    <n v="0"/>
    <n v="0"/>
    <m/>
    <n v="0"/>
    <m/>
    <m/>
    <n v="33.32"/>
    <n v="66.64"/>
    <n v="29.99"/>
    <n v="59.98"/>
    <s v="Lathrop Lougheed"/>
    <n v="0.53280000000000027"/>
  </r>
  <r>
    <x v="400"/>
    <s v="Quote #MPS123135 Per Service Ticket # 10428182 - KMHS iPads"/>
    <s v="Won"/>
    <d v="2024-01-25T00:00:00"/>
    <n v="0"/>
    <s v="MNXP3LL/A"/>
    <s v="Apple iPad Pro (6th generation) A2436 Tablet - 12.9&quot; - Octa-core) - 8 GB RAM - 128 GB Storage - iPadOS 16 - Space Gray - Apple M2 SoC - 2732 x 2048 - Liquid Retina XDR Display, In-plane Switching (IPS) Technology, True Tone Technology Display - 12 Megapix"/>
    <s v="IT/LAN Equipment"/>
    <n v="2"/>
    <n v="0"/>
    <n v="0"/>
    <m/>
    <n v="0"/>
    <m/>
    <m/>
    <n v="1092.71"/>
    <n v="2185.42"/>
    <n v="1049"/>
    <n v="2098"/>
    <s v="Lathrop Lougheed"/>
    <n v="6.993600000000006"/>
  </r>
  <r>
    <x v="400"/>
    <s v="Quote #MPS123135 Per Service Ticket # 10428182 - KMHS iPads"/>
    <s v="Won"/>
    <d v="2024-01-25T00:00:00"/>
    <n v="0"/>
    <s v="CED4-15"/>
    <s v="E-Waste Recycling Fee"/>
    <s v="IT/LAN Equipment"/>
    <n v="2"/>
    <n v="0"/>
    <n v="0"/>
    <m/>
    <n v="0"/>
    <m/>
    <m/>
    <n v="4"/>
    <n v="8"/>
    <n v="4"/>
    <n v="8"/>
    <s v="Lathrop Lougheed"/>
    <n v="0"/>
  </r>
  <r>
    <x v="400"/>
    <s v="Quote #MPS123135 Per Service Ticket # 10428182 - KMHS iPads"/>
    <s v="Won"/>
    <d v="2024-01-25T00:00:00"/>
    <n v="0"/>
    <s v="B08864JV84"/>
    <s v="iPad Pro 12.9 inch Case for 6th/5th/4th Generation, 2022/2021/2020 with Screen Protector Pencil Holder | Herize | Full Body Shockproof Rugged Protective Durable Rubber Case W/Stand Strap"/>
    <s v="IT/LAN Equipment"/>
    <n v="2"/>
    <n v="0"/>
    <n v="0"/>
    <m/>
    <n v="0"/>
    <m/>
    <m/>
    <n v="32.99"/>
    <n v="65.98"/>
    <n v="29.99"/>
    <n v="59.98"/>
    <s v="Lathrop Lougheed"/>
    <n v="0.48000000000000059"/>
  </r>
  <r>
    <x v="400"/>
    <s v="Quote #MPS123135 Per Service Ticket # 10428182 - KMHS iPads"/>
    <s v="Won"/>
    <d v="2024-01-25T00:00:00"/>
    <n v="0"/>
    <s v="MPC-PS-T2"/>
    <s v="PC Migration or Installation Services"/>
    <s v="IT/LAN Installation"/>
    <n v="2"/>
    <n v="0"/>
    <n v="0"/>
    <m/>
    <n v="0"/>
    <m/>
    <m/>
    <n v="200"/>
    <n v="400"/>
    <n v="0"/>
    <n v="0"/>
    <s v="Lathrop Lougheed"/>
    <n v="16"/>
  </r>
  <r>
    <x v="401"/>
    <s v="Quote #MPS123185 Per Service Ticket # 10489008 - Desktop"/>
    <s v="Won"/>
    <d v="2024-01-24T00:00:00"/>
    <n v="0"/>
    <s v="MPC-PS-T2"/>
    <s v="PC Migration or Installation Services"/>
    <s v="IT/LAN Installation"/>
    <n v="2"/>
    <n v="0"/>
    <n v="0"/>
    <m/>
    <n v="0"/>
    <m/>
    <m/>
    <n v="200"/>
    <n v="400"/>
    <n v="0"/>
    <n v="0"/>
    <s v="Patrick Lakeman"/>
    <n v="16"/>
  </r>
  <r>
    <x v="401"/>
    <s v="Quote #MPS123185 Per Service Ticket # 10489008 - Desktop"/>
    <s v="Won"/>
    <d v="2024-01-24T00:00:00"/>
    <n v="0"/>
    <s v="C36TD"/>
    <s v="Dell OptiPlex 7000 7010 Desktop Computer - Intel Core i5 13th Gen i5-13500T Tetradeca-core (14 Core) 1.60 GHz - 16 GB RAM DDR4 SDRAM - 256 GB M.2 PCI Express NVMe SSD - Micro PC - Black - Intel Chip - Windows 11 Pro - Intel UHD Graphics 770 DDR4 SDRAM - E"/>
    <s v="IT/LAN Equipment"/>
    <n v="2"/>
    <n v="0"/>
    <n v="0"/>
    <m/>
    <n v="0"/>
    <m/>
    <m/>
    <n v="681.94"/>
    <n v="1363.88"/>
    <n v="633.12"/>
    <n v="1266.24"/>
    <s v="Patrick Lakeman"/>
    <n v="3.9056000000000042"/>
  </r>
  <r>
    <x v="402"/>
    <s v="APC 1YR EW - American Continental Bank"/>
    <s v="Won"/>
    <d v="2024-01-24T00:00:00"/>
    <n v="0"/>
    <s v="WEXTWAR1YR-SP-03"/>
    <s v="APC by Schneider Electric Warranty/Support - Extended Warranty (Renewal) - 1 Year | SN:3S1934X11359 | 02/19/2024-02/18/2025"/>
    <s v="IT/LAN Equipment"/>
    <n v="1"/>
    <n v="0"/>
    <n v="0"/>
    <m/>
    <n v="0"/>
    <m/>
    <m/>
    <n v="135"/>
    <n v="135"/>
    <n v="73.2"/>
    <n v="73.2"/>
    <s v="Andrew Harp"/>
    <n v="4.944"/>
  </r>
  <r>
    <x v="403"/>
    <s v="MPX LA - Change order for Sales Order #11695"/>
    <s v="Won"/>
    <d v="2024-01-24T00:00:00"/>
    <n v="0"/>
    <s v="V-ESSSTD-VS-PB1AR-00"/>
    <s v="1 ADDITIONAL YEAR OF BASIC MAINTENANCE PREPAID FOR VEEAM DATA PLATFORM ESSENTIALS STANDARD. FOR CUSTOMERS WHO OWN VEEAM DATA PLATFORM ESSENTIALS STAND"/>
    <s v="IT/LAN Equipment"/>
    <n v="2"/>
    <n v="0"/>
    <n v="0"/>
    <m/>
    <n v="0"/>
    <m/>
    <m/>
    <n v="368.98"/>
    <n v="737.96"/>
    <n v="290.82"/>
    <n v="581.64"/>
    <s v="Mitch Verma"/>
    <n v="6.2528000000000024"/>
  </r>
  <r>
    <x v="403"/>
    <s v="MPX LA - Change order for Sales Order #11695"/>
    <s v="Won"/>
    <d v="2024-01-24T00:00:00"/>
    <n v="0"/>
    <s v="V-ESSSTD-VS-P01AR-00"/>
    <s v="Veeam Annual Basic Maintenance Renewal - Veeam Backup Essentials Standard 2 socket bundle for VMware - 12 x 5 - Maintenance - Electronic"/>
    <s v="IT/LAN Equipment"/>
    <n v="-2"/>
    <n v="0"/>
    <n v="0"/>
    <m/>
    <n v="0"/>
    <m/>
    <m/>
    <n v="368.98"/>
    <n v="-737.96"/>
    <n v="295.18"/>
    <n v="-590.36"/>
    <s v="Mitch Verma"/>
    <n v="-5.9040000000000008"/>
  </r>
  <r>
    <x v="404"/>
    <s v="MPX LA - Replacement APC UPS from Nov 23"/>
    <s v="Won"/>
    <d v="2024-01-25T00:00:00"/>
    <n v="0"/>
    <s v="SMT1000RM2UC"/>
    <s v="APC by Schneider Electric Smart-UPS 1000VA Rack-mountable UPS - 2U Rack-mountable - 3 Hour Recharge - 120 V Input - 120 V AC Output - Sine Wave - 6 x NEMA 5-15R - 6 x Battery/Surge Outlet"/>
    <s v="IT/LAN Equipment"/>
    <n v="1"/>
    <n v="0"/>
    <n v="0"/>
    <m/>
    <n v="0"/>
    <m/>
    <m/>
    <n v="699"/>
    <n v="699"/>
    <n v="558.17999999999995"/>
    <n v="558.17999999999995"/>
    <s v="Mitch Verma"/>
    <n v="5.6328000000000022"/>
  </r>
  <r>
    <x v="405"/>
    <s v="Quote #MPS123180 Per Service Ticket # 10500611 - KPF - Desktop"/>
    <s v="Won"/>
    <d v="2024-01-24T00:00:00"/>
    <n v="0"/>
    <s v="MPC-PS-T2"/>
    <s v="PC Migration or Installation Services"/>
    <s v="IT/LAN Installation"/>
    <n v="1"/>
    <n v="0"/>
    <n v="0"/>
    <m/>
    <n v="0"/>
    <m/>
    <m/>
    <n v="200"/>
    <n v="200"/>
    <n v="0"/>
    <n v="0"/>
    <s v="Andrew Harp"/>
    <n v="8"/>
  </r>
  <r>
    <x v="405"/>
    <s v="Quote #MPS123180 Per Service Ticket # 10500611 - KPF - Desktop"/>
    <s v="Won"/>
    <d v="2024-01-24T00:00:00"/>
    <n v="0"/>
    <s v="OptiPlex MFF"/>
    <s v="OptiPlex Micro Form Factor CTO"/>
    <s v="IT/LAN Equipment"/>
    <n v="1"/>
    <n v="0"/>
    <n v="0"/>
    <m/>
    <n v="0"/>
    <m/>
    <m/>
    <n v="839.43"/>
    <n v="839.43"/>
    <n v="690.55"/>
    <n v="690.55"/>
    <s v="Andrew Harp"/>
    <n v="11.910399999999999"/>
  </r>
  <r>
    <x v="406"/>
    <s v="Rackmount 1500 VA UPS"/>
    <s v="Won"/>
    <d v="2024-01-30T00:00:00"/>
    <n v="0"/>
    <s v="06HD04"/>
    <s v="APC SMART-UPS 1500VA LCD RM 2U PERP 120V W/SMARTCONNECT PORT NTWK CAR"/>
    <s v="IT/LAN Equipment"/>
    <n v="1"/>
    <n v="0"/>
    <n v="0"/>
    <m/>
    <n v="0"/>
    <m/>
    <m/>
    <n v="1219.94"/>
    <n v="1219.94"/>
    <n v="1000.35"/>
    <n v="1000.35"/>
    <s v="Michael True"/>
    <n v="18.665150000000004"/>
  </r>
  <r>
    <x v="406"/>
    <s v="Rackmount 1500 VA UPS"/>
    <s v="Won"/>
    <d v="2024-01-30T00:00:00"/>
    <n v="0"/>
    <s v="D77674"/>
    <s v="2POST MOUNTING KIT FOR ACCS SMART-UPS SYMMETRA"/>
    <s v="IT/LAN Equipment"/>
    <n v="1"/>
    <n v="0"/>
    <n v="0"/>
    <m/>
    <n v="0"/>
    <m/>
    <m/>
    <n v="252.57"/>
    <n v="252.57"/>
    <n v="207.11"/>
    <n v="207.11"/>
    <s v="Michael True"/>
    <n v="3.8640999999999988"/>
  </r>
  <r>
    <x v="407"/>
    <s v="Quote #MPS123220 Per Service Ticket # 10510517 - Cisco SmartNet Renewal - Ventura"/>
    <s v="Won"/>
    <d v="2024-01-31T00:00:00"/>
    <n v="0"/>
    <s v="CON-SNT-VG310ICV"/>
    <s v="Cisco SMARTnet - Extended Service - Service - 8 x 5 x Next Business Day - Exchange - Physical"/>
    <s v="IT/LAN Equipment"/>
    <n v="2"/>
    <n v="0"/>
    <n v="0"/>
    <m/>
    <n v="0"/>
    <m/>
    <m/>
    <n v="573"/>
    <n v="1146"/>
    <n v="475.59"/>
    <n v="951.18"/>
    <s v="Lathrop Lougheed"/>
    <n v="15.585600000000005"/>
  </r>
  <r>
    <x v="407"/>
    <s v="Quote #MPS123220 Per Service Ticket # 10510517 - Cisco SmartNet Renewal - Ventura"/>
    <s v="Won"/>
    <d v="2024-01-31T00:00:00"/>
    <n v="0"/>
    <s v="CON-SNTP-ASA556F9"/>
    <s v="Cisco SMARTnet - Extended Service - Service - 24 x 7 x 4 Hour - Exchange - Parts - Electronic and Physical"/>
    <s v="IT/LAN Equipment"/>
    <n v="1"/>
    <n v="0"/>
    <n v="0"/>
    <m/>
    <n v="0"/>
    <m/>
    <m/>
    <n v="1368.29"/>
    <n v="1368.29"/>
    <n v="1135.68"/>
    <n v="1135.68"/>
    <s v="Lathrop Lougheed"/>
    <n v="18.608799999999992"/>
  </r>
  <r>
    <x v="407"/>
    <s v="Quote #MPS123220 Per Service Ticket # 10510517 - Cisco SmartNet Renewal - Ventura"/>
    <s v="Won"/>
    <d v="2024-01-31T00:00:00"/>
    <n v="0"/>
    <s v="CON-SNT-ISR4331V"/>
    <s v="Cisco SMARTnet - Extended Service - Service - 8 x 5 x Next Business Day - Exchange - Physical"/>
    <s v="IT/LAN Equipment"/>
    <n v="1"/>
    <n v="0"/>
    <n v="0"/>
    <m/>
    <n v="0"/>
    <m/>
    <m/>
    <n v="660.07"/>
    <n v="660.07"/>
    <n v="547.86"/>
    <n v="547.86"/>
    <s v="Lathrop Lougheed"/>
    <n v="8.9768000000000026"/>
  </r>
  <r>
    <x v="408"/>
    <s v="10502061 - Veeam Data Platform Essentials Universal - Annual Support Renewal Contract # 02989954"/>
    <s v="Won"/>
    <d v="2024-01-30T00:00:00"/>
    <n v="0"/>
    <s v="V-ESSVUL-0I-PP1AR-00"/>
    <s v="Veeam Data Platform Essentials Universal - ESS VUL PERPET 1Y 24/7 MAINT-CE RNWL PREPAID"/>
    <s v="IT/LAN Equipment"/>
    <n v="2"/>
    <n v="0"/>
    <n v="0"/>
    <m/>
    <n v="0"/>
    <m/>
    <m/>
    <n v="353.16"/>
    <n v="706.32"/>
    <n v="335.5"/>
    <n v="671"/>
    <s v="John Sobernheim"/>
    <n v="3.0022000000000046"/>
  </r>
  <r>
    <x v="409"/>
    <s v="Urgent laptop for new staff member Chris Ortolano"/>
    <s v="Won"/>
    <d v="2024-01-26T00:00:00"/>
    <n v="0"/>
    <s v="VA2756-MHD"/>
    <s v="27&quot; Full HD LCD Monitor with DisplayPort, HDMI, VGA"/>
    <s v="IT/LAN Equipment"/>
    <n v="2"/>
    <n v="0"/>
    <n v="0"/>
    <m/>
    <n v="0"/>
    <m/>
    <m/>
    <n v="155.66"/>
    <n v="311.32"/>
    <n v="135.36000000000001"/>
    <n v="270.72000000000003"/>
    <s v="Lathrop Lougheed"/>
    <n v="3.2479999999999976"/>
  </r>
  <r>
    <x v="409"/>
    <s v="Urgent laptop for new staff member Chris Ortolano"/>
    <s v="Won"/>
    <d v="2024-01-26T00:00:00"/>
    <n v="0"/>
    <s v="21HM000JUS"/>
    <s v="Lenovo ThinkPad X1 Carbon Gen 11 14&quot; Touchscreen Ultrabook - WUXGA - 1920 x 1200 - Intel Core i7 13th Gen i7-1355U Deca-core (10 Core) - Intel Evo Platform - 16 GB Total RAM - 16 GB On-board Memory - 512 GB SSD - Deep Black - Intel Chip - Windo"/>
    <s v="IT/LAN Equipment"/>
    <n v="1"/>
    <n v="0"/>
    <n v="0"/>
    <m/>
    <n v="0"/>
    <m/>
    <m/>
    <n v="1947"/>
    <n v="1947"/>
    <n v="1595.9"/>
    <n v="1595.9"/>
    <s v="Lathrop Lougheed"/>
    <n v="28.087999999999994"/>
  </r>
  <r>
    <x v="409"/>
    <s v="Urgent laptop for new staff member Chris Ortolano"/>
    <s v="Won"/>
    <d v="2024-01-26T00:00:00"/>
    <n v="0"/>
    <s v="4X30M39458"/>
    <s v="Lenovo - Open Source Essential Wireless Keyboard and Mouse Combo - US English 103P - USB Wireless RF - English (US) - USB Wireless RF - Optical - 1200 dpi - Scroll Wheel - Symmetrical - Compatible with Windows"/>
    <s v="Physical Security"/>
    <n v="1"/>
    <n v="0"/>
    <n v="0"/>
    <m/>
    <n v="0"/>
    <m/>
    <m/>
    <n v="45.3"/>
    <n v="45.3"/>
    <n v="39.39"/>
    <n v="39.39"/>
    <s v="Lathrop Lougheed"/>
    <n v="0.47279999999999972"/>
  </r>
  <r>
    <x v="409"/>
    <s v="Urgent laptop for new staff member Chris Ortolano"/>
    <s v="Won"/>
    <d v="2024-01-26T00:00:00"/>
    <n v="0"/>
    <s v="40B20135US"/>
    <s v="Lenovo ThinkPad Universal USB-C Smart Dock - for Notebook/Desktop PC - 96 W - USB Type C - 4K - 3840 x 2160 - 2 x USB 2.0 - USB Type-C - Network (RJ-45) - 1 x HDMI Ports - HDMI - 2 x DisplayPorts - DisplayPort - Wired - Gigabit Ethernet - Windows"/>
    <s v="IT/LAN Equipment"/>
    <n v="1"/>
    <n v="0"/>
    <n v="0"/>
    <m/>
    <n v="0"/>
    <m/>
    <m/>
    <n v="281.52"/>
    <n v="281.52"/>
    <n v="244.8"/>
    <n v="244.8"/>
    <s v="Lathrop Lougheed"/>
    <n v="2.9375999999999975"/>
  </r>
  <r>
    <x v="409"/>
    <s v="Urgent laptop for new staff member Chris Ortolano"/>
    <s v="Won"/>
    <d v="2024-01-26T00:00:00"/>
    <n v="0"/>
    <s v="960-001257"/>
    <s v="Logitech C920S Webcam - 2.1 Megapixel - 30 fps - USB 3.1 - 1 Pack(s) - 1920 x 1080 Video - Auto-focus - 78° Angle - 1.2x Digital Zoom - Microphone - Notebook, Monitor"/>
    <s v="IT/LAN Equipment"/>
    <n v="1"/>
    <n v="0"/>
    <n v="0"/>
    <m/>
    <n v="0"/>
    <m/>
    <m/>
    <n v="74.8"/>
    <n v="74.8"/>
    <n v="65.040000000000006"/>
    <n v="65.040000000000006"/>
    <s v="Lathrop Lougheed"/>
    <n v="0.78079999999999927"/>
  </r>
  <r>
    <x v="409"/>
    <s v="Urgent laptop for new staff member Chris Ortolano"/>
    <s v="Won"/>
    <d v="2024-01-26T00:00:00"/>
    <n v="0"/>
    <s v="MPC-PS-T1"/>
    <s v="Meriplex Tier 1 Technician Labor"/>
    <s v="IT/LAN Installation"/>
    <n v="2"/>
    <n v="0"/>
    <n v="0"/>
    <m/>
    <n v="0"/>
    <m/>
    <m/>
    <n v="120"/>
    <n v="240"/>
    <n v="0"/>
    <n v="0"/>
    <s v="Lathrop Lougheed"/>
    <n v="9.6"/>
  </r>
  <r>
    <x v="410"/>
    <s v="Admin facility move"/>
    <s v="Won"/>
    <d v="2024-01-30T00:00:00"/>
    <n v="0"/>
    <s v="MPC-PS-PC"/>
    <s v="Vendor Coordination (faxing/isp/EHR/print/facility)"/>
    <s v="IT/LAN Installation"/>
    <n v="5"/>
    <n v="0"/>
    <n v="0"/>
    <m/>
    <n v="0"/>
    <m/>
    <m/>
    <n v="150"/>
    <n v="750"/>
    <n v="0"/>
    <n v="0"/>
    <s v="Lathrop Lougheed"/>
    <n v="30"/>
  </r>
  <r>
    <x v="410"/>
    <s v="Admin facility move"/>
    <s v="Won"/>
    <d v="2024-01-30T00:00:00"/>
    <n v="0"/>
    <s v="MPC-PS-T2"/>
    <s v="Firewall Configuration"/>
    <s v="IT/LAN Installation"/>
    <n v="2"/>
    <n v="0"/>
    <n v="0"/>
    <m/>
    <n v="0"/>
    <m/>
    <m/>
    <n v="150"/>
    <n v="300"/>
    <n v="0"/>
    <n v="0"/>
    <s v="Lathrop Lougheed"/>
    <n v="12"/>
  </r>
  <r>
    <x v="410"/>
    <s v="Admin facility move"/>
    <s v="Won"/>
    <d v="2024-01-30T00:00:00"/>
    <n v="0"/>
    <s v="MPC-PS-T2"/>
    <s v="Site-to-site configuration"/>
    <s v="IT/LAN Installation"/>
    <n v="2"/>
    <n v="0"/>
    <n v="0"/>
    <m/>
    <n v="0"/>
    <m/>
    <m/>
    <n v="150"/>
    <n v="300"/>
    <n v="0"/>
    <n v="0"/>
    <s v="Lathrop Lougheed"/>
    <n v="12"/>
  </r>
  <r>
    <x v="410"/>
    <s v="Admin facility move"/>
    <s v="Won"/>
    <d v="2024-01-30T00:00:00"/>
    <n v="0"/>
    <s v="MPC-PS-T2"/>
    <s v="Documentation"/>
    <s v="IT/LAN Installation"/>
    <n v="1"/>
    <n v="0"/>
    <n v="0"/>
    <m/>
    <n v="0"/>
    <m/>
    <m/>
    <n v="150"/>
    <n v="150"/>
    <n v="0"/>
    <n v="0"/>
    <s v="Lathrop Lougheed"/>
    <n v="6"/>
  </r>
  <r>
    <x v="410"/>
    <s v="Admin facility move"/>
    <s v="Won"/>
    <d v="2024-01-30T00:00:00"/>
    <n v="0"/>
    <s v="MPC-PS-T2"/>
    <s v="Post deployment support"/>
    <s v="IT/LAN Installation"/>
    <n v="2"/>
    <n v="0"/>
    <n v="0"/>
    <m/>
    <n v="0"/>
    <m/>
    <m/>
    <n v="150"/>
    <n v="300"/>
    <n v="0"/>
    <n v="0"/>
    <s v="Lathrop Lougheed"/>
    <n v="12"/>
  </r>
  <r>
    <x v="411"/>
    <s v="HPE 1YR - IBJA"/>
    <s v="Won"/>
    <d v="2024-01-24T00:00:00"/>
    <n v="0"/>
    <s v="639829-005"/>
    <s v="HPE Remote Tech Support | HP DL380G7 E5649 SFF US Svr/S-Buy | 2M213300E9 | 02/01/2024-01/31/2025"/>
    <s v="IT/LAN Equipment"/>
    <n v="1"/>
    <n v="0"/>
    <n v="0"/>
    <m/>
    <n v="0"/>
    <m/>
    <m/>
    <n v="216"/>
    <n v="216"/>
    <n v="172.23"/>
    <n v="172.23"/>
    <s v=""/>
    <n v="0"/>
  </r>
  <r>
    <x v="411"/>
    <s v="HPE 1YR - IBJA"/>
    <s v="Won"/>
    <d v="2024-01-24T00:00:00"/>
    <n v="0"/>
    <s v="639829-005"/>
    <s v="HPE Hardware Tech Support | HP DL380G7 E5649 SFF US Svr/S-Buy | 2M213300E9 | 02/01/2024-01/31/2025"/>
    <s v="IT/LAN Equipment"/>
    <n v="1"/>
    <n v="0"/>
    <n v="0"/>
    <m/>
    <n v="0"/>
    <m/>
    <m/>
    <n v="1536"/>
    <n v="1536"/>
    <n v="1225.06"/>
    <n v="1225.06"/>
    <s v=""/>
    <n v="0"/>
  </r>
  <r>
    <x v="412"/>
    <s v="Quote #MPS123231 Per Service Ticket # 10511074 - CORP - KMCH - Monitor"/>
    <s v="Won"/>
    <d v="2024-01-26T00:00:00"/>
    <n v="0"/>
    <s v="DELL-P2422H"/>
    <s v="Dell P2422H 24&quot; Class Full HD LCD Monitor - 16:9 - Black, Silver - 23.8&quot; Viewable - In-plane Switching (IPS) Technology - LED Backlight - 1920 x 1080 - 16.7 Million Colors - 250 Nit Typical - 5 ms - 75 Hz Refresh Rate - HDMI - VGA - DisplayPort"/>
    <s v="IT/LAN Equipment"/>
    <n v="2"/>
    <n v="0"/>
    <n v="0"/>
    <m/>
    <n v="0"/>
    <m/>
    <m/>
    <n v="169.87"/>
    <n v="339.74"/>
    <n v="135"/>
    <n v="270"/>
    <s v="Andrew Harp"/>
    <n v="5.579200000000001"/>
  </r>
  <r>
    <x v="412"/>
    <s v="Quote #MPS123231 Per Service Ticket # 10511074 - CORP - KMCH - Monitor"/>
    <s v="Won"/>
    <d v="2024-01-26T00:00:00"/>
    <n v="0"/>
    <s v="CED15-35"/>
    <s v="E-Waste Recycling Fee"/>
    <s v="IT/LAN Equipment"/>
    <n v="2"/>
    <n v="0"/>
    <n v="0"/>
    <m/>
    <n v="0"/>
    <m/>
    <m/>
    <n v="5"/>
    <n v="10"/>
    <n v="5"/>
    <n v="10"/>
    <s v="Andrew Harp"/>
    <n v="0"/>
  </r>
  <r>
    <x v="413"/>
    <s v="Replacement Micro form factor pc"/>
    <s v="Won"/>
    <d v="2024-01-26T00:00:00"/>
    <n v="0"/>
    <s v="C36TD"/>
    <s v="Dell OptiPlex 7000 7010 Desktop Computer - Intel Core i5 13th Gen i5-13500T Tetradeca-core (14 Core) 1.60 GHz - 16 GB RAM DDR4 SDRAM - 256 GB M.2 PCI Express NVMe SSD - Micro PC - Black - Intel Chip - Windows 11 Pro - Intel UHD Graphics 770 DDR4 SDRAM - E"/>
    <s v="IT/LAN Equipment"/>
    <n v="1"/>
    <n v="0"/>
    <n v="0"/>
    <m/>
    <n v="0"/>
    <m/>
    <m/>
    <n v="774"/>
    <n v="774"/>
    <n v="633.29999999999995"/>
    <n v="633.29999999999995"/>
    <s v="Lathrop Lougheed"/>
    <n v="11.256000000000004"/>
  </r>
  <r>
    <x v="413"/>
    <s v="Replacement Micro form factor pc"/>
    <s v="Won"/>
    <d v="2024-01-26T00:00:00"/>
    <n v="0"/>
    <s v="808-3177"/>
    <s v="Dell Upgrade from 3Y Next Business Day to 3Y ProSupport"/>
    <s v="IT/LAN Equipment"/>
    <n v="1"/>
    <n v="0"/>
    <n v="0"/>
    <m/>
    <n v="0"/>
    <m/>
    <m/>
    <n v="46"/>
    <n v="46"/>
    <n v="37.35"/>
    <n v="37.35"/>
    <s v="Lathrop Lougheed"/>
    <n v="0.69199999999999995"/>
  </r>
  <r>
    <x v="413"/>
    <s v="Replacement Micro form factor pc"/>
    <s v="Won"/>
    <d v="2024-01-26T00:00:00"/>
    <n v="0"/>
    <s v="MPC-PS-T1"/>
    <s v="Meriplex Tier 1 Technician Labor"/>
    <s v="IT/LAN Installation"/>
    <n v="2"/>
    <n v="0"/>
    <n v="0"/>
    <m/>
    <n v="0"/>
    <m/>
    <m/>
    <n v="120"/>
    <n v="240"/>
    <n v="0"/>
    <n v="0"/>
    <s v="Lathrop Lougheed"/>
    <n v="9.6"/>
  </r>
  <r>
    <x v="414"/>
    <s v="Quote #MPS123234 Per Service Ticket # 10257049 - Patch Cables for Fremont"/>
    <s v="Won"/>
    <d v="2024-01-30T00:00:00"/>
    <n v="0"/>
    <s v="PC6001BESLIM"/>
    <s v="1FT CAT6 SLIM PATCH CRD BLUE 28AWG SLIM LINE W/CLEAR BOOT"/>
    <s v="IT/LAN Equipment"/>
    <n v="42"/>
    <n v="0"/>
    <n v="0"/>
    <m/>
    <n v="0"/>
    <m/>
    <m/>
    <n v="2.84"/>
    <n v="119.28"/>
    <n v="1.99"/>
    <n v="83.58"/>
    <s v="Lathrop Lougheed"/>
    <n v="2.8560000000000003"/>
  </r>
  <r>
    <x v="414"/>
    <s v="Quote #MPS123234 Per Service Ticket # 10257049 - Patch Cables for Fremont"/>
    <s v="Won"/>
    <d v="2024-01-30T00:00:00"/>
    <n v="0"/>
    <s v="PC6006BESLIM"/>
    <s v="6 FT CAT6 PATCH CORD BLUE 28AWG SLIM LINE W/CLEAR BOOT"/>
    <s v="IT/LAN Equipment"/>
    <n v="14"/>
    <n v="0"/>
    <n v="0"/>
    <m/>
    <n v="0"/>
    <m/>
    <m/>
    <n v="3.79"/>
    <n v="53.06"/>
    <n v="2.65"/>
    <n v="37.1"/>
    <s v="Lathrop Lougheed"/>
    <n v="1.2768000000000002"/>
  </r>
  <r>
    <x v="414"/>
    <s v="Quote #MPS123234 Per Service Ticket # 10257049 - Patch Cables for Fremont"/>
    <s v="Won"/>
    <d v="2024-01-30T00:00:00"/>
    <n v="0"/>
    <s v="PC6003BESLIM"/>
    <s v="3 FT CAT6 PATCH CORD BLUE 28AWG SLIM LINE W/CLEAR BOOT"/>
    <s v="IT/LAN Equipment"/>
    <n v="42"/>
    <n v="0"/>
    <n v="0"/>
    <m/>
    <n v="0"/>
    <m/>
    <m/>
    <n v="3.57"/>
    <n v="149.94"/>
    <n v="2.5"/>
    <n v="105"/>
    <s v="Lathrop Lougheed"/>
    <n v="3.5951999999999997"/>
  </r>
  <r>
    <x v="414"/>
    <s v="Quote #MPS123234 Per Service Ticket # 10257049 - Patch Cables for Fremont"/>
    <s v="Won"/>
    <d v="2024-01-30T00:00:00"/>
    <n v="0"/>
    <s v="PC6015BESLIM"/>
    <s v="15FT CAT6 PATCH CORD BLUE 28AWG SLIM LINE W/CLEAR BOOT"/>
    <s v="IT/LAN Equipment"/>
    <n v="6"/>
    <n v="0"/>
    <n v="0"/>
    <m/>
    <n v="0"/>
    <m/>
    <m/>
    <n v="5.71"/>
    <n v="34.26"/>
    <n v="4"/>
    <n v="24"/>
    <s v="Lathrop Lougheed"/>
    <n v="0.82079999999999986"/>
  </r>
  <r>
    <x v="414"/>
    <s v="Quote #MPS123234 Per Service Ticket # 10257049 - Patch Cables for Fremont"/>
    <s v="Won"/>
    <d v="2024-01-30T00:00:00"/>
    <n v="0"/>
    <s v="PC6010BESLIM"/>
    <s v="10FT CAT6 PATCH CORD BLUE 28AWG SLIM LINE W/CLEAR BOOT"/>
    <s v="IT/LAN Equipment"/>
    <n v="6"/>
    <n v="0"/>
    <n v="0"/>
    <m/>
    <n v="0"/>
    <m/>
    <m/>
    <n v="5.36"/>
    <n v="32.159999999999997"/>
    <n v="3.75"/>
    <n v="22.5"/>
    <s v="Lathrop Lougheed"/>
    <n v="0.77279999999999971"/>
  </r>
  <r>
    <x v="415"/>
    <s v="Quote #MPS123235 Per Service Ticket # 10505811 - KMCH - Headset for Jenni Kendall"/>
    <s v="Won"/>
    <d v="2024-01-31T00:00:00"/>
    <n v="0"/>
    <s v="76J21AA"/>
    <s v="Poly Blackwire 3325-M Headset - Stereo - USB Type A, Mini-phone (3.5mm) - Wired - 32 Ohm - 20 Hz - 20 kHz - On-ear - Binaural - Open - 7.05 ft Cable"/>
    <s v="IT/LAN Equipment"/>
    <n v="1"/>
    <n v="0"/>
    <n v="0"/>
    <m/>
    <n v="0"/>
    <m/>
    <m/>
    <n v="62.72"/>
    <n v="62.72"/>
    <n v="56.45"/>
    <n v="56.45"/>
    <s v="Andrew Harp"/>
    <n v="0.50159999999999971"/>
  </r>
  <r>
    <x v="416"/>
    <s v="10513943 - Sterling Ranch Replace Failed FortiNet Firewall - RUSH"/>
    <s v="Won"/>
    <d v="2024-01-25T00:00:00"/>
    <n v="0"/>
    <s v="FG-60F-BDL-950-36"/>
    <s v="Fortinet FortiGate FG-60F Network Security/Firewall Appliance with 3-Years of FortiCare/FortiGuard Service and Support"/>
    <s v="IT/LAN Equipment"/>
    <n v="1"/>
    <n v="0"/>
    <n v="0"/>
    <m/>
    <n v="0"/>
    <m/>
    <m/>
    <n v="1390"/>
    <n v="1390"/>
    <n v="1139"/>
    <n v="1139"/>
    <s v="Jonathan DeFez"/>
    <n v="20.080000000000002"/>
  </r>
  <r>
    <x v="416"/>
    <s v="10513943 - Sterling Ranch Replace Failed FortiNet Firewall - RUSH"/>
    <s v="Won"/>
    <d v="2024-01-25T00:00:00"/>
    <n v="0"/>
    <s v="CP550SLG"/>
    <s v="CyberPower Standby UPS Systems - 550VA/330W, 120 VAC, NEMA 5-15P, Compact, 8 Outlets, PowerPanel® Personal, $100000 CEG, 3YR Warranty"/>
    <s v="IT/LAN Equipment"/>
    <n v="1"/>
    <n v="0"/>
    <n v="0"/>
    <m/>
    <n v="0"/>
    <m/>
    <m/>
    <n v="74"/>
    <n v="74"/>
    <n v="60.54"/>
    <n v="60.54"/>
    <s v="Jonathan DeFez"/>
    <n v="1.0768000000000002"/>
  </r>
  <r>
    <x v="416"/>
    <s v="10513943 - Sterling Ranch Replace Failed FortiNet Firewall - RUSH"/>
    <s v="Won"/>
    <d v="2024-01-25T00:00:00"/>
    <n v="0"/>
    <s v="MPC-PS-T3"/>
    <s v="Meriplex Tier 3 Engineer Labor"/>
    <s v="IT/LAN Installation"/>
    <n v="6"/>
    <n v="0"/>
    <n v="0"/>
    <m/>
    <n v="0"/>
    <m/>
    <m/>
    <n v="225"/>
    <n v="1350"/>
    <n v="0"/>
    <n v="0"/>
    <s v="Jonathan DeFez"/>
    <n v="54"/>
  </r>
  <r>
    <x v="417"/>
    <s v="MPX LA - 5 Desktops"/>
    <s v="Won"/>
    <d v="2024-01-25T00:00:00"/>
    <n v="0"/>
    <s v="6N4F1AA#ABA"/>
    <s v="HP E24q G5 24&quot; Class WQHD LCD Monitor - 16:9 - Black, Silver - 23.8&quot; Viewable - In-plane Switching (IPS) Technology - 2560 x 1440 - 16.7 Million Colors - 300 Nit - 5 ms - 75 Hz Refresh Rate - HDMI - DisplayPort - USB Hub"/>
    <s v="IT/LAN Equipment"/>
    <n v="5"/>
    <n v="0"/>
    <n v="0"/>
    <m/>
    <n v="0"/>
    <m/>
    <m/>
    <n v="342"/>
    <n v="1710"/>
    <n v="276.95"/>
    <n v="1384.75"/>
    <s v="Mitch Verma"/>
    <n v="13.01"/>
  </r>
  <r>
    <x v="417"/>
    <s v="MPX LA - 5 Desktops"/>
    <s v="Won"/>
    <d v="2024-01-25T00:00:00"/>
    <n v="0"/>
    <s v="83Q60UT#ABA"/>
    <s v="HP Pro Mini Pro Mini 400 G9 Desktop Computer - Intel Core i5 12th Gen i5-12500T Hexa-core (6 Core) 2 GHz - 16 GB RAM DDR4 SDRAM - 256 GB M.2 PCI Express NVMe SSD - Desktop Mini - Black - Intel Q670 Chip - Windows 11 Pro - Intel UHD Graphics 770 DDR4 SDRAM"/>
    <s v="IT/LAN Equipment"/>
    <n v="5"/>
    <n v="0"/>
    <n v="0"/>
    <m/>
    <n v="0"/>
    <m/>
    <m/>
    <n v="835"/>
    <n v="4175"/>
    <n v="640.70000000000005"/>
    <n v="3203.5"/>
    <s v="Mitch Verma"/>
    <n v="38.86"/>
  </r>
  <r>
    <x v="417"/>
    <s v="MPX LA - 5 Desktops"/>
    <s v="Won"/>
    <d v="2024-01-25T00:00:00"/>
    <n v="0"/>
    <s v="763U8AA"/>
    <s v="HP B560 Mounting Bracket for Monitor, Computer"/>
    <s v="IT/LAN Equipment"/>
    <n v="5"/>
    <n v="0"/>
    <n v="0"/>
    <m/>
    <n v="0"/>
    <m/>
    <m/>
    <n v="47"/>
    <n v="235"/>
    <n v="37.840000000000003"/>
    <n v="189.20000000000002"/>
    <s v="Mitch Verma"/>
    <n v="1.8319999999999994"/>
  </r>
  <r>
    <x v="417"/>
    <s v="MPX LA - 5 Desktops"/>
    <s v="Won"/>
    <d v="2024-01-25T00:00:00"/>
    <n v="0"/>
    <s v="CP550SLG"/>
    <s v="CyberPower Standby UPS Systems - 550VA/330W, 120 VAC, NEMA 5-15P, Compact, 8 Outlets, PowerPanel® Personal, $100000 CEG, 3YR Warranty"/>
    <s v="IT/LAN Equipment"/>
    <n v="5"/>
    <n v="0"/>
    <n v="0"/>
    <m/>
    <n v="0"/>
    <m/>
    <m/>
    <n v="81"/>
    <n v="405"/>
    <n v="65.680000000000007"/>
    <n v="328.40000000000003"/>
    <s v="Mitch Verma"/>
    <n v="3.0639999999999987"/>
  </r>
  <r>
    <x v="418"/>
    <s v="Spare Aruba Switch"/>
    <s v="Won"/>
    <d v="2024-01-25T00:00:00"/>
    <n v="0"/>
    <s v="JL815A#ABA"/>
    <s v="Aruba Instant On 1830 48G 24p Class4 PoE 4SFP 370W Switch - 48 Ports - Manageable - Gigabit Ethernet - 1000Base-T, 1000Base-X - 2 Layer Supported - Modular - 4 SFP Slots - 462.50 W Power Consumption - 370 W PoE Budget - Optical Fiber, Twisted Pair - PoE P"/>
    <s v="IT/LAN Equipment"/>
    <n v="1"/>
    <n v="0"/>
    <n v="0"/>
    <m/>
    <n v="0"/>
    <m/>
    <m/>
    <n v="636"/>
    <n v="636"/>
    <n v="508.25"/>
    <n v="508.25"/>
    <s v="Kennon Jayne"/>
    <n v="10.220000000000001"/>
  </r>
  <r>
    <x v="419"/>
    <s v="MPX LA - New Office Setup"/>
    <s v="Won"/>
    <d v="2024-01-30T00:00:00"/>
    <n v="0"/>
    <s v="MPC-PS-T3"/>
    <s v="Meriplex Tier 3 Engineer Labor"/>
    <s v="IT/LAN Installation"/>
    <n v="8"/>
    <n v="0"/>
    <n v="0"/>
    <m/>
    <n v="0"/>
    <m/>
    <m/>
    <n v="180"/>
    <n v="1440"/>
    <n v="0"/>
    <n v="0"/>
    <s v="Mitch Verma"/>
    <n v="57.6"/>
  </r>
  <r>
    <x v="419"/>
    <s v="MPX LA - New Office Setup"/>
    <s v="Won"/>
    <d v="2024-01-30T00:00:00"/>
    <n v="0"/>
    <s v="C9120AXI-B"/>
    <s v="Cisco Catalyst 9120AXI Dual Band 802.11ax 5.38 Gbit/s Wireless Access Point - Indoor - 2.40 GHz, 5 GHz - Internal - MIMO Technology - 1 x Network (RJ-45) - 2.5 Gigabit Ethernet - Bluetooth 5"/>
    <s v="IT/LAN Equipment"/>
    <n v="1"/>
    <n v="0"/>
    <n v="0"/>
    <m/>
    <n v="0"/>
    <m/>
    <m/>
    <n v="1272"/>
    <n v="1272"/>
    <n v="974.11"/>
    <n v="974.11"/>
    <s v="Mitch Verma"/>
    <n v="11.9156"/>
  </r>
  <r>
    <x v="419"/>
    <s v="MPX LA - New Office Setup"/>
    <s v="Won"/>
    <d v="2024-01-30T00:00:00"/>
    <n v="0"/>
    <s v="CON-SSSNT-C9120BIX"/>
    <s v="Cisco Solution Support - Extended Service - Service - 8 x 5 x Next Business Day - Exchange - Parts - Physical, Electronic"/>
    <s v="IT/LAN Equipment"/>
    <n v="1"/>
    <n v="0"/>
    <n v="0"/>
    <m/>
    <n v="0"/>
    <m/>
    <m/>
    <n v="297"/>
    <n v="297"/>
    <n v="91.16"/>
    <n v="91.16"/>
    <s v="Mitch Verma"/>
    <n v="8.2336000000000009"/>
  </r>
  <r>
    <x v="419"/>
    <s v="MPX LA - New Office Setup"/>
    <s v="Won"/>
    <d v="2024-01-30T00:00:00"/>
    <n v="0"/>
    <s v="AIR-DNA-E-3Y"/>
    <s v="Cisco Digital Network Architecture Essentials - Term License - 1 License - 3 Year"/>
    <s v="IT/LAN Equipment"/>
    <n v="1"/>
    <n v="0"/>
    <n v="0"/>
    <m/>
    <n v="0"/>
    <m/>
    <m/>
    <n v="159"/>
    <n v="159"/>
    <n v="122.43"/>
    <n v="122.43"/>
    <s v="Mitch Verma"/>
    <n v="1.4627999999999997"/>
  </r>
  <r>
    <x v="419"/>
    <s v="MPX LA - New Office Setup"/>
    <s v="Won"/>
    <d v="2024-01-30T00:00:00"/>
    <n v="0"/>
    <s v="CON-SSTCM-AIRDNAE"/>
    <s v="Cisco Solution Support - 1 Year - Service - Technical"/>
    <s v="IT/LAN Equipment"/>
    <n v="1"/>
    <n v="0"/>
    <n v="0"/>
    <m/>
    <n v="0"/>
    <m/>
    <m/>
    <n v="14"/>
    <n v="14"/>
    <n v="11.18"/>
    <n v="11.18"/>
    <s v="Mitch Verma"/>
    <n v="0.11280000000000001"/>
  </r>
  <r>
    <x v="419"/>
    <s v="MPX LA - New Office Setup"/>
    <s v="Won"/>
    <d v="2024-01-30T00:00:00"/>
    <n v="0"/>
    <s v="IMC1GSFP"/>
    <s v="StarTech.com Industrial Fiber to Ethernet Media Converter - 1Gbps SFP to RJ45/CAT6 - SM/MM Fiber to Copper Gigabit Network IP-30 12V Input - Fiber to Ethernet Media Converter extends networks &amp; converts optical fiber to RJ45 Copper/CAT6 - Industrial Harde"/>
    <s v="IT/LAN Equipment"/>
    <n v="1"/>
    <n v="0"/>
    <n v="0"/>
    <m/>
    <n v="0"/>
    <m/>
    <m/>
    <n v="266"/>
    <n v="266"/>
    <n v="185.79"/>
    <n v="185.79"/>
    <s v="Mitch Verma"/>
    <n v="3.2084000000000006"/>
  </r>
  <r>
    <x v="419"/>
    <s v="MPX LA - New Office Setup"/>
    <s v="Won"/>
    <d v="2024-01-30T00:00:00"/>
    <n v="0"/>
    <s v="10052-ST"/>
    <s v="StarTech.com Extreme Networks 10052 Compatible SFP Module - 1000BASE-LX - 1GE SFP 1GbE Single Mode Fiber SMF Optic Transceiver - 10km DDM - Extreme Networks 10052 Compatible SFP - 1000BASE-LX 1Gbps - 1GbE Module - 1GE Gigabit Ethernet SFP 1310nm Single Mo"/>
    <s v="IT/LAN Equipment"/>
    <n v="1"/>
    <n v="0"/>
    <n v="0"/>
    <m/>
    <n v="0"/>
    <m/>
    <m/>
    <n v="35"/>
    <n v="35"/>
    <n v="28.18"/>
    <n v="28.18"/>
    <s v="Mitch Verma"/>
    <n v="0.27280000000000004"/>
  </r>
  <r>
    <x v="420"/>
    <s v="SQL License"/>
    <s v="Won"/>
    <d v="2024-01-30T00:00:00"/>
    <n v="0"/>
    <s v="DG7GMGF0M80J:0002"/>
    <s v="SQL SVR 2022 STD ED PERP 1 SVR LICS LC"/>
    <s v="IT/LAN Equipment"/>
    <n v="1"/>
    <n v="0"/>
    <n v="0"/>
    <m/>
    <n v="0"/>
    <m/>
    <m/>
    <n v="985"/>
    <n v="985"/>
    <n v="848.82"/>
    <n v="848.82"/>
    <s v="Cynthia Newsom"/>
    <n v="11.575299999999997"/>
  </r>
  <r>
    <x v="421"/>
    <s v="#10513855 - Monitoring Alert / Redmond Medical Clinic Certificate Expiration for remo"/>
    <s v="Won"/>
    <d v="2024-01-30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Lathrop Lougheed"/>
    <n v="1.2008000000000005"/>
  </r>
  <r>
    <x v="421"/>
    <s v="#10513855 - Monitoring Alert / Redmond Medical Clinic Certificate Expiration for remo"/>
    <s v="Won"/>
    <d v="2024-01-30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149"/>
    <n v="149"/>
    <n v="0"/>
    <n v="0"/>
    <s v="Lathrop Lougheed"/>
    <n v="5.96"/>
  </r>
  <r>
    <x v="422"/>
    <s v="MPX LA - Veeam Renewal 2024"/>
    <s v="Won"/>
    <d v="2024-01-26T00:00:00"/>
    <n v="0"/>
    <s v="V-FDNVUL-0I-SU1AR-00"/>
    <s v="Subscription License. Includes Enterprise Plus Edition features. 1 Year Renewal Subscription Upfront Billing &amp; Production (24/7) Support. 10 instance pack. Veeam Data Platform Foundation Universal"/>
    <s v="IT/LAN Equipment"/>
    <n v="13"/>
    <n v="0"/>
    <n v="0"/>
    <m/>
    <n v="0"/>
    <m/>
    <m/>
    <n v="392"/>
    <n v="5096"/>
    <n v="321.24"/>
    <n v="4176.12"/>
    <s v="Mitch Verma"/>
    <n v="36.795200000000008"/>
  </r>
  <r>
    <x v="423"/>
    <s v="SR 250659 Adobe CC Teams PO 962937"/>
    <s v="Won"/>
    <d v="2024-01-25T00:00:00"/>
    <n v="0"/>
    <s v="65304043BA 03C12"/>
    <s v="Adobe CC All Apps Teams - 7 months"/>
    <s v="IT/LAN Equipment"/>
    <n v="1"/>
    <n v="0"/>
    <n v="0"/>
    <m/>
    <n v="0"/>
    <m/>
    <m/>
    <n v="644"/>
    <n v="644"/>
    <n v="570.84"/>
    <n v="570.84"/>
    <s v="Jackie Moore"/>
    <n v="0"/>
  </r>
  <r>
    <x v="424"/>
    <s v="Network Module Credit and Block of Hours"/>
    <s v="Won"/>
    <d v="2024-01-26T00:00:00"/>
    <n v="0"/>
    <s v="C9200-NM-4X="/>
    <s v="Cisco 4 x 1G/10G Network Module - For Data Networking10 Gigabit Ethernet - 10GBase-X - 4 x Expansion Slots"/>
    <s v="IT/LAN Equipment"/>
    <n v="41"/>
    <n v="0"/>
    <n v="0"/>
    <m/>
    <n v="0"/>
    <m/>
    <m/>
    <n v="615"/>
    <n v="25215"/>
    <n v="430.14"/>
    <n v="17635.739999999998"/>
    <s v="John Sobernheim"/>
    <n v="644.23710000000017"/>
  </r>
  <r>
    <x v="424"/>
    <s v="Network Module Credit and Block of Hours"/>
    <s v="Won"/>
    <d v="2024-01-26T00:00:00"/>
    <n v="0"/>
    <s v="C9200-NM-4X="/>
    <s v="Cisco 4 x 1G/10G Network Module - For Data Networking10 Gigabit Ethernet - 10GBase-X - 4 x Expansion Slots"/>
    <s v="IT/LAN Equipment"/>
    <n v="-41"/>
    <n v="0"/>
    <n v="0"/>
    <m/>
    <n v="0"/>
    <m/>
    <m/>
    <n v="1371.07"/>
    <n v="-56213.87"/>
    <n v="430.14"/>
    <n v="-17635.739999999998"/>
    <s v="John Sobernheim"/>
    <n v="0"/>
  </r>
  <r>
    <x v="424"/>
    <s v="Network Module Credit and Block of Hours"/>
    <s v="Won"/>
    <d v="2024-01-26T00:00:00"/>
    <n v="0"/>
    <s v="MPC-BLK-100+"/>
    <s v="Hourly Support Block (100+ Units)"/>
    <s v="IT/LAN Installation"/>
    <n v="175"/>
    <n v="0"/>
    <n v="0"/>
    <m/>
    <n v="0"/>
    <m/>
    <m/>
    <n v="180"/>
    <n v="31500"/>
    <n v="0"/>
    <n v="0"/>
    <s v="John Sobernheim"/>
    <n v="1260"/>
  </r>
  <r>
    <x v="425"/>
    <s v="Quote #MPS123086 Per Service Ticket # 10493564 - Desktops for Volvo Service Advisors"/>
    <s v="Won"/>
    <d v="2024-01-30T00:00:00"/>
    <n v="0"/>
    <s v="7R3MP"/>
    <s v="Dell OptiPlex 7000 7010 Desktop Computer - Intel Core i5 13th Gen i5-13500T Tetradeca-core (14 Core) 1.60 GHz - 16 GB RAM DDR4 SDRAM - 512 GB M.2 PCI Express NVMe SSD - Micro PC - Black - Intel Chip - Windows 11 Pro - Intel UHD Graphics 770 DDR4 SDRAM - E"/>
    <s v="IT/LAN Equipment"/>
    <n v="3"/>
    <n v="0"/>
    <n v="0"/>
    <m/>
    <n v="0"/>
    <m/>
    <m/>
    <n v="911.24"/>
    <n v="2733.72"/>
    <n v="774.55"/>
    <n v="2323.6499999999996"/>
    <s v="Andrew Harp"/>
    <n v="32.805600000000013"/>
  </r>
  <r>
    <x v="425"/>
    <s v="Quote #MPS123086 Per Service Ticket # 10493564 - Desktops for Volvo Service Advisors"/>
    <s v="Won"/>
    <d v="2024-01-30T00:00:00"/>
    <n v="0"/>
    <s v="MPC-PS-T2"/>
    <s v="PC Migration or Installation Services"/>
    <s v="IT/LAN Installation"/>
    <n v="3"/>
    <n v="0"/>
    <n v="0"/>
    <m/>
    <n v="0"/>
    <m/>
    <m/>
    <n v="100"/>
    <n v="300"/>
    <n v="0"/>
    <n v="0"/>
    <s v="Andrew Harp"/>
    <n v="12"/>
  </r>
  <r>
    <x v="426"/>
    <s v="10518531 - Windows 11 Home to Pro Upgrade for Microsoft 365 Business"/>
    <s v="Won"/>
    <d v="2024-01-26T00:00:00"/>
    <n v="0"/>
    <s v="DG7GMGF0D8H4:0002"/>
    <s v="Windows 11 Home to Pro Upgrade for Microsoft 365 Business (NCE COM BAS PER 1TM)"/>
    <s v="IT/LAN Equipment"/>
    <n v="2"/>
    <n v="0"/>
    <n v="0"/>
    <m/>
    <n v="0"/>
    <m/>
    <m/>
    <n v="49.58"/>
    <n v="99.16"/>
    <n v="42.14"/>
    <n v="84.28"/>
    <s v="Jonathan DeFez"/>
    <n v="1.1903999999999997"/>
  </r>
  <r>
    <x v="427"/>
    <s v="SR 239973 OptiPlex 7010 Micro PO 50171015"/>
    <s v="Won"/>
    <d v="2024-01-26T00:00:00"/>
    <n v="0"/>
    <s v="338-CHBX"/>
    <s v="Dell OptiPlex 7010 Micro i5-13500T (6+8 Cores/24MB/20T/1.6GHz to 4.6GHz/35W), 16GB (1x16GB) DDR4, 512GB SSD, Windows 11"/>
    <s v="IT/LAN Equipment"/>
    <n v="1"/>
    <n v="0"/>
    <n v="0"/>
    <m/>
    <n v="0"/>
    <m/>
    <m/>
    <n v="1034"/>
    <n v="1034"/>
    <n v="775.11"/>
    <n v="775.11"/>
    <s v="Jackie Moore"/>
    <n v="0"/>
  </r>
  <r>
    <x v="428"/>
    <s v="Server Support Renewal"/>
    <s v="Won"/>
    <d v="2024-01-30T00:00:00"/>
    <n v="0"/>
    <s v="XH"/>
    <s v="Custom Post Standard Support Next Business Day On-Site Service"/>
    <s v="Dedicated Resource"/>
    <n v="1"/>
    <n v="0"/>
    <n v="0"/>
    <m/>
    <n v="0"/>
    <m/>
    <m/>
    <n v="234.04"/>
    <n v="234.04"/>
    <n v="187.23"/>
    <n v="187.23"/>
    <s v="Lathrop Lougheed"/>
    <n v="3.7448000000000001"/>
  </r>
  <r>
    <x v="428"/>
    <s v="Server Support Renewal"/>
    <s v="Won"/>
    <d v="2024-01-30T00:00:00"/>
    <n v="0"/>
    <s v="XF"/>
    <s v="Post Standard Support and Next Business Day On-Site Service After Problem Diagnosis Variable"/>
    <s v="IT/LAN Equipment"/>
    <n v="1"/>
    <n v="0"/>
    <n v="0"/>
    <m/>
    <n v="0"/>
    <m/>
    <m/>
    <n v="392"/>
    <n v="392"/>
    <n v="280.08"/>
    <n v="280.08"/>
    <s v="Lathrop Lougheed"/>
    <n v="8.9536000000000016"/>
  </r>
  <r>
    <x v="428"/>
    <s v="Server Support Renewal"/>
    <s v="Won"/>
    <d v="2024-01-30T00:00:00"/>
    <n v="0"/>
    <s v="XJ"/>
    <s v="Custom Post Standard Support 7x24 Technical Support"/>
    <s v="Dedicated Resource"/>
    <n v="1"/>
    <n v="0"/>
    <n v="0"/>
    <m/>
    <n v="0"/>
    <m/>
    <m/>
    <n v="282.17"/>
    <n v="282.17"/>
    <n v="225.74"/>
    <n v="225.74"/>
    <s v="Lathrop Lougheed"/>
    <n v="4.5144000000000011"/>
  </r>
  <r>
    <x v="428"/>
    <s v="Server Support Renewal"/>
    <s v="Won"/>
    <d v="2024-01-30T00:00:00"/>
    <n v="0"/>
    <s v="XJ"/>
    <s v="Custom Post Standard Support 7x24 Technical Support"/>
    <s v="Dedicated Resource"/>
    <n v="1"/>
    <n v="0"/>
    <n v="0"/>
    <m/>
    <n v="0"/>
    <m/>
    <m/>
    <n v="282.17"/>
    <n v="282.17"/>
    <n v="225.74"/>
    <n v="225.74"/>
    <s v="Lathrop Lougheed"/>
    <n v="4.5144000000000011"/>
  </r>
  <r>
    <x v="428"/>
    <s v="Server Support Renewal"/>
    <s v="Won"/>
    <d v="2024-01-30T00:00:00"/>
    <n v="0"/>
    <s v="XH"/>
    <s v="Custom Post Standard Support Next Business Day On-Site Service"/>
    <s v="Dedicated Resource"/>
    <n v="1"/>
    <n v="0"/>
    <n v="0"/>
    <m/>
    <n v="0"/>
    <m/>
    <m/>
    <n v="234.04"/>
    <n v="234.04"/>
    <n v="187.23"/>
    <n v="187.23"/>
    <s v="Lathrop Lougheed"/>
    <n v="3.7448000000000001"/>
  </r>
  <r>
    <x v="429"/>
    <s v="SR 247786 Latitude 5540 Bundle Monitors PO 50171014"/>
    <s v="Won"/>
    <d v="2024-01-26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429"/>
    <s v="SR 247786 Latitude 5540 Bundle Monitors PO 50171014"/>
    <s v="Won"/>
    <d v="2024-01-26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429"/>
    <s v="SR 247786 Latitude 5540 Bundle Monitors PO 50171014"/>
    <s v="Won"/>
    <d v="2024-01-26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429"/>
    <s v="SR 247786 Latitude 5540 Bundle Monitors PO 50171014"/>
    <s v="Won"/>
    <d v="2024-01-26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429"/>
    <s v="SR 247786 Latitude 5540 Bundle Monitors PO 50171014"/>
    <s v="Won"/>
    <d v="2024-01-26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429"/>
    <s v="SR 247786 Latitude 5540 Bundle Monitors PO 50171014"/>
    <s v="Won"/>
    <d v="2024-01-26T00:00:00"/>
    <n v="0"/>
    <s v="210-BGPK"/>
    <s v="Dell E2424HS 24&quot; LED LCD"/>
    <s v="IT/LAN Equipment"/>
    <n v="2"/>
    <n v="0"/>
    <n v="0"/>
    <m/>
    <n v="0"/>
    <m/>
    <m/>
    <n v="189"/>
    <n v="378"/>
    <n v="107.74"/>
    <n v="215.48"/>
    <s v="Jackie Moore"/>
    <n v="0"/>
  </r>
  <r>
    <x v="430"/>
    <s v="SR 244176 OptiPlex 3000 Thin Client PO 2469867"/>
    <s v="Won"/>
    <d v="2024-01-26T00:00:00"/>
    <n v="0"/>
    <s v="210-BCIJ"/>
    <s v="Dell OptiPlex 3000 Thin Client Celeron N5105 32GB Flash 4GB RAM"/>
    <s v="IT/LAN Equipment"/>
    <n v="1"/>
    <n v="0"/>
    <n v="0"/>
    <m/>
    <n v="0"/>
    <m/>
    <m/>
    <n v="439"/>
    <n v="439"/>
    <n v="325.86"/>
    <n v="325.86"/>
    <s v="Jackie Moore"/>
    <n v="0"/>
  </r>
  <r>
    <x v="431"/>
    <s v="SR 247928 Latitude 5540 Bundle PO 13983180"/>
    <s v="Won"/>
    <d v="2024-01-26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431"/>
    <s v="SR 247928 Latitude 5540 Bundle PO 13983180"/>
    <s v="Won"/>
    <d v="2024-01-26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431"/>
    <s v="SR 247928 Latitude 5540 Bundle PO 13983180"/>
    <s v="Won"/>
    <d v="2024-01-26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431"/>
    <s v="SR 247928 Latitude 5540 Bundle PO 13983180"/>
    <s v="Won"/>
    <d v="2024-01-26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431"/>
    <s v="SR 247928 Latitude 5540 Bundle PO 13983180"/>
    <s v="Won"/>
    <d v="2024-01-26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432"/>
    <s v="SR 247921 Latitude 5540 Bundle PO 30061357"/>
    <s v="Won"/>
    <d v="2024-01-26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432"/>
    <s v="SR 247921 Latitude 5540 Bundle PO 30061357"/>
    <s v="Won"/>
    <d v="2024-01-26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432"/>
    <s v="SR 247921 Latitude 5540 Bundle PO 30061357"/>
    <s v="Won"/>
    <d v="2024-01-26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432"/>
    <s v="SR 247921 Latitude 5540 Bundle PO 30061357"/>
    <s v="Won"/>
    <d v="2024-01-26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432"/>
    <s v="SR 247921 Latitude 5540 Bundle PO 30061357"/>
    <s v="Won"/>
    <d v="2024-01-26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433"/>
    <s v="SR 245733 Poly S7210 Headset PO 13983178"/>
    <s v="Won"/>
    <d v="2024-01-26T00:00:00"/>
    <n v="0"/>
    <s v="PLANT 38350-13"/>
    <s v="Poly EHS Cable APC-43 Cisco"/>
    <s v="IT/LAN Equipment"/>
    <n v="3"/>
    <n v="0"/>
    <n v="0"/>
    <m/>
    <n v="0"/>
    <m/>
    <m/>
    <n v="65"/>
    <n v="195"/>
    <n v="32.99"/>
    <n v="98.97"/>
    <s v="Jackie Moore"/>
    <n v="0"/>
  </r>
  <r>
    <x v="433"/>
    <s v="SR 245733 Poly S7210 Headset PO 13983178"/>
    <s v="Won"/>
    <d v="2024-01-26T00:00:00"/>
    <n v="0"/>
    <s v="POLY 213010-01"/>
    <s v="Poly Savi S7210 Headset"/>
    <s v="IT/LAN Equipment"/>
    <n v="3"/>
    <n v="0"/>
    <n v="0"/>
    <m/>
    <n v="0"/>
    <m/>
    <m/>
    <n v="250"/>
    <n v="750"/>
    <n v="189.95"/>
    <n v="569.84999999999991"/>
    <s v="Jackie Moore"/>
    <n v="0"/>
  </r>
  <r>
    <x v="434"/>
    <s v="SR 248655 Latitude 5540 Bundle PO 50169504"/>
    <s v="Won"/>
    <d v="2024-01-26T00:00:00"/>
    <n v="0"/>
    <s v="DELL 210-AZBM"/>
    <s v="Dell WD19S Dock 130w PD 180W AC"/>
    <s v="IT/LAN Equipment"/>
    <n v="1"/>
    <n v="0"/>
    <n v="0"/>
    <m/>
    <n v="0"/>
    <m/>
    <m/>
    <n v="239"/>
    <n v="239"/>
    <n v="203.99"/>
    <n v="203.99"/>
    <s v="Jackie Moore"/>
    <n v="0"/>
  </r>
  <r>
    <x v="434"/>
    <s v="SR 248655 Latitude 5540 Bundle PO 50169504"/>
    <s v="Won"/>
    <d v="2024-01-26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434"/>
    <s v="SR 248655 Latitude 5540 Bundle PO 50169504"/>
    <s v="Won"/>
    <d v="2024-01-26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434"/>
    <s v="SR 248655 Latitude 5540 Bundle PO 50169504"/>
    <s v="Won"/>
    <d v="2024-01-26T00:00:00"/>
    <n v="0"/>
    <s v="210-BGBM"/>
    <s v="Dell Latitude 5540 Core i7-1365U 13th Gen 16GB 512GB M.2 Windows 11, 15.6&quot; FHD IR Camera WLAN Backlit Keyboard with Numeric Keypad Intel Wi-Fi 6E AX211, 2x2, 802.11ax, Bluetooth 3 Year ProSupport"/>
    <s v="IT/LAN Equipment"/>
    <n v="1"/>
    <n v="0"/>
    <n v="0"/>
    <m/>
    <n v="0"/>
    <m/>
    <m/>
    <n v="1779"/>
    <n v="1779"/>
    <n v="1390.86"/>
    <n v="1390.86"/>
    <s v="Jackie Moore"/>
    <n v="0"/>
  </r>
  <r>
    <x v="434"/>
    <s v="SR 248655 Latitude 5540 Bundle PO 50169504"/>
    <s v="Won"/>
    <d v="2024-01-26T00:00:00"/>
    <n v="0"/>
    <s v="DELL 460-BDKI"/>
    <s v="Dell EcoLoop Pro Briefcase"/>
    <s v="IT/LAN Equipment"/>
    <n v="1"/>
    <n v="0"/>
    <n v="0"/>
    <m/>
    <n v="0"/>
    <m/>
    <m/>
    <n v="49"/>
    <n v="49"/>
    <n v="33.770000000000003"/>
    <n v="33.770000000000003"/>
    <s v="Jackie Moore"/>
    <n v="0"/>
  </r>
  <r>
    <x v="435"/>
    <s v="SR 248560 Engineering Dock PO 50169503"/>
    <s v="Won"/>
    <d v="2024-01-26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436"/>
    <s v="SR 248557 Monitors Desk Phone PO 50169502"/>
    <s v="Won"/>
    <d v="2024-01-26T00:00:00"/>
    <n v="0"/>
    <s v="210-BGPK"/>
    <s v="Dell E2424HS 24&quot; LED LCD"/>
    <s v="IT/LAN Equipment"/>
    <n v="2"/>
    <n v="0"/>
    <n v="0"/>
    <m/>
    <n v="0"/>
    <m/>
    <m/>
    <n v="189"/>
    <n v="378"/>
    <n v="107.74"/>
    <n v="215.48"/>
    <s v="Jackie Moore"/>
    <n v="0"/>
  </r>
  <r>
    <x v="436"/>
    <s v="SR 248557 Monitors Desk Phone PO 50169502"/>
    <s v="Won"/>
    <d v="2024-01-26T00:00:00"/>
    <n v="0"/>
    <s v="CISCO CP-8811-K9="/>
    <s v="Cisco 8811 Unified IP Phone"/>
    <s v="IT/LAN Equipment"/>
    <n v="1"/>
    <n v="0"/>
    <n v="0"/>
    <m/>
    <n v="0"/>
    <m/>
    <m/>
    <n v="309"/>
    <n v="309"/>
    <n v="189.95"/>
    <n v="189.95"/>
    <s v="Jackie Moore"/>
    <n v="0"/>
  </r>
  <r>
    <x v="437"/>
    <s v="SR 248040 Precision 7780 Bundle PO 962789"/>
    <s v="Won"/>
    <d v="2024-01-26T00:00:00"/>
    <n v="0"/>
    <s v="998-GDXV"/>
    <s v="Dell Mobile Precision 7780 17.3&quot; Intel Core i9-13950HX vPro 64GB 1TB M.2 PCIe NCMe Gen 4 2280 SSD, Windows 11 Pro"/>
    <s v="IT/LAN Equipment"/>
    <n v="1"/>
    <n v="0"/>
    <n v="0"/>
    <m/>
    <n v="0"/>
    <m/>
    <m/>
    <n v="4823"/>
    <n v="4823"/>
    <n v="4002.43"/>
    <n v="4002.43"/>
    <s v="Jackie Moore"/>
    <n v="0"/>
  </r>
  <r>
    <x v="437"/>
    <s v="SR 248040 Precision 7780 Bundle PO 962789"/>
    <s v="Won"/>
    <d v="2024-01-26T00:00:00"/>
    <n v="0"/>
    <s v="DELL 210-AZBN"/>
    <s v="Dell WD19DCS Dock 210w PD 240W AC"/>
    <s v="IT/LAN Equipment"/>
    <n v="1"/>
    <n v="0"/>
    <n v="0"/>
    <m/>
    <n v="0"/>
    <m/>
    <m/>
    <n v="339"/>
    <n v="339"/>
    <n v="267.29000000000002"/>
    <n v="267.29000000000002"/>
    <s v="Jackie Moore"/>
    <n v="0"/>
  </r>
  <r>
    <x v="437"/>
    <s v="SR 248040 Precision 7780 Bundle PO 962789"/>
    <s v="Won"/>
    <d v="2024-01-26T00:00:00"/>
    <n v="0"/>
    <s v="DELL 580-AJIS"/>
    <s v="Dell KM5221W Wireless Keyboard &amp; Mouse"/>
    <s v="IT/LAN Equipment"/>
    <n v="1"/>
    <n v="0"/>
    <n v="0"/>
    <m/>
    <n v="0"/>
    <m/>
    <m/>
    <n v="40"/>
    <n v="40"/>
    <n v="31.89"/>
    <n v="31.89"/>
    <s v="Jackie Moore"/>
    <n v="0"/>
  </r>
  <r>
    <x v="437"/>
    <s v="SR 248040 Precision 7780 Bundle PO 962789"/>
    <s v="Won"/>
    <d v="2024-01-26T00:00:00"/>
    <n v="0"/>
    <s v="TARGUS CVR217"/>
    <s v="Targus Notebook Case 17"/>
    <s v="IT/LAN Equipment"/>
    <n v="1"/>
    <n v="0"/>
    <n v="0"/>
    <m/>
    <n v="0"/>
    <m/>
    <m/>
    <n v="44"/>
    <n v="44"/>
    <n v="34.99"/>
    <n v="34.99"/>
    <s v="Jackie Moore"/>
    <n v="0"/>
  </r>
  <r>
    <x v="437"/>
    <s v="SR 248040 Precision 7780 Bundle PO 962789"/>
    <s v="Won"/>
    <d v="2024-01-26T00:00:00"/>
    <n v="0"/>
    <s v="TRIPP P580-006"/>
    <s v="DisplayPort to DisplayPort Cable 6'"/>
    <s v="IT/LAN Equipment"/>
    <n v="1"/>
    <n v="0"/>
    <n v="0"/>
    <m/>
    <n v="0"/>
    <m/>
    <m/>
    <n v="17"/>
    <n v="17"/>
    <n v="10.24"/>
    <n v="10.24"/>
    <s v="Jackie Moore"/>
    <n v="0"/>
  </r>
  <r>
    <x v="438"/>
    <s v="SR 250319 Backwire 5220 Headset PO 3003882"/>
    <s v="Won"/>
    <d v="2024-01-26T00:00:00"/>
    <n v="0"/>
    <s v="POLY 207576-01"/>
    <s v="Poly Blackwire 5220 USB Headset Stereo USB-A"/>
    <s v="IT/LAN Equipment"/>
    <n v="1"/>
    <n v="0"/>
    <n v="0"/>
    <m/>
    <n v="0"/>
    <m/>
    <m/>
    <n v="97"/>
    <n v="97"/>
    <n v="79.95"/>
    <n v="79.95"/>
    <s v="Jackie Moore"/>
    <n v="0"/>
  </r>
  <r>
    <x v="439"/>
    <s v="Replace Hard Drive with SSD on Randy Reid's Laptop"/>
    <s v="Won"/>
    <d v="2024-01-26T00:00:00"/>
    <n v="0"/>
    <s v="MZ-77E500E"/>
    <s v="Samsung 870 EVO 500 GB Solid State Drive - 2.5&quot; Internal - SATA (SATA/600) - Desktop PC, Notebook, Storage System Device Supported - 560 MB/s Maximum Read Transfer Rate - 256-bit Encryption Standard - 5 Year Warranty"/>
    <s v="IT/LAN Equipment"/>
    <n v="1"/>
    <n v="0"/>
    <n v="0"/>
    <m/>
    <n v="0"/>
    <m/>
    <m/>
    <n v="61"/>
    <n v="61"/>
    <n v="48.45"/>
    <n v="48.45"/>
    <s v="Erminio Lalli"/>
    <n v="1.0039999999999998"/>
  </r>
  <r>
    <x v="439"/>
    <s v="Replace Hard Drive with SSD on Randy Reid's Laptop"/>
    <s v="Won"/>
    <d v="2024-01-26T00:00:00"/>
    <n v="0"/>
    <s v="MPC-PS-T2"/>
    <s v="Meriplex Tier 2 Engineer Labor"/>
    <s v="IT/LAN Installation"/>
    <n v="2"/>
    <n v="0"/>
    <n v="0"/>
    <m/>
    <n v="0"/>
    <m/>
    <m/>
    <n v="185"/>
    <n v="370"/>
    <n v="0"/>
    <n v="0"/>
    <s v="Erminio Lalli"/>
    <n v="14.8"/>
  </r>
  <r>
    <x v="440"/>
    <s v="Quote #MPS123311 Per Service Ticket # 10515049 - SASSI - Monitors"/>
    <s v="Won"/>
    <d v="2024-01-29T00:00:00"/>
    <n v="0"/>
    <s v="DELL-P2422H"/>
    <s v="Dell P2422H 24&quot; Class Full HD LCD Monitor - 16:9 - Black, Silver - 23.8&quot; Viewable - In-plane Switching (IPS) Technology - LED Backlight - 1920 x 1080 - 16.7 Million Colors - 250 Nit Typical - 5 ms - 75 Hz Refresh Rate - HDMI - VGA - DisplayPort"/>
    <s v="IT/LAN Equipment"/>
    <n v="4"/>
    <n v="0"/>
    <n v="0"/>
    <m/>
    <n v="0"/>
    <m/>
    <m/>
    <n v="169.87"/>
    <n v="679.48"/>
    <n v="135"/>
    <n v="540"/>
    <s v="Andrew Harp"/>
    <n v="11.158400000000002"/>
  </r>
  <r>
    <x v="440"/>
    <s v="Quote #MPS123311 Per Service Ticket # 10515049 - SASSI - Monitors"/>
    <s v="Won"/>
    <d v="2024-01-29T00:00:00"/>
    <n v="0"/>
    <s v="CED15-35"/>
    <s v="E-Waste Recycling Fee"/>
    <s v="IT/LAN Equipment"/>
    <n v="4"/>
    <n v="0"/>
    <n v="0"/>
    <m/>
    <n v="0"/>
    <m/>
    <m/>
    <n v="5"/>
    <n v="20"/>
    <n v="5"/>
    <n v="20"/>
    <s v="Andrew Harp"/>
    <n v="0"/>
  </r>
  <r>
    <x v="441"/>
    <s v="MPX LA - Patch Cables"/>
    <s v="Won"/>
    <d v="2024-01-31T00:00:00"/>
    <n v="0"/>
    <s v="15188"/>
    <s v="C2G 5ft Cat5e Ethernet Cable - Snagless Unshielded (UTP) - Blue - Category 5e for Network Device - RJ-45 Male - RJ-45 Male - 5ft - Blue"/>
    <s v="IT/LAN Equipment"/>
    <n v="2"/>
    <n v="0"/>
    <n v="0"/>
    <m/>
    <n v="0"/>
    <m/>
    <m/>
    <n v="4.75"/>
    <n v="9.5"/>
    <n v="1.72"/>
    <n v="3.44"/>
    <s v="Mitch Verma"/>
    <n v="0.24240000000000003"/>
  </r>
  <r>
    <x v="442"/>
    <s v="SR 249445 HP Color LaserJet Pro PO 13983258"/>
    <s v="Won"/>
    <d v="2024-01-26T00:00:00"/>
    <n v="0"/>
    <s v="HP 7KW75A#BGJ"/>
    <s v="HP Color LaserJet Pro MFP M283fdw 22ppm"/>
    <s v="IT/LAN Equipment"/>
    <n v="1"/>
    <n v="0"/>
    <n v="0"/>
    <m/>
    <n v="0"/>
    <m/>
    <m/>
    <n v="637"/>
    <n v="637"/>
    <n v="527.96"/>
    <n v="527.96"/>
    <s v="Jackie Moore"/>
    <n v="0"/>
  </r>
  <r>
    <x v="443"/>
    <s v="OCC Cornerstone Laptops and Workstation quote"/>
    <s v="Won"/>
    <d v="2024-01-29T00:00:00"/>
    <n v="0"/>
    <s v="C36TD"/>
    <s v="Dell OptiPlex 7000 7010 Desktop Computer - Intel Core i5 13th Gen i5-13500T Tetradeca-core (14 Core) 1.60 GHz - 16 GB RAM DDR4 SDRAM - 256 GB M.2 PCI Express NVMe SSD - Micro PC - Black - Intel Chip - Windows 11 Pro - Intel UHD Graphics 770 DDR4 SDRAM - E"/>
    <s v="IT/LAN Equipment"/>
    <n v="1"/>
    <n v="0"/>
    <n v="0"/>
    <m/>
    <n v="0"/>
    <m/>
    <m/>
    <n v="773.41"/>
    <n v="773.41"/>
    <n v="634.20000000000005"/>
    <n v="634.20000000000005"/>
    <s v="Michael True"/>
    <n v="11.832849999999993"/>
  </r>
  <r>
    <x v="443"/>
    <s v="OCC Cornerstone Laptops and Workstation quote"/>
    <s v="Won"/>
    <d v="2024-01-29T00:00:00"/>
    <n v="0"/>
    <s v="XGY4R"/>
    <s v="Dell Latitude 3340 13.3&quot; Touchscreen Convertible 2 in 1 Notebook - Full HD - 1920 x 1080 - Intel Core i5 13th Gen i5-1335U Deca-core (10 Core) - 8 GB Total RAM - 8 GB On-board Memory - 256 GB SSD - Titan Gray - Intel Chip - Windows 11 Pro - Intel Iris Xe"/>
    <s v="IT/LAN Equipment"/>
    <n v="3"/>
    <n v="0"/>
    <n v="0"/>
    <m/>
    <n v="0"/>
    <m/>
    <m/>
    <n v="1084.05"/>
    <n v="3252.15"/>
    <n v="888.92"/>
    <n v="2666.7599999999998"/>
    <s v="Michael True"/>
    <n v="49.758150000000029"/>
  </r>
  <r>
    <x v="443"/>
    <s v="OCC Cornerstone Laptops and Workstation quote"/>
    <s v="Won"/>
    <d v="2024-01-29T00:00:00"/>
    <n v="0"/>
    <s v="808-3123"/>
    <s v="Upgrade from 1Y Next Business Day to 3Y Next Business Day"/>
    <s v="IT/LAN Equipment"/>
    <n v="1"/>
    <n v="0"/>
    <n v="0"/>
    <m/>
    <n v="0"/>
    <m/>
    <m/>
    <n v="144.22999999999999"/>
    <n v="144.22999999999999"/>
    <n v="118.27"/>
    <n v="118.27"/>
    <s v="Michael True"/>
    <n v="2.2065999999999995"/>
  </r>
  <r>
    <x v="444"/>
    <s v="Need replace UPS ASAP"/>
    <s v="Won"/>
    <d v="2024-01-31T00:00:00"/>
    <n v="0"/>
    <s v="SMC1500C"/>
    <s v="APC by Schneider Electric Smart-UPS 1500VA Desktop UPS - Tower - 3 Hour Recharge - 7.80 Minute Stand-by - 120 V Input - 120 V AC Output - Sine Wave - 8 x NEMA 5-15R - 8 x Battery/Surge Outlet"/>
    <s v="IT/LAN Equipment"/>
    <n v="1"/>
    <n v="0"/>
    <n v="0"/>
    <m/>
    <n v="0"/>
    <m/>
    <m/>
    <n v="580"/>
    <n v="580"/>
    <n v="474.97"/>
    <n v="474.97"/>
    <s v="Lathrop Lougheed"/>
    <n v="8.4023999999999983"/>
  </r>
  <r>
    <x v="444"/>
    <s v="Need replace UPS ASAP"/>
    <s v="Won"/>
    <d v="2024-01-31T00:00:00"/>
    <n v="0"/>
    <s v="MPC-PS-T1"/>
    <s v="Meriplex Tier 1 Technician Labor"/>
    <s v="IT/LAN Installation"/>
    <n v="1"/>
    <n v="0"/>
    <n v="0"/>
    <m/>
    <n v="0"/>
    <m/>
    <m/>
    <n v="150"/>
    <n v="150"/>
    <n v="0"/>
    <n v="0"/>
    <s v="Lathrop Lougheed"/>
    <n v="6"/>
  </r>
  <r>
    <x v="445"/>
    <s v="Ticket #10519027 Quote Business Premium and Audio conferencing license"/>
    <s v="Won"/>
    <d v="2024-01-29T00:00:00"/>
    <n v="2.09"/>
    <s v="F1-M365BusPrem COM 1YR-MTH"/>
    <s v="Best for businesses that need all the apps and services included in Business Standard plus advanced cyber threat protection and device management. For businesses with up to 300 employees."/>
    <s v="MRR - Agent Income"/>
    <n v="1"/>
    <n v="11"/>
    <n v="8.91"/>
    <n v="81"/>
    <n v="2.09"/>
    <m/>
    <m/>
    <n v="11"/>
    <n v="11"/>
    <n v="8.91"/>
    <n v="8.91"/>
    <s v="Laura Emery"/>
    <n v="0"/>
  </r>
  <r>
    <x v="445"/>
    <s v="Ticket #10519027 Quote Business Premium and Audio conferencing license"/>
    <s v="Won"/>
    <d v="2024-01-29T00:00:00"/>
    <n v="2.09"/>
    <s v="F1-M365AudioConf COM 1YR-MTH"/>
    <s v="Enables users to dial-in a number to join meetings, or dial-out to bring participants into the meeting. There are base pre-requisites required to purchase this offering."/>
    <s v="MRR - Agent Income"/>
    <n v="1"/>
    <n v="1.25"/>
    <n v="1.25"/>
    <n v="100"/>
    <n v="0"/>
    <m/>
    <m/>
    <n v="1.25"/>
    <n v="1.25"/>
    <n v="1.25"/>
    <n v="1.25"/>
    <s v="Laura Emery"/>
    <n v="0"/>
  </r>
  <r>
    <x v="446"/>
    <s v="Lebco - UPS for Baybrook Store"/>
    <s v="Won"/>
    <d v="2024-01-29T00:00:00"/>
    <n v="0"/>
    <s v="BX1000M"/>
    <s v="APC by Schneider Electric Back UPS Pro , Compact Tower, 1000VA, AVR, LCD, 120V - Tower - AVR - 12 Hour Recharge - 4.30 Minute Stand-by - 120 V Input - 120 V AC Output - Stepped Approximated Sine Wave - 4 x NEMA 5-15R Surge, 4 x NEMA 5-15R - 8 x Bat"/>
    <s v="IT/LAN Equipment"/>
    <n v="1"/>
    <n v="0"/>
    <n v="0"/>
    <m/>
    <n v="0"/>
    <m/>
    <m/>
    <n v="217"/>
    <n v="217"/>
    <n v="173.2"/>
    <n v="173.2"/>
    <s v="Kennon Jayne"/>
    <n v="3.5040000000000009"/>
  </r>
  <r>
    <x v="447"/>
    <s v="Block Hours"/>
    <s v="Won"/>
    <d v="2024-01-29T00:00:00"/>
    <n v="0"/>
    <s v="MPC-BLK-25-50"/>
    <s v="Hourly Support Block (26 - 50 Units)"/>
    <s v="IT/LAN Installation"/>
    <n v="30"/>
    <n v="0"/>
    <n v="0"/>
    <m/>
    <n v="0"/>
    <m/>
    <m/>
    <n v="185"/>
    <n v="5550"/>
    <n v="0"/>
    <n v="0"/>
    <s v="Ron Walker"/>
    <n v="222"/>
  </r>
  <r>
    <x v="448"/>
    <s v="CO - MPS122903"/>
    <s v="Won"/>
    <d v="2024-01-29T00:00:00"/>
    <n v="0"/>
    <s v="WGBULKCRT"/>
    <s v="WatchGuard Prorated Renewal for Total Wifi"/>
    <s v="IT/LAN Equipment"/>
    <n v="-1488"/>
    <n v="0"/>
    <n v="0"/>
    <m/>
    <n v="0"/>
    <m/>
    <m/>
    <n v="1"/>
    <n v="-1488"/>
    <n v="0.73"/>
    <n v="-1086.24"/>
    <s v="Jackie Moore"/>
    <n v="0"/>
  </r>
  <r>
    <x v="448"/>
    <s v="CO - MPS122903"/>
    <s v="Won"/>
    <d v="2024-01-29T00:00:00"/>
    <n v="0"/>
    <s v="WGBULKCRT"/>
    <s v="WatchGuard Prorated Renewal for Total Wifi"/>
    <s v="IT/LAN Equipment"/>
    <n v="1436"/>
    <n v="0"/>
    <n v="0"/>
    <m/>
    <n v="0"/>
    <m/>
    <m/>
    <n v="1"/>
    <n v="1436"/>
    <n v="0.73"/>
    <n v="1048.28"/>
    <s v="Jackie Moore"/>
    <n v="0"/>
  </r>
  <r>
    <x v="449"/>
    <s v="Veeam Support Maintenance Renewal"/>
    <s v="Won"/>
    <d v="2024-01-31T00:00:00"/>
    <n v="0"/>
    <s v="V-ESSVUL-40-PS1AA-4S"/>
    <s v="VEEAM DATA PLATFORM ESSENTIALS UNIVERSAL SUBSCRIPTION LICENSE. INCLUDES ENTERPRISE PLUS EDITION FEATURES.-1 YEAR RENEWAL SUBSCRIPTION UPFRONT BILLING"/>
    <s v="IT/LAN Equipment"/>
    <n v="1"/>
    <n v="0"/>
    <n v="0"/>
    <m/>
    <n v="0"/>
    <m/>
    <m/>
    <n v="796.51"/>
    <n v="796.51"/>
    <n v="756.69"/>
    <n v="756.69"/>
    <s v="Erminio Lalli"/>
    <n v="3.1855999999999951"/>
  </r>
  <r>
    <x v="450"/>
    <s v="10526246 - Please quote 1-Year UTM 24x7 Renewal for FGT60FTK19012686 - Partners Group 60F"/>
    <s v="Won"/>
    <d v="2024-01-29T00:00:00"/>
    <n v="0"/>
    <s v="FC-10-0060F-950-02-12"/>
    <s v="Fortinet FortiCare Bundle - Extended Service (Renewal) - 1 Year - Service - 24 x 7 x Next Business Day - Service Depot - Exchange - Parts"/>
    <s v="IT/LAN Equipment"/>
    <n v="1"/>
    <n v="0"/>
    <n v="0"/>
    <m/>
    <n v="0"/>
    <m/>
    <m/>
    <n v="616"/>
    <n v="616"/>
    <n v="504.74"/>
    <n v="504.74"/>
    <s v="Jonathan DeFez"/>
    <n v="8.9008000000000003"/>
  </r>
  <r>
    <x v="451"/>
    <s v="Two New PC's for Glendora"/>
    <s v="Won"/>
    <d v="2024-01-29T00:00:00"/>
    <n v="0"/>
    <s v="89M64UT#ABA"/>
    <s v="HP Pro Mini 400 G9 Desktop Computer - Intel Core i5 13th Gen i5-13500T Tetradeca-core (14 Core) - 16 GB RAM DDR4 SDRAM - 256 GB M.2 PCI Express NVMe SSD - Mini PC - Intel Q670 Chip - Windows 11 Pro - Intel UHD Graphics 770 DDR4 SDRAM - English Keyboard -"/>
    <s v="IT/LAN Equipment"/>
    <n v="2"/>
    <n v="0"/>
    <n v="0"/>
    <m/>
    <n v="0"/>
    <m/>
    <m/>
    <n v="743"/>
    <n v="1486"/>
    <n v="643"/>
    <n v="1286"/>
    <s v="Andrew Harp"/>
    <n v="16"/>
  </r>
  <r>
    <x v="451"/>
    <s v="Two New PC's for Glendora"/>
    <s v="Won"/>
    <d v="2024-01-29T00:00:00"/>
    <n v="0"/>
    <s v="MPSSHIP"/>
    <s v="Inbound Shipping"/>
    <s v="IT/LAN Equipment"/>
    <n v="1"/>
    <n v="0"/>
    <n v="0"/>
    <m/>
    <n v="0"/>
    <m/>
    <m/>
    <n v="24"/>
    <n v="24"/>
    <n v="0"/>
    <n v="0"/>
    <s v="Andrew Harp"/>
    <n v="1.92"/>
  </r>
  <r>
    <x v="452"/>
    <s v="#10526618 - Laptops"/>
    <s v="Won"/>
    <d v="2024-01-29T00:00:00"/>
    <n v="0"/>
    <s v="210-BGBJ"/>
    <s v="Dell Latitude 5000 5540"/>
    <s v="IT/LAN Equipment"/>
    <n v="2"/>
    <n v="0"/>
    <n v="0"/>
    <m/>
    <n v="0"/>
    <m/>
    <m/>
    <n v="1639.76"/>
    <n v="3279.52"/>
    <n v="1366.47"/>
    <n v="2732.94"/>
    <s v="Lathrop Lougheed"/>
    <n v="43.726399999999998"/>
  </r>
  <r>
    <x v="453"/>
    <s v="M365 standard licenses (5) and Windows Server 2019 Standard (1)."/>
    <s v="Won"/>
    <d v="2024-01-29T00:00:00"/>
    <n v="11.25"/>
    <s v="DG7GMGF0D5RK:0005"/>
    <s v="Windows Server 2022 Standard - 16 Cores"/>
    <s v="IT/LAN Equipment"/>
    <n v="1"/>
    <n v="0"/>
    <n v="0"/>
    <m/>
    <n v="0"/>
    <m/>
    <m/>
    <n v="1069"/>
    <n v="1069"/>
    <n v="919.34"/>
    <n v="919.34"/>
    <s v="Andrew Harp"/>
    <n v="11.972799999999998"/>
  </r>
  <r>
    <x v="454"/>
    <s v="New tower desktop"/>
    <s v="Won"/>
    <d v="2024-01-29T00:00:00"/>
    <n v="0"/>
    <s v="xctoosffphusrvp"/>
    <s v="Dell Optiplex 7010, i5-13500 processor, 32GB Memory, 512GB Hard drive, AMD Graphics card + 4 year warranty"/>
    <s v="IT/LAN Equipment"/>
    <n v="1"/>
    <n v="0"/>
    <n v="0"/>
    <m/>
    <n v="0"/>
    <m/>
    <m/>
    <n v="2124.37"/>
    <n v="2124.37"/>
    <n v="1800.31"/>
    <n v="1800.31"/>
    <s v="Lathrop Lougheed"/>
    <n v="25.924799999999998"/>
  </r>
  <r>
    <x v="454"/>
    <s v="New tower desktop"/>
    <s v="Won"/>
    <d v="2024-01-29T00:00:00"/>
    <n v="0"/>
    <s v="PC Setup Fee"/>
    <s v="PC Setup Fee"/>
    <s v="IT/LAN Installation"/>
    <n v="1"/>
    <n v="0"/>
    <n v="0"/>
    <m/>
    <n v="0"/>
    <m/>
    <m/>
    <n v="250"/>
    <n v="250"/>
    <n v="0"/>
    <n v="0"/>
    <s v="Lathrop Lougheed"/>
    <n v="10"/>
  </r>
  <r>
    <x v="455"/>
    <s v="10505228 - Fortinet Renewal 1-Year 24x7 UTM for FGT40FTK20024359 - Layton St Location"/>
    <s v="Won"/>
    <d v="2024-01-29T00:00:00"/>
    <n v="0"/>
    <s v="FC-10-0040F-950-02-12"/>
    <s v="FortiGate-40F 1 Year Unified Threat Protection (UTP) (IPS, Advanced Malware Protection, Application Control, URL, DNS &amp; Video Filtering, Antispam Service, and FortiCare Premium) Prime West - Layton St Location"/>
    <s v="IT/LAN Equipment"/>
    <n v="1"/>
    <n v="0"/>
    <n v="0"/>
    <m/>
    <n v="0"/>
    <m/>
    <m/>
    <n v="393"/>
    <n v="393"/>
    <n v="322"/>
    <n v="322"/>
    <s v="John Sobernheim"/>
    <n v="6.0350000000000001"/>
  </r>
  <r>
    <x v="456"/>
    <s v="10519118 - Renewal - Palo Alto Networks Service and Support - SAP IDs 0022631132 and 0022631136"/>
    <s v="Won"/>
    <d v="2024-01-30T00:00:00"/>
    <n v="0"/>
    <s v="PAN-PA-820-DNS-HA2-R"/>
    <s v="DNS Security subscription renewal for devices in HA pair, PA-820"/>
    <s v="IT/LAN Equipment"/>
    <n v="1"/>
    <n v="0"/>
    <n v="0"/>
    <m/>
    <n v="0"/>
    <m/>
    <m/>
    <n v="970"/>
    <n v="970"/>
    <n v="737.2"/>
    <n v="737.2"/>
    <s v="John Sobernheim"/>
    <n v="19.787999999999997"/>
  </r>
  <r>
    <x v="456"/>
    <s v="10519118 - Renewal - Palo Alto Networks Service and Support - SAP IDs 0022631132 and 0022631136"/>
    <s v="Won"/>
    <d v="2024-01-30T00:00:00"/>
    <n v="0"/>
    <s v="PAN-PA-440-BND-CORESEC-R"/>
    <s v="PA-440, Core Security Subscription Renewal Bundle (Advanced Threat Prevention, Advanced URL Filtering, Advanced Wildfire, DNS Security and SD-WAN), 1 years (12 months) term"/>
    <s v="IT/LAN Equipment"/>
    <n v="1"/>
    <n v="0"/>
    <n v="0"/>
    <m/>
    <n v="0"/>
    <m/>
    <m/>
    <n v="920.96"/>
    <n v="920.96"/>
    <n v="699.93"/>
    <n v="699.93"/>
    <s v="John Sobernheim"/>
    <n v="18.78755000000001"/>
  </r>
  <r>
    <x v="456"/>
    <s v="10519118 - Renewal - Palo Alto Networks Service and Support - SAP IDs 0022631132 and 0022631136"/>
    <s v="Won"/>
    <d v="2024-01-30T00:00:00"/>
    <n v="0"/>
    <s v="PAN-SVC-BKLN-440-R"/>
    <s v="PA-440 Partner enabled premium support 1 year (12 months) term renewal."/>
    <s v="IT/LAN Equipment"/>
    <n v="1"/>
    <n v="0"/>
    <n v="0"/>
    <m/>
    <n v="0"/>
    <m/>
    <m/>
    <n v="289.93"/>
    <n v="289.93"/>
    <n v="231.94"/>
    <n v="231.94"/>
    <s v="John Sobernheim"/>
    <n v="4.9291500000000008"/>
  </r>
  <r>
    <x v="456"/>
    <s v="10519118 - Renewal - Palo Alto Networks Service and Support - SAP IDs 0022631132 and 0022631136"/>
    <s v="Won"/>
    <d v="2024-01-30T00:00:00"/>
    <n v="0"/>
    <s v="PAN-PA-440-BND-CORESEC-R"/>
    <s v="PA-440, Core Security Subscription Renewal Bundle (Advanced Threat Prevention, Advanced URL Filtering, Advanced Wildfire, DNS Security and SD-WAN), 1 years (12 months) term"/>
    <s v="IT/LAN Equipment"/>
    <n v="1"/>
    <n v="0"/>
    <n v="0"/>
    <m/>
    <n v="0"/>
    <m/>
    <m/>
    <n v="920.96"/>
    <n v="920.96"/>
    <n v="699.93"/>
    <n v="699.93"/>
    <s v="John Sobernheim"/>
    <n v="18.78755000000001"/>
  </r>
  <r>
    <x v="456"/>
    <s v="10519118 - Renewal - Palo Alto Networks Service and Support - SAP IDs 0022631132 and 0022631136"/>
    <s v="Won"/>
    <d v="2024-01-30T00:00:00"/>
    <n v="0"/>
    <s v="PAN-SVC-PREM-820-R"/>
    <s v="Premium support year 1 renewal, PA-820"/>
    <s v="IT/LAN Equipment"/>
    <n v="1"/>
    <n v="0"/>
    <n v="0"/>
    <m/>
    <n v="0"/>
    <m/>
    <m/>
    <n v="970"/>
    <n v="970"/>
    <n v="853.6"/>
    <n v="853.6"/>
    <s v="John Sobernheim"/>
    <n v="9.8939999999999984"/>
  </r>
  <r>
    <x v="456"/>
    <s v="10519118 - Renewal - Palo Alto Networks Service and Support - SAP IDs 0022631132 and 0022631136"/>
    <s v="Won"/>
    <d v="2024-01-30T00:00:00"/>
    <n v="0"/>
    <s v="PAN-SVC-BKLN-450-R"/>
    <s v="PA-450 Partner enabled premium support 1 year (12 months) term renewal."/>
    <s v="IT/LAN Equipment"/>
    <n v="1"/>
    <n v="0"/>
    <n v="0"/>
    <m/>
    <n v="0"/>
    <m/>
    <m/>
    <n v="677.26"/>
    <n v="677.26"/>
    <n v="541.80999999999995"/>
    <n v="541.80999999999995"/>
    <s v="John Sobernheim"/>
    <n v="11.513250000000005"/>
  </r>
  <r>
    <x v="456"/>
    <s v="10519118 - Renewal - Palo Alto Networks Service and Support - SAP IDs 0022631132 and 0022631136"/>
    <s v="Won"/>
    <d v="2024-01-30T00:00:00"/>
    <n v="0"/>
    <s v="PAN-SVC-PREM-PRA-25-R"/>
    <s v="Premium support renewal, Panorama 25 devices"/>
    <s v="IT/LAN Equipment"/>
    <n v="1"/>
    <n v="0"/>
    <n v="0"/>
    <m/>
    <n v="0"/>
    <m/>
    <m/>
    <n v="2369.75"/>
    <n v="2369.75"/>
    <n v="2085.38"/>
    <n v="2085.38"/>
    <s v="John Sobernheim"/>
    <n v="24.171449999999993"/>
  </r>
  <r>
    <x v="456"/>
    <s v="10519118 - Renewal - Palo Alto Networks Service and Support - SAP IDs 0022631132 and 0022631136"/>
    <s v="Won"/>
    <d v="2024-01-30T00:00:00"/>
    <n v="0"/>
    <s v="PAN-PA-820-AWF-HA2-R"/>
    <s v="Advanced WildFire subscription renewal for devices in HA pair, PA-820"/>
    <s v="IT/LAN Equipment"/>
    <n v="1"/>
    <n v="0"/>
    <n v="0"/>
    <m/>
    <n v="0"/>
    <m/>
    <m/>
    <n v="1450"/>
    <n v="1450"/>
    <n v="1102"/>
    <n v="1102"/>
    <s v="John Sobernheim"/>
    <n v="29.580000000000002"/>
  </r>
  <r>
    <x v="456"/>
    <s v="10519118 - Renewal - Palo Alto Networks Service and Support - SAP IDs 0022631132 and 0022631136"/>
    <s v="Won"/>
    <d v="2024-01-30T00:00:00"/>
    <n v="0"/>
    <s v="PAN-PA-820-ADVURL-HA2-R"/>
    <s v="Subscription Advanced URL Filtering, 1-year, PA-820, HA Pair Renewal"/>
    <s v="IT/LAN Equipment"/>
    <n v="1"/>
    <n v="0"/>
    <n v="0"/>
    <m/>
    <n v="0"/>
    <m/>
    <m/>
    <n v="1450"/>
    <n v="1450"/>
    <n v="1102"/>
    <n v="1102"/>
    <s v="John Sobernheim"/>
    <n v="29.580000000000002"/>
  </r>
  <r>
    <x v="456"/>
    <s v="10519118 - Renewal - Palo Alto Networks Service and Support - SAP IDs 0022631132 and 0022631136"/>
    <s v="Won"/>
    <d v="2024-01-30T00:00:00"/>
    <n v="0"/>
    <s v="PAN-PA-820-ATP-HA2-R"/>
    <s v="Advanced Threat Prevention subscription renewal for devices in HA pair, PA-820"/>
    <s v="IT/LAN Equipment"/>
    <n v="1"/>
    <n v="0"/>
    <n v="0"/>
    <m/>
    <n v="0"/>
    <m/>
    <m/>
    <n v="1450"/>
    <n v="1450"/>
    <n v="1102"/>
    <n v="1102"/>
    <s v="John Sobernheim"/>
    <n v="29.580000000000002"/>
  </r>
  <r>
    <x v="456"/>
    <s v="10519118 - Renewal - Palo Alto Networks Service and Support - SAP IDs 0022631132 and 0022631136"/>
    <s v="Won"/>
    <d v="2024-01-30T00:00:00"/>
    <n v="0"/>
    <s v="PAN-PA-820-AWF-HA2-R"/>
    <s v="Advanced WildFire subscription renewal for devices in HA pair, PA-820"/>
    <s v="IT/LAN Equipment"/>
    <n v="1"/>
    <n v="0"/>
    <n v="0"/>
    <m/>
    <n v="0"/>
    <m/>
    <m/>
    <n v="1450"/>
    <n v="1450"/>
    <n v="1102"/>
    <n v="1102"/>
    <s v="John Sobernheim"/>
    <n v="29.580000000000002"/>
  </r>
  <r>
    <x v="456"/>
    <s v="10519118 - Renewal - Palo Alto Networks Service and Support - SAP IDs 0022631132 and 0022631136"/>
    <s v="Won"/>
    <d v="2024-01-30T00:00:00"/>
    <n v="0"/>
    <s v="PAN-PA-820-DNS-HA2-R"/>
    <s v="DNS Security subscription renewal for devices in HA pair, PA-820"/>
    <s v="IT/LAN Equipment"/>
    <n v="1"/>
    <n v="0"/>
    <n v="0"/>
    <m/>
    <n v="0"/>
    <m/>
    <m/>
    <n v="970"/>
    <n v="970"/>
    <n v="737.2"/>
    <n v="737.2"/>
    <s v="John Sobernheim"/>
    <n v="19.787999999999997"/>
  </r>
  <r>
    <x v="456"/>
    <s v="10519118 - Renewal - Palo Alto Networks Service and Support - SAP IDs 0022631132 and 0022631136"/>
    <s v="Won"/>
    <d v="2024-01-30T00:00:00"/>
    <n v="0"/>
    <s v="PAN-SVC-PREM-820-R"/>
    <s v="Premium support year 1 renewal, PA-820"/>
    <s v="IT/LAN Equipment"/>
    <n v="1"/>
    <n v="0"/>
    <n v="0"/>
    <m/>
    <n v="0"/>
    <m/>
    <m/>
    <n v="970"/>
    <n v="970"/>
    <n v="853.6"/>
    <n v="853.6"/>
    <s v="John Sobernheim"/>
    <n v="9.8939999999999984"/>
  </r>
  <r>
    <x v="456"/>
    <s v="10519118 - Renewal - Palo Alto Networks Service and Support - SAP IDs 0022631132 and 0022631136"/>
    <s v="Won"/>
    <d v="2024-01-30T00:00:00"/>
    <n v="0"/>
    <s v="PAN-PA-820-ADVURL-HA2-R"/>
    <s v="Subscription Advanced URL Filtering, 1-year, PA-820, HA Pair Renewal"/>
    <s v="IT/LAN Equipment"/>
    <n v="1"/>
    <n v="0"/>
    <n v="0"/>
    <m/>
    <n v="0"/>
    <m/>
    <m/>
    <n v="1450"/>
    <n v="1450"/>
    <n v="1102"/>
    <n v="1102"/>
    <s v="John Sobernheim"/>
    <n v="29.580000000000002"/>
  </r>
  <r>
    <x v="456"/>
    <s v="10519118 - Renewal - Palo Alto Networks Service and Support - SAP IDs 0022631132 and 0022631136"/>
    <s v="Won"/>
    <d v="2024-01-30T00:00:00"/>
    <n v="0"/>
    <s v="PAN-PA-820-ATP-HA2-R"/>
    <s v="Advanced Threat Prevention subscription renewal for devices in HA pair, PA-820"/>
    <s v="IT/LAN Equipment"/>
    <n v="1"/>
    <n v="0"/>
    <n v="0"/>
    <m/>
    <n v="0"/>
    <m/>
    <m/>
    <n v="1450"/>
    <n v="1450"/>
    <n v="1102"/>
    <n v="1102"/>
    <s v="John Sobernheim"/>
    <n v="29.580000000000002"/>
  </r>
  <r>
    <x v="456"/>
    <s v="10519118 - Renewal - Palo Alto Networks Service and Support - SAP IDs 0022631132 and 0022631136"/>
    <s v="Won"/>
    <d v="2024-01-30T00:00:00"/>
    <n v="0"/>
    <s v="PAN-SVC-BKLN-440-R"/>
    <s v="PA-440 Partner enabled premium support 1 year (12 months) term renewal."/>
    <s v="IT/LAN Equipment"/>
    <n v="1"/>
    <n v="0"/>
    <n v="0"/>
    <m/>
    <n v="0"/>
    <m/>
    <m/>
    <n v="289.93"/>
    <n v="289.93"/>
    <n v="231.94"/>
    <n v="231.94"/>
    <s v="John Sobernheim"/>
    <n v="4.9291500000000008"/>
  </r>
  <r>
    <x v="456"/>
    <s v="10519118 - Renewal - Palo Alto Networks Service and Support - SAP IDs 0022631132 and 0022631136"/>
    <s v="Won"/>
    <d v="2024-01-30T00:00:00"/>
    <n v="0"/>
    <s v="PAN-PA-450-BND-CORESEC-R"/>
    <s v="PA-450, Core Security Subscription Renewal Bundle (Advanced Threat Prevention, Advanced URL Filtering, Advanced Wildfire, DNS Security and SD-WAN), 1 years (12 months) term"/>
    <s v="IT/LAN Equipment"/>
    <n v="1"/>
    <n v="0"/>
    <n v="0"/>
    <m/>
    <n v="0"/>
    <m/>
    <m/>
    <n v="2045.34"/>
    <n v="2045.34"/>
    <n v="1554.46"/>
    <n v="1554.46"/>
    <s v="John Sobernheim"/>
    <n v="41.724799999999995"/>
  </r>
  <r>
    <x v="456"/>
    <s v="10519118 - Renewal - Palo Alto Networks Service and Support - SAP IDs 0022631132 and 0022631136"/>
    <s v="Won"/>
    <d v="2024-01-30T00:00:00"/>
    <n v="0"/>
    <s v="PAN-SVC-BKLN-450-R"/>
    <s v="PA-450 Partner enabled premium support 1 year (12 months) term renewal."/>
    <s v="IT/LAN Equipment"/>
    <n v="1"/>
    <n v="0"/>
    <n v="0"/>
    <m/>
    <n v="0"/>
    <m/>
    <m/>
    <n v="677.26"/>
    <n v="677.26"/>
    <n v="541.80999999999995"/>
    <n v="541.80999999999995"/>
    <s v="John Sobernheim"/>
    <n v="11.513250000000005"/>
  </r>
  <r>
    <x v="456"/>
    <s v="10519118 - Renewal - Palo Alto Networks Service and Support - SAP IDs 0022631132 and 0022631136"/>
    <s v="Won"/>
    <d v="2024-01-30T00:00:00"/>
    <n v="0"/>
    <s v="PAN-PA-450-BND-CORESEC-R"/>
    <s v="PA-450, Core Security Subscription Renewal Bundle (Advanced Threat Prevention, Advanced URL Filtering, Advanced Wildfire, DNS Security and SD-WAN), 1 years (12 months) term"/>
    <s v="IT/LAN Equipment"/>
    <n v="1"/>
    <n v="0"/>
    <n v="0"/>
    <m/>
    <n v="0"/>
    <m/>
    <m/>
    <n v="2045.34"/>
    <n v="2045.34"/>
    <n v="1554.46"/>
    <n v="1554.46"/>
    <s v="John Sobernheim"/>
    <n v="41.724799999999995"/>
  </r>
  <r>
    <x v="457"/>
    <s v="MPX LA - 25&quot; - 27&quot; Monitor"/>
    <s v="Won"/>
    <d v="2024-01-30T00:00:00"/>
    <n v="0"/>
    <s v="64X69AA#ABA"/>
    <s v="HP P27 G5 27&quot; Class Full HD LCD Monitor - 16:9 - Black - 27&quot; Viewable - In-plane Switching (IPS) Technology - 1920 x 1080 - 16.7 Million Colors - 250 Nit - 5 ms - 75 Hz Refresh Rate - HDMI - VGA - DisplayPort"/>
    <s v="IT/LAN Equipment"/>
    <n v="1"/>
    <n v="0"/>
    <n v="0"/>
    <m/>
    <n v="0"/>
    <m/>
    <m/>
    <n v="209"/>
    <n v="209"/>
    <n v="147.6"/>
    <n v="147.6"/>
    <s v="Mitch Verma"/>
    <n v="2.4560000000000004"/>
  </r>
  <r>
    <x v="458"/>
    <s v="Quote #MPS123370 Per Service Ticket # 10503074 - Patch Cables"/>
    <s v="Won"/>
    <d v="2024-01-29T00:00:00"/>
    <n v="0"/>
    <s v="PC6006BKSLIM"/>
    <s v="6 FT CAT6 SLIMLINE BLACK 28AWG SLIM LINE W/CLEAR BOOT"/>
    <s v="IT/LAN Equipment"/>
    <n v="14"/>
    <n v="0"/>
    <n v="0"/>
    <m/>
    <n v="0"/>
    <m/>
    <m/>
    <n v="3.79"/>
    <n v="53.06"/>
    <n v="2.65"/>
    <n v="37.1"/>
    <s v="Lathrop Lougheed"/>
    <n v="1.2768000000000002"/>
  </r>
  <r>
    <x v="458"/>
    <s v="Quote #MPS123370 Per Service Ticket # 10503074 - Patch Cables"/>
    <s v="Won"/>
    <d v="2024-01-29T00:00:00"/>
    <n v="0"/>
    <s v="PC6015BKSLIM"/>
    <s v="15 FT CAT6 PATCH CORD BLACK 28AWG SLIM LINE W/CLEAR BOOT"/>
    <s v="IT/LAN Equipment"/>
    <n v="3"/>
    <n v="0"/>
    <n v="0"/>
    <m/>
    <n v="0"/>
    <m/>
    <m/>
    <n v="5.71"/>
    <n v="17.13"/>
    <n v="4"/>
    <n v="12"/>
    <s v="Lathrop Lougheed"/>
    <n v="0.41039999999999993"/>
  </r>
  <r>
    <x v="458"/>
    <s v="Quote #MPS123370 Per Service Ticket # 10503074 - Patch Cables"/>
    <s v="Won"/>
    <d v="2024-01-29T00:00:00"/>
    <n v="0"/>
    <s v="PC6010BKSLIM"/>
    <s v="10FT CAT6 PATCH CORD BLACK 28AWG SLIM LINE W/CLEAR BOOT"/>
    <s v="IT/LAN Equipment"/>
    <n v="2"/>
    <n v="0"/>
    <n v="0"/>
    <m/>
    <n v="0"/>
    <m/>
    <m/>
    <n v="4.6399999999999997"/>
    <n v="9.2799999999999994"/>
    <n v="3.25"/>
    <n v="6.5"/>
    <s v="Lathrop Lougheed"/>
    <n v="0.22239999999999996"/>
  </r>
  <r>
    <x v="459"/>
    <s v="10527732 - New Staff Member Request(s) - Jacob Welk"/>
    <s v="Won"/>
    <d v="2024-01-30T00:00:00"/>
    <n v="0"/>
    <s v="Travel Time - Hourly"/>
    <s v="Travel Time - Hourly"/>
    <s v="IT/LAN Installation"/>
    <n v="1"/>
    <n v="0"/>
    <n v="0"/>
    <m/>
    <n v="0"/>
    <m/>
    <m/>
    <n v="135"/>
    <n v="135"/>
    <n v="0"/>
    <n v="0"/>
    <s v="Jonathan DeFez"/>
    <n v="5.4"/>
  </r>
  <r>
    <x v="459"/>
    <s v="10527732 - New Staff Member Request(s) - Jacob Welk"/>
    <s v="Won"/>
    <d v="2024-01-30T00:00:00"/>
    <n v="0"/>
    <s v="21KG000FUS"/>
    <s v="Lenovo ThinkBook 14 G6 IRL 14&quot; Touchscreen Notebook - WUXGA - 1920 x 1200 - Intel Core i7 13th Gen i7-1355U Deca-core (10 Core) 1.70 GHz - 16 GB Total RAM - 512 GB SSD - Arctic Gray - Intel Chip - Windows 11 Pro - Intel Iris Xe Graphics - In-pl"/>
    <s v="IT/LAN Equipment"/>
    <n v="1"/>
    <n v="0"/>
    <n v="0"/>
    <m/>
    <n v="0"/>
    <m/>
    <m/>
    <n v="968.36"/>
    <n v="968.36"/>
    <n v="842.05"/>
    <n v="842.05"/>
    <s v="Jonathan DeFez"/>
    <n v="10.104800000000004"/>
  </r>
  <r>
    <x v="459"/>
    <s v="10527732 - New Staff Member Request(s) - Jacob Welk"/>
    <s v="Won"/>
    <d v="2024-01-30T00:00:00"/>
    <n v="0"/>
    <s v="Delivered"/>
    <s v="PC(s) will be built, updated and configured and then delivered and installed by Meriplex"/>
    <s v="IT/LAN Installation"/>
    <n v="1"/>
    <n v="0"/>
    <n v="0"/>
    <m/>
    <n v="0"/>
    <m/>
    <m/>
    <n v="295"/>
    <n v="295"/>
    <n v="0"/>
    <n v="0"/>
    <s v="Jonathan DeFez"/>
    <n v="11.8"/>
  </r>
  <r>
    <x v="460"/>
    <s v="24&quot; Monitor for My Spine Cocs"/>
    <s v="Won"/>
    <d v="2024-01-31T00:00:00"/>
    <n v="0"/>
    <s v="VA2459-SMH"/>
    <s v="ViewSonic VA2459-SMH 24 Inch IPS 1080p LED Monitor with 100Hz, HDMI and VGA Inputs - VA2459-SMH - IPS 1080p LED Monitor with 100Hz, HDMI and VGA - 250 cd/m² - 24&quot;"/>
    <s v="IT/LAN Equipment"/>
    <n v="1"/>
    <n v="0"/>
    <n v="0"/>
    <m/>
    <n v="0"/>
    <m/>
    <m/>
    <n v="143.6"/>
    <n v="143.6"/>
    <n v="117.75"/>
    <n v="117.75"/>
    <s v="Michael True"/>
    <n v="2.1972499999999995"/>
  </r>
  <r>
    <x v="461"/>
    <s v="SRs 250909 250910 Precision 7780 Bundle Monitors Phones PO 20066398"/>
    <s v="Won"/>
    <d v="2024-01-29T00:00:00"/>
    <n v="0"/>
    <s v="TARGUS CVR217"/>
    <s v="Targus Notebook Case 17"/>
    <s v="IT/LAN Equipment"/>
    <n v="2"/>
    <n v="0"/>
    <n v="0"/>
    <m/>
    <n v="0"/>
    <m/>
    <m/>
    <n v="44"/>
    <n v="88"/>
    <n v="34.99"/>
    <n v="69.98"/>
    <s v="Jackie Moore"/>
    <n v="0"/>
  </r>
  <r>
    <x v="461"/>
    <s v="SRs 250909 250910 Precision 7780 Bundle Monitors Phones PO 20066398"/>
    <s v="Won"/>
    <d v="2024-01-29T00:00:00"/>
    <n v="0"/>
    <s v="DELL 210-AZBN"/>
    <s v="Dell WD19DCS Dock 210w PD 240W AC"/>
    <s v="IT/LAN Equipment"/>
    <n v="2"/>
    <n v="0"/>
    <n v="0"/>
    <m/>
    <n v="0"/>
    <m/>
    <m/>
    <n v="339"/>
    <n v="678"/>
    <n v="267.29000000000002"/>
    <n v="534.58000000000004"/>
    <s v="Jackie Moore"/>
    <n v="0"/>
  </r>
  <r>
    <x v="461"/>
    <s v="SRs 250909 250910 Precision 7780 Bundle Monitors Phones PO 20066398"/>
    <s v="Won"/>
    <d v="2024-01-29T00:00:00"/>
    <n v="0"/>
    <s v="998-GDXV"/>
    <s v="Dell Mobile Precision 7780 17.3&quot; Intel Core i9-13950HX vPro 64GB 1TB M.2 PCIe NCMe Gen 4 2280 SSD, Windows 11 Pro"/>
    <s v="IT/LAN Equipment"/>
    <n v="2"/>
    <n v="0"/>
    <n v="0"/>
    <m/>
    <n v="0"/>
    <m/>
    <m/>
    <n v="4823"/>
    <n v="9646"/>
    <n v="4002.43"/>
    <n v="8004.86"/>
    <s v="Jackie Moore"/>
    <n v="0"/>
  </r>
  <r>
    <x v="461"/>
    <s v="SRs 250909 250910 Precision 7780 Bundle Monitors Phones PO 20066398"/>
    <s v="Won"/>
    <d v="2024-01-29T00:00:00"/>
    <n v="0"/>
    <s v="DELL 580-AJIS"/>
    <s v="Dell KM5221W Wireless Keyboard &amp; Mouse"/>
    <s v="IT/LAN Equipment"/>
    <n v="2"/>
    <n v="0"/>
    <n v="0"/>
    <m/>
    <n v="0"/>
    <m/>
    <m/>
    <n v="40"/>
    <n v="80"/>
    <n v="31.89"/>
    <n v="63.78"/>
    <s v="Jackie Moore"/>
    <n v="0"/>
  </r>
  <r>
    <x v="461"/>
    <s v="SRs 250909 250910 Precision 7780 Bundle Monitors Phones PO 20066398"/>
    <s v="Won"/>
    <d v="2024-01-29T00:00:00"/>
    <n v="0"/>
    <s v="TRIPP P580-006"/>
    <s v="DisplayPort to DisplayPort Cable 6'"/>
    <s v="IT/LAN Equipment"/>
    <n v="2"/>
    <n v="0"/>
    <n v="0"/>
    <m/>
    <n v="0"/>
    <m/>
    <m/>
    <n v="17"/>
    <n v="34"/>
    <n v="10.24"/>
    <n v="20.48"/>
    <s v="Jackie Moore"/>
    <n v="0"/>
  </r>
  <r>
    <x v="461"/>
    <s v="SRs 250909 250910 Precision 7780 Bundle Monitors Phones PO 20066398"/>
    <s v="Won"/>
    <d v="2024-01-29T00:00:00"/>
    <n v="0"/>
    <s v="210-BGPK"/>
    <s v="Dell E2424HS 24&quot; LED LCD"/>
    <s v="IT/LAN Equipment"/>
    <n v="4"/>
    <n v="0"/>
    <n v="0"/>
    <m/>
    <n v="0"/>
    <m/>
    <m/>
    <n v="189"/>
    <n v="756"/>
    <n v="107.74"/>
    <n v="430.96"/>
    <s v="Jackie Moore"/>
    <n v="0"/>
  </r>
  <r>
    <x v="461"/>
    <s v="SRs 250909 250910 Precision 7780 Bundle Monitors Phones PO 20066398"/>
    <s v="Won"/>
    <d v="2024-01-29T00:00:00"/>
    <n v="0"/>
    <s v="CISCO CP-8811-K9="/>
    <s v="Cisco 8811 Unified IP Phone"/>
    <s v="IT/LAN Equipment"/>
    <n v="2"/>
    <n v="0"/>
    <n v="0"/>
    <m/>
    <n v="0"/>
    <m/>
    <m/>
    <n v="309"/>
    <n v="618"/>
    <n v="189.95"/>
    <n v="379.9"/>
    <s v="Jackie Moore"/>
    <n v="0"/>
  </r>
  <r>
    <x v="462"/>
    <s v="IASLC-Adobe Pro License"/>
    <s v="Won"/>
    <d v="2024-01-31T00:00:00"/>
    <n v="0"/>
    <s v="65297999BB02A10"/>
    <s v="Acrobat Pro 10 Months Team Subscription New Level 2"/>
    <s v="IT/LAN Equipment"/>
    <n v="1"/>
    <n v="0"/>
    <n v="0"/>
    <m/>
    <n v="0"/>
    <m/>
    <m/>
    <n v="169"/>
    <n v="169"/>
    <n v="138.53"/>
    <n v="138.53"/>
    <s v="Jonathan DeFez"/>
    <n v="2.4375999999999998"/>
  </r>
  <r>
    <x v="463"/>
    <s v="Veeam Backup for Office 365 1 Year Sub w/support"/>
    <s v="Won"/>
    <d v="2024-01-31T00:00:00"/>
    <n v="0"/>
    <s v="V-VBO365-0U-SU1YP-00"/>
    <s v="Veeam Backup for Microsoft Office 365 + Production Support - Upfront Billing License - 1 User - 1 Year - PC"/>
    <s v="IT/LAN Equipment"/>
    <n v="400"/>
    <n v="0"/>
    <n v="0"/>
    <m/>
    <n v="0"/>
    <m/>
    <m/>
    <n v="21.6"/>
    <n v="8640"/>
    <n v="19.010000000000002"/>
    <n v="7604.0000000000009"/>
    <s v="Laura Emery"/>
    <n v="0"/>
  </r>
  <r>
    <x v="464"/>
    <s v="MPX LA - Small APC UPS"/>
    <s v="Won"/>
    <d v="2024-01-31T00:00:00"/>
    <n v="0"/>
    <s v="BR1000MS"/>
    <s v="APC by Schneider Electric Back-UPS Pro 1.0KVA Tower UPS - Tower - 16 Hour Recharge - 3.70 Minute Stand-by - 120 V Input - 120 V AC Output - Sine Wave - 4 x NEMA 5-15R Surge, 6 x NEMA 5-15R - 10 x Battery/Surge Outlet"/>
    <s v="IT/LAN Equipment"/>
    <n v="1"/>
    <n v="0"/>
    <n v="0"/>
    <m/>
    <n v="0"/>
    <m/>
    <m/>
    <n v="199"/>
    <n v="199"/>
    <n v="162.18"/>
    <n v="162.18"/>
    <s v="Mitch Verma"/>
    <n v="1.4727999999999997"/>
  </r>
  <r>
    <x v="465"/>
    <s v="Quote desktop PC for new MBS employee Candy Edwards"/>
    <s v="Won"/>
    <d v="2024-01-31T00:00:00"/>
    <n v="0"/>
    <s v="F1-Labor-PS-L1"/>
    <s v="Service - Analyst Labor"/>
    <s v="IT/LAN Installation"/>
    <n v="5"/>
    <n v="0"/>
    <n v="0"/>
    <m/>
    <n v="0"/>
    <m/>
    <m/>
    <n v="165"/>
    <n v="825"/>
    <n v="40"/>
    <n v="200"/>
    <s v="Laura Emery"/>
    <n v="0"/>
  </r>
  <r>
    <x v="465"/>
    <s v="Quote desktop PC for new MBS employee Candy Edwards"/>
    <s v="Won"/>
    <d v="2024-01-31T00:00:00"/>
    <n v="0"/>
    <s v="F1-M365BusStd COM 1YR-MTH"/>
    <s v="Microsoft 365 Business Standard (NCE COM MTH)"/>
    <s v="MRR - Agent Income"/>
    <n v="1"/>
    <n v="0"/>
    <n v="0"/>
    <m/>
    <n v="0"/>
    <m/>
    <m/>
    <n v="14.03"/>
    <n v="14.03"/>
    <n v="11.37"/>
    <n v="11.37"/>
    <s v="Laura Emery"/>
    <n v="0"/>
  </r>
  <r>
    <x v="465"/>
    <s v="Quote desktop PC for new MBS employee Candy Edwards"/>
    <s v="Won"/>
    <d v="2024-01-31T00:00:00"/>
    <n v="0"/>
    <s v="F1-Computer Desktop:Dell3000SFF"/>
    <s v="Dell OptiPlex 3000 Small Form Factor BTX Intel Core i5-12500 (6-Core, 18MB/12T Cache, 3.2GHz to 4.6GHz, 65W) Windows 11 Pro, English, French, Spanish 8GB (1x8GB) DDR4 Non-ECC Memory M.2 2230 256GB PCIe NVMe Class 35 Solid State Drive 8x DVD+/-RW 9.5mm Sli"/>
    <s v="IT/LAN Equipment"/>
    <n v="1"/>
    <n v="0"/>
    <n v="0"/>
    <m/>
    <n v="0"/>
    <m/>
    <m/>
    <n v="890"/>
    <n v="890"/>
    <n v="736.81"/>
    <n v="736.81"/>
    <s v="Laura Emery"/>
    <n v="0"/>
  </r>
  <r>
    <x v="465"/>
    <s v="Quote desktop PC for new MBS employee Candy Edwards"/>
    <s v="Won"/>
    <d v="2024-01-31T00:00:00"/>
    <n v="0"/>
    <s v="F1-EIDP1 COM MTH"/>
    <s v="Azure Active Directory Premium P1 aka Entra ID P1"/>
    <s v="MRR - Agent Income"/>
    <n v="1"/>
    <n v="0"/>
    <n v="0"/>
    <m/>
    <n v="0"/>
    <m/>
    <m/>
    <n v="5.61"/>
    <n v="5.61"/>
    <n v="4.54"/>
    <n v="4.54"/>
    <s v="Laura Emery"/>
    <n v="0"/>
  </r>
  <r>
    <x v="465"/>
    <s v="Quote desktop PC for new MBS employee Candy Edwards"/>
    <s v="Won"/>
    <d v="2024-01-31T00:00:00"/>
    <n v="0"/>
    <s v="F1-AIP1 COM 1YR-MTH"/>
    <s v="Azure Information Protection Premium P1 (NCE COM MTH)"/>
    <s v="MRR - Agent Income"/>
    <n v="1"/>
    <n v="0"/>
    <n v="0"/>
    <m/>
    <n v="0"/>
    <m/>
    <m/>
    <n v="1.87"/>
    <n v="1.87"/>
    <n v="1.52"/>
    <n v="1.52"/>
    <s v="Laura Emery"/>
    <n v="0"/>
  </r>
  <r>
    <x v="465"/>
    <s v="Quote desktop PC for new MBS employee Candy Edwards"/>
    <s v="Won"/>
    <d v="2024-01-31T00:00:00"/>
    <n v="0"/>
    <s v="F1-SNP9CXF2C/8G- Workstation"/>
    <s v="Manufacturer part SNP9CXF2C/8G Dell part AB371021 Dell Memory Upgrade - 8GB - 1Rx16 DDR4 UDIMM 3200MHz"/>
    <s v="IT/LAN Equipment"/>
    <n v="1"/>
    <n v="0"/>
    <n v="0"/>
    <m/>
    <n v="0"/>
    <m/>
    <m/>
    <n v="110.5"/>
    <n v="110.5"/>
    <n v="69.37"/>
    <n v="69.37"/>
    <s v="Laura Emery"/>
    <n v="0"/>
  </r>
  <r>
    <x v="466"/>
    <s v="Upgrade GCC High E3 licenses to E5"/>
    <s v="Won"/>
    <d v="2024-01-31T00:00:00"/>
    <n v="0"/>
    <s v="AAD-98828"/>
    <s v="M365 G5 FUSL GCCH SU M365 G3 Sub Per User This is for 10 months prorated. Annual price is 400.80"/>
    <s v="GCC High"/>
    <n v="1"/>
    <n v="0"/>
    <n v="0"/>
    <m/>
    <n v="0"/>
    <m/>
    <m/>
    <n v="334"/>
    <n v="334"/>
    <n v="267.2"/>
    <n v="267.2"/>
    <s v="Laura Emery"/>
    <n v="0"/>
  </r>
  <r>
    <x v="467"/>
    <s v="Add Teams Phone Standard Licenses"/>
    <s v="Won"/>
    <d v="2024-01-30T00:00:00"/>
    <n v="0"/>
    <s v="RFT-00001"/>
    <s v="Teams Phone Standard GCCH Sub Per User"/>
    <s v="GCC High"/>
    <n v="48"/>
    <n v="0"/>
    <n v="0"/>
    <m/>
    <n v="0"/>
    <m/>
    <m/>
    <n v="107.69"/>
    <n v="5169.12"/>
    <n v="91.52"/>
    <n v="4392.96"/>
    <s v="Laura Emery"/>
    <n v="0"/>
  </r>
  <r>
    <x v="468"/>
    <s v="#10528395 - Laptop"/>
    <s v="Won"/>
    <d v="2024-01-30T00:00:00"/>
    <n v="0"/>
    <s v="210-BFZV"/>
    <s v="Dell Latitude 5440"/>
    <s v="IT/LAN Equipment"/>
    <n v="1"/>
    <n v="0"/>
    <n v="0"/>
    <m/>
    <n v="0"/>
    <m/>
    <m/>
    <n v="1731.01"/>
    <n v="1731.01"/>
    <n v="1442.51"/>
    <n v="1442.51"/>
    <s v="Lathrop Lougheed"/>
    <n v="23.080000000000002"/>
  </r>
  <r>
    <x v="469"/>
    <s v="Ricoh Scanner"/>
    <s v="Won"/>
    <d v="2024-01-30T00:00:00"/>
    <n v="0"/>
    <s v="PA03810-B075"/>
    <s v="Ricoh fi-8170 ADF/Manual Feed Scanner - 600 dpi Optical - TAA Compliant - 24-bit Color - 8-bit Grayscale - 70 ppm (Mono) - 70 ppm (Color) - Duplex Scanning - USB"/>
    <s v="IT/LAN Equipment"/>
    <n v="1"/>
    <n v="0"/>
    <n v="0"/>
    <m/>
    <n v="0"/>
    <m/>
    <m/>
    <n v="1183.2"/>
    <n v="1183.2"/>
    <n v="970.22"/>
    <n v="970.22"/>
    <s v="Michael True"/>
    <n v="18.103300000000004"/>
  </r>
  <r>
    <x v="470"/>
    <s v="MPX LA - Replacement Cradlepoint"/>
    <s v="Won"/>
    <d v="2024-01-31T00:00:00"/>
    <n v="0"/>
    <s v="BF01-3000C18B-GN"/>
    <s v="CradlePoint E3000-C18B Wi-Fi 6 IEEE 802.11ax 2 SIM Ethernet, Cellular Modem/Wireless Router - 4G - LTE Advanced Pro, UMTS, HSPA+ - 2.40 GHz ISM Band - 5 GHz UNII Band - 4 x Antenna(4 x External) - 143.50 MB/s Wireless Speed - 9 x Network Port - 1 x Broadb"/>
    <s v="IT/LAN Equipment"/>
    <n v="1"/>
    <n v="0"/>
    <n v="0"/>
    <m/>
    <n v="0"/>
    <m/>
    <m/>
    <n v="2111"/>
    <n v="2111"/>
    <n v="1730.65"/>
    <n v="1730.65"/>
    <s v="Mitch Verma"/>
    <n v="15.213999999999997"/>
  </r>
  <r>
    <x v="470"/>
    <s v="MPX LA - Replacement Cradlepoint"/>
    <s v="Won"/>
    <d v="2024-01-31T00:00:00"/>
    <n v="0"/>
    <s v="MPC-PS-T2"/>
    <s v="Meriplex Tier 2 Engineer Labor"/>
    <s v="IT/LAN Installation"/>
    <n v="2"/>
    <n v="0"/>
    <n v="0"/>
    <m/>
    <n v="0"/>
    <m/>
    <m/>
    <n v="185"/>
    <n v="370"/>
    <n v="0"/>
    <n v="0"/>
    <s v="Mitch Verma"/>
    <n v="14.8"/>
  </r>
  <r>
    <x v="471"/>
    <s v="10531251 - laptop"/>
    <s v="Won"/>
    <d v="2024-01-30T00:00:00"/>
    <n v="0"/>
    <s v="210-BFZV"/>
    <s v="Dell Latitude 5440"/>
    <s v="IT/LAN Equipment"/>
    <n v="1"/>
    <n v="0"/>
    <n v="0"/>
    <m/>
    <n v="0"/>
    <m/>
    <m/>
    <n v="1731.01"/>
    <n v="1731.01"/>
    <n v="1442.51"/>
    <n v="1442.51"/>
    <s v="Lathrop Lougheed"/>
    <n v="23.080000000000002"/>
  </r>
  <r>
    <x v="472"/>
    <s v="Quote #MPS123411 Per Service Ticket # 10531572 - Cisco SFP Transceiver"/>
    <s v="Won"/>
    <d v="2024-01-31T00:00:00"/>
    <n v="0"/>
    <s v="MGBSX1"/>
    <s v="Gigabit Ethernet SX Mini-GBIC SFP Transceiver"/>
    <s v="IT/LAN Equipment"/>
    <n v="1"/>
    <n v="0"/>
    <n v="0"/>
    <m/>
    <n v="0"/>
    <m/>
    <m/>
    <n v="119"/>
    <n v="119"/>
    <n v="96.95"/>
    <n v="96.95"/>
    <s v="Lathrop Lougheed"/>
    <n v="1.7639999999999998"/>
  </r>
  <r>
    <x v="473"/>
    <s v="KLI : #10531695 - Maks Gahan \ Server Offline - need two drives asap"/>
    <s v="Won"/>
    <d v="2024-01-31T00:00:00"/>
    <n v="0"/>
    <s v="MISCSHW"/>
    <s v="Dell HV1TD 300GB 15K 2.5&quot; SAS 6Gbps Hot-Plug HDD"/>
    <s v="IT/LAN Equipment"/>
    <n v="2"/>
    <n v="0"/>
    <n v="0"/>
    <m/>
    <n v="0"/>
    <m/>
    <m/>
    <n v="55"/>
    <n v="110"/>
    <n v="40.18"/>
    <n v="80.36"/>
    <s v="Lathrop Lougheed"/>
    <n v="2.3712"/>
  </r>
  <r>
    <x v="473"/>
    <s v="KLI : #10531695 - Maks Gahan \ Server Offline - need two drives asap"/>
    <s v="Won"/>
    <d v="2024-01-31T00:00:00"/>
    <n v="0"/>
    <s v="MPCSHIP"/>
    <s v="Expedited Shipping/Insurance -Next Day Service for orders in by 11:00am Pacific Time."/>
    <s v="IT/LAN Equipment"/>
    <n v="1"/>
    <n v="0"/>
    <n v="0"/>
    <m/>
    <n v="0"/>
    <m/>
    <m/>
    <n v="76.87"/>
    <n v="76.87"/>
    <n v="64.69"/>
    <n v="64.69"/>
    <s v="Lathrop Lougheed"/>
    <n v="0.9744000000000006"/>
  </r>
  <r>
    <x v="474"/>
    <s v="10534278 - Standard SSL Certificate For data.bdimonitoring.com"/>
    <s v="Won"/>
    <d v="2024-01-31T00:00:00"/>
    <n v="0"/>
    <s v="SSL Certificates:3606-2"/>
    <s v="Single Domain Secure Sockets Layer (SSL) Certificate - Annual"/>
    <s v="NRR - Agent Income"/>
    <n v="1"/>
    <n v="0"/>
    <n v="0"/>
    <m/>
    <n v="0"/>
    <m/>
    <m/>
    <n v="83"/>
    <n v="83"/>
    <n v="67.989999999999995"/>
    <n v="67.989999999999995"/>
    <s v="Jonathan DeFez"/>
    <n v="1.2008000000000005"/>
  </r>
  <r>
    <x v="474"/>
    <s v="10534278 - Standard SSL Certificate For data.bdimonitoring.com"/>
    <s v="Won"/>
    <d v="2024-01-31T00:00:00"/>
    <n v="0"/>
    <s v="Project Labor - Fixed Fee"/>
    <s v="Project Labor - Fixed Fee - Installation and Configuration of the SSL Certificate"/>
    <s v="IT/LAN Installation"/>
    <n v="1"/>
    <n v="0"/>
    <n v="0"/>
    <m/>
    <n v="0"/>
    <m/>
    <m/>
    <n v="370"/>
    <n v="370"/>
    <n v="0"/>
    <n v="0"/>
    <s v="Jonathan DeFez"/>
    <n v="14.8"/>
  </r>
  <r>
    <x v="475"/>
    <s v="10535055 - Cisco Meraki Renewal"/>
    <s v="Won"/>
    <d v="2024-01-31T00:00:00"/>
    <n v="0"/>
    <s v="LIC-MS210-48FP-1YR"/>
    <s v="Cisco-Meraki Usa Meraki Enterprise + 1 Year Enterprise Support - Subscription License - 1 Switch - 1 Year - MS210-48FP Cloud Managed Gigabit Switch - Subscription License 1 Switch - 1 Year License Validation Period"/>
    <s v="IT/LAN Equipment"/>
    <n v="28"/>
    <n v="0"/>
    <n v="0"/>
    <m/>
    <n v="0"/>
    <m/>
    <m/>
    <n v="283"/>
    <n v="7924"/>
    <n v="231.36"/>
    <n v="6478.08"/>
    <s v="Jerry Prestridge"/>
    <n v="0"/>
  </r>
  <r>
    <x v="475"/>
    <s v="10535055 - Cisco Meraki Renewal"/>
    <s v="Won"/>
    <d v="2024-01-31T00:00:00"/>
    <n v="0"/>
    <s v="LIC-MS225-48LP-1YR"/>
    <s v="Cisco-Meraki Usa Meraki Enterprise + 1 Year Enterprise Support - Subscription License - 1 Switch - 1 Year - Cisco Meraki Cloud Managed MS225-48LP - Switch - 48 Ports - Subscription License 1 Switch - 1 Year License Validation Period"/>
    <s v="IT/LAN Equipment"/>
    <n v="11"/>
    <n v="0"/>
    <n v="0"/>
    <m/>
    <n v="0"/>
    <m/>
    <m/>
    <n v="333"/>
    <n v="3663"/>
    <n v="272.85000000000002"/>
    <n v="3001.3500000000004"/>
    <s v="Jerry Prestridge"/>
    <n v="0"/>
  </r>
  <r>
    <x v="475"/>
    <s v="10535055 - Cisco Meraki Renewal"/>
    <s v="Won"/>
    <d v="2024-01-31T00:00:00"/>
    <n v="0"/>
    <s v="LIC-ENT-1YR"/>
    <s v="Cisco-Meraki Usa Meraki MR Enterprise Cloud Controller License, 1 Year - Meraki MR Series Access Point - Subscription License 1 Access Point - 1 Year License Validation Period"/>
    <s v="IT/LAN Equipment"/>
    <n v="81"/>
    <n v="0"/>
    <n v="0"/>
    <m/>
    <n v="0"/>
    <m/>
    <m/>
    <n v="125"/>
    <n v="10125"/>
    <n v="102.35"/>
    <n v="8290.35"/>
    <s v="Jerry Prestridge"/>
    <n v="0"/>
  </r>
  <r>
    <x v="476"/>
    <s v="4 Monitors, 2 Speaker Bars"/>
    <s v="Won"/>
    <d v="2024-01-31T00:00:00"/>
    <n v="0"/>
    <s v="6N6E9AA#ABA"/>
    <s v="HP E24 G5 24&quot; Class Full HD LCD Monitor - 16:9 - Black - 23.8&quot; Viewable - In-plane Switching (IPS) Technology - Edge LED Backlight - 1920 x 1080 - 250 Nit - 5 ms - 75 Hz Refresh Rate - HDMI - DisplayPort - USB Hub"/>
    <s v="IT/LAN Equipment"/>
    <n v="4"/>
    <n v="0"/>
    <n v="0"/>
    <m/>
    <n v="0"/>
    <m/>
    <m/>
    <n v="222"/>
    <n v="888"/>
    <n v="183.6"/>
    <n v="734.4"/>
    <s v="Cynthia Newsom"/>
    <n v="13.056000000000003"/>
  </r>
  <r>
    <x v="477"/>
    <s v="Switch replacement"/>
    <s v="Won"/>
    <d v="2024-01-31T00:00:00"/>
    <n v="0"/>
    <s v="JL686B#ABA"/>
    <s v="Aruba Instant On 1930 48G Class4 PoE 4SFP/SFP+ 370W Switch - 48 Ports - Manageable - Gigabit Ethernet, 10 Gigabit Ethernet - 10/100/1000Base-T, 10GBase-X - 4 Layer Supported - Modular - 520 W Power Consumption - 370 W PoE Budget - Optical Fiber, Twisted P"/>
    <s v="IT/LAN Equipment"/>
    <n v="4"/>
    <n v="0"/>
    <n v="0"/>
    <m/>
    <n v="0"/>
    <m/>
    <m/>
    <n v="768.52"/>
    <n v="3074.08"/>
    <n v="630.19000000000005"/>
    <n v="2520.7600000000002"/>
    <s v="Michael True"/>
    <n v="47.032199999999982"/>
  </r>
  <r>
    <x v="478"/>
    <s v="Quote #006696 2023 Q4 Vulnerability Scan Remediation Project"/>
    <s v="Won"/>
    <d v="2024-01-30T00:00:00"/>
    <n v="0"/>
    <s v="F1-Labor-PS-L2"/>
    <s v="Service - Administrator Labor"/>
    <s v="IT/LAN Installation"/>
    <n v="3"/>
    <n v="0"/>
    <n v="0"/>
    <m/>
    <n v="0"/>
    <m/>
    <m/>
    <n v="200"/>
    <n v="600"/>
    <n v="56"/>
    <n v="168"/>
    <s v="Laura Emery"/>
    <n v="0"/>
  </r>
  <r>
    <x v="479"/>
    <s v="GCC High Renewal"/>
    <s v="Won"/>
    <d v="2024-01-31T00:00:00"/>
    <n v="0"/>
    <s v="AAD-99035"/>
    <s v="M365 G5 FUSL GCCH Sub Per User"/>
    <s v="GCC High"/>
    <n v="465"/>
    <n v="0"/>
    <n v="0"/>
    <m/>
    <n v="0"/>
    <m/>
    <m/>
    <n v="1054.02"/>
    <n v="490119.3"/>
    <n v="895.92"/>
    <n v="416602.8"/>
    <s v="Laura Emery"/>
    <n v="0"/>
  </r>
  <r>
    <x v="479"/>
    <s v="GCC High Renewal"/>
    <s v="Won"/>
    <d v="2024-01-31T00:00:00"/>
    <n v="0"/>
    <s v="DTM-00001"/>
    <s v="O365GCCHighE1 ShrdSvr ALNG SubsVL MVL PerUsr"/>
    <s v="GCC High"/>
    <n v="40"/>
    <n v="0"/>
    <n v="0"/>
    <m/>
    <n v="0"/>
    <m/>
    <m/>
    <n v="131.01"/>
    <n v="5240.3999999999996"/>
    <n v="122.52"/>
    <n v="4900.8"/>
    <s v="Laura Emery"/>
    <n v="0"/>
  </r>
  <r>
    <x v="479"/>
    <s v="GCC High Renewal"/>
    <s v="Won"/>
    <d v="2024-01-31T00:00:00"/>
    <n v="0"/>
    <s v="6UB-00004"/>
    <s v="Power BI Premium USL GCCH Sub Per User"/>
    <s v="GCC High"/>
    <n v="3"/>
    <n v="0"/>
    <n v="0"/>
    <m/>
    <n v="0"/>
    <m/>
    <m/>
    <n v="315.70999999999998"/>
    <n v="947.13"/>
    <n v="265.2"/>
    <n v="795.59999999999991"/>
    <s v="Laura Emery"/>
    <n v="0"/>
  </r>
  <r>
    <x v="479"/>
    <s v="GCC High Renewal"/>
    <s v="Won"/>
    <d v="2024-01-31T00:00:00"/>
    <n v="0"/>
    <s v="DZL-00001"/>
    <s v="Power BI Pro GCCH Sub Per User"/>
    <s v="GCC High"/>
    <n v="10"/>
    <n v="0"/>
    <n v="0"/>
    <m/>
    <n v="0"/>
    <m/>
    <m/>
    <n v="163"/>
    <n v="1630"/>
    <n v="136.91999999999999"/>
    <n v="1369.1999999999998"/>
    <s v="Laura Emery"/>
    <n v="0"/>
  </r>
  <r>
    <x v="479"/>
    <s v="GCC High Renewal"/>
    <s v="Won"/>
    <d v="2024-01-31T00:00:00"/>
    <n v="0"/>
    <s v="IJL-00001"/>
    <s v="Teams Rooms Stand GCCH Sub Per Device"/>
    <s v="GCC High"/>
    <n v="8"/>
    <n v="0"/>
    <n v="0"/>
    <m/>
    <n v="0"/>
    <m/>
    <m/>
    <n v="236.71"/>
    <n v="1893.68"/>
    <n v="198.84"/>
    <n v="1590.72"/>
    <s v="Laura Emery"/>
    <n v="0"/>
  </r>
  <r>
    <x v="480"/>
    <s v="Stock Equipment Replenishment-Jan 2024"/>
    <s v="Won"/>
    <d v="2024-01-02T00:00:00"/>
    <m/>
    <m/>
    <m/>
    <s v="IT/LAN Equipment"/>
    <m/>
    <m/>
    <m/>
    <m/>
    <m/>
    <m/>
    <m/>
    <m/>
    <n v="20232.2"/>
    <m/>
    <n v="15625.15"/>
    <s v="Anthony Kazlauskas"/>
    <n v="391.5992500000001"/>
  </r>
  <r>
    <x v="481"/>
    <s v="Docking Station for Crystal Alexander"/>
    <s v="Won"/>
    <d v="2024-01-04T00:00:00"/>
    <m/>
    <m/>
    <m/>
    <s v="IT/LAN Equipment"/>
    <m/>
    <m/>
    <m/>
    <m/>
    <m/>
    <m/>
    <m/>
    <m/>
    <n v="149"/>
    <m/>
    <n v="115.65"/>
    <s v="Anthony Kazlauskas"/>
    <n v="2.8347499999999997"/>
  </r>
  <r>
    <x v="482"/>
    <s v="Homestead Village-IT Services"/>
    <s v="Won"/>
    <d v="2024-01-05T00:00:00"/>
    <n v="5680"/>
    <m/>
    <m/>
    <s v="IT/LAN Installation"/>
    <m/>
    <m/>
    <m/>
    <m/>
    <m/>
    <m/>
    <m/>
    <m/>
    <n v="2000"/>
    <m/>
    <m/>
    <s v="Dave Carlin"/>
    <n v="80"/>
  </r>
  <r>
    <x v="483"/>
    <s v="HP Laptop for Tom Brobst - Public Works Dept"/>
    <s v="Won"/>
    <d v="2024-01-05T00:00:00"/>
    <m/>
    <m/>
    <m/>
    <s v="IT/LAN Equipment"/>
    <m/>
    <m/>
    <m/>
    <m/>
    <m/>
    <m/>
    <m/>
    <m/>
    <n v="1516.62"/>
    <m/>
    <n v="1278.99"/>
    <s v="Anthony Kazlauskas"/>
    <n v="20.19854999999999"/>
  </r>
  <r>
    <x v="484"/>
    <s v="Wireless Access Point T&amp;M project"/>
    <s v="Won"/>
    <d v="2024-01-05T00:00:00"/>
    <m/>
    <m/>
    <m/>
    <s v="IT/LAN Equipment"/>
    <m/>
    <m/>
    <m/>
    <m/>
    <m/>
    <m/>
    <m/>
    <m/>
    <n v="2107"/>
    <m/>
    <n v="1972.49"/>
    <s v="Anthony Kazlauskas"/>
    <n v="11.433350000000001"/>
  </r>
  <r>
    <x v="485"/>
    <s v="Replacement UPS"/>
    <s v="Won"/>
    <d v="2024-01-08T00:00:00"/>
    <m/>
    <m/>
    <m/>
    <s v="IT/LAN Equipment"/>
    <m/>
    <m/>
    <m/>
    <m/>
    <m/>
    <m/>
    <m/>
    <m/>
    <n v="1227.8800000000001"/>
    <m/>
    <n v="982.3"/>
    <s v="Anthony Kazlauskas"/>
    <n v="20.874300000000016"/>
  </r>
  <r>
    <x v="486"/>
    <s v="15&quot; Laptops x 3"/>
    <s v="Won"/>
    <d v="2024-01-08T00:00:00"/>
    <m/>
    <m/>
    <m/>
    <s v="IT/LAN Equipment"/>
    <m/>
    <m/>
    <m/>
    <m/>
    <m/>
    <m/>
    <m/>
    <m/>
    <n v="4186.38"/>
    <m/>
    <n v="3449.64"/>
    <s v="Anthony Kazlauskas"/>
    <n v="62.622900000000023"/>
  </r>
  <r>
    <x v="487"/>
    <s v="Docking Station for Crystal Alexander"/>
    <s v="Won"/>
    <d v="2024-01-10T00:00:00"/>
    <m/>
    <m/>
    <m/>
    <s v="IT/LAN Equipment"/>
    <m/>
    <m/>
    <m/>
    <m/>
    <m/>
    <m/>
    <m/>
    <m/>
    <n v="149"/>
    <m/>
    <n v="115.65"/>
    <s v="Anthony Kazlauskas"/>
    <n v="2.8347499999999997"/>
  </r>
  <r>
    <x v="488"/>
    <s v="Bluetooth KBM for iPad"/>
    <s v="Won"/>
    <d v="2024-01-10T00:00:00"/>
    <m/>
    <m/>
    <m/>
    <s v="IT/LAN Equipment"/>
    <m/>
    <m/>
    <m/>
    <m/>
    <m/>
    <m/>
    <m/>
    <m/>
    <n v="59.99"/>
    <m/>
    <n v="52.36"/>
    <s v="Anthony Kazlauskas"/>
    <n v="0.64855000000000029"/>
  </r>
  <r>
    <x v="489"/>
    <s v="New Workstation - Gloria Dubose"/>
    <s v="Won"/>
    <d v="2024-01-10T00:00:00"/>
    <m/>
    <m/>
    <m/>
    <s v="IT/LAN Equipment"/>
    <m/>
    <m/>
    <m/>
    <m/>
    <m/>
    <m/>
    <m/>
    <m/>
    <n v="312.08999999999997"/>
    <m/>
    <n v="278.95"/>
    <s v="Anthony Kazlauskas"/>
    <n v="2.8168999999999991"/>
  </r>
  <r>
    <x v="490"/>
    <s v="HP OfficeJet Pro 7740 All-in-One Printer"/>
    <s v="Won"/>
    <d v="2024-01-11T00:00:00"/>
    <m/>
    <m/>
    <m/>
    <s v="IT/LAN Equipment"/>
    <m/>
    <m/>
    <m/>
    <m/>
    <m/>
    <m/>
    <m/>
    <m/>
    <n v="349"/>
    <m/>
    <n v="289.99"/>
    <s v="Anthony Kazlauskas"/>
    <n v="5.0158499999999995"/>
  </r>
  <r>
    <x v="491"/>
    <s v="iPAD for NSWA"/>
    <s v="Won"/>
    <d v="2024-01-11T00:00:00"/>
    <m/>
    <m/>
    <m/>
    <s v="IT/LAN Equipment"/>
    <m/>
    <m/>
    <m/>
    <m/>
    <m/>
    <m/>
    <m/>
    <m/>
    <n v="1419"/>
    <m/>
    <n v="1383.02"/>
    <s v="Anthony Kazlauskas"/>
    <n v="3.0583000000000018"/>
  </r>
  <r>
    <x v="492"/>
    <s v="NYC Office Peripherals"/>
    <s v="Won"/>
    <d v="2024-01-12T00:00:00"/>
    <n v="0"/>
    <m/>
    <m/>
    <s v="IT/LAN Equipment"/>
    <m/>
    <m/>
    <m/>
    <m/>
    <m/>
    <m/>
    <m/>
    <m/>
    <n v="24235.200000000001"/>
    <m/>
    <n v="18152.43"/>
    <s v="Anthony Kazlauskas"/>
    <n v="517.03545000000008"/>
  </r>
  <r>
    <x v="493"/>
    <s v="CaaS - Monthly Consulting Hours and POA&amp;M"/>
    <s v="Won"/>
    <d v="2024-01-12T00:00:00"/>
    <n v="1445"/>
    <m/>
    <m/>
    <s v="Managed Security Services"/>
    <m/>
    <m/>
    <m/>
    <m/>
    <m/>
    <m/>
    <m/>
    <m/>
    <n v="0"/>
    <m/>
    <m/>
    <s v="Daniel Tarkowski"/>
    <n v="0"/>
  </r>
  <r>
    <x v="494"/>
    <s v="Additional New Laptops x 2"/>
    <s v="Won"/>
    <d v="2024-01-12T00:00:00"/>
    <m/>
    <m/>
    <m/>
    <s v="IT/LAN Equipment"/>
    <m/>
    <m/>
    <m/>
    <m/>
    <m/>
    <m/>
    <m/>
    <m/>
    <n v="2887.12"/>
    <m/>
    <n v="2624.88"/>
    <s v="Anthony Kazlauskas"/>
    <n v="22.290399999999984"/>
  </r>
  <r>
    <x v="495"/>
    <s v="Desktop and Phone for Ingrid Parker -"/>
    <s v="Won"/>
    <d v="2024-01-12T00:00:00"/>
    <m/>
    <m/>
    <m/>
    <s v="IT/LAN Equipment"/>
    <m/>
    <m/>
    <m/>
    <m/>
    <m/>
    <m/>
    <m/>
    <m/>
    <n v="1208.6400000000001"/>
    <m/>
    <n v="949.65"/>
    <s v="Anthony Kazlauskas"/>
    <n v="22.014150000000011"/>
  </r>
  <r>
    <x v="496"/>
    <s v="Dell Latitude"/>
    <s v="Won"/>
    <d v="2024-01-12T00:00:00"/>
    <m/>
    <m/>
    <m/>
    <s v="IT/LAN Equipment"/>
    <m/>
    <m/>
    <m/>
    <m/>
    <m/>
    <m/>
    <m/>
    <m/>
    <n v="1416.75"/>
    <m/>
    <n v="1133.4000000000001"/>
    <s v="Anthony Kazlauskas"/>
    <n v="24.084749999999993"/>
  </r>
  <r>
    <x v="497"/>
    <s v="Windows Surface Pro - Michael Barrett-Durable Surfaces"/>
    <s v="Won"/>
    <d v="2024-01-12T00:00:00"/>
    <m/>
    <m/>
    <m/>
    <s v="IT/LAN Equipment"/>
    <m/>
    <m/>
    <m/>
    <m/>
    <m/>
    <m/>
    <m/>
    <m/>
    <n v="1857"/>
    <m/>
    <n v="1708.16"/>
    <s v="Anthony Kazlauskas"/>
    <n v="12.651399999999994"/>
  </r>
  <r>
    <x v="498"/>
    <s v="Claim Assure-Managed Cloud Hosting"/>
    <s v="Won"/>
    <d v="2024-01-15T00:00:00"/>
    <n v="4045.35"/>
    <m/>
    <m/>
    <s v="Cloud Services"/>
    <m/>
    <m/>
    <m/>
    <m/>
    <m/>
    <m/>
    <m/>
    <m/>
    <n v="0"/>
    <m/>
    <m/>
    <s v="Chris Callahan"/>
    <n v="0"/>
  </r>
  <r>
    <x v="499"/>
    <s v="Proactive Quote - Firewall Renewal SN 18B169B089BC"/>
    <s v="Won"/>
    <d v="2024-01-15T00:00:00"/>
    <m/>
    <m/>
    <m/>
    <s v="IT/LAN Equipment"/>
    <m/>
    <m/>
    <m/>
    <m/>
    <m/>
    <m/>
    <m/>
    <m/>
    <n v="149.24"/>
    <m/>
    <n v="119.39"/>
    <s v="Anthony Kazlauskas"/>
    <n v="2.5372500000000011"/>
  </r>
  <r>
    <x v="500"/>
    <s v="Laptop Battery Replacement - Our Lady of Peace"/>
    <s v="Won"/>
    <d v="2024-01-15T00:00:00"/>
    <m/>
    <m/>
    <m/>
    <s v="IT/LAN Equipment"/>
    <m/>
    <m/>
    <m/>
    <m/>
    <m/>
    <m/>
    <m/>
    <m/>
    <n v="150.79"/>
    <m/>
    <n v="144.76"/>
    <s v="Anthony Kazlauskas"/>
    <n v="0.51255000000000017"/>
  </r>
  <r>
    <x v="501"/>
    <s v="Power Adapter and Chord - Kevin Donahue"/>
    <s v="Won"/>
    <d v="2024-01-15T00:00:00"/>
    <m/>
    <m/>
    <m/>
    <s v="IT/LAN Equipment"/>
    <m/>
    <m/>
    <m/>
    <m/>
    <m/>
    <m/>
    <m/>
    <m/>
    <n v="112"/>
    <m/>
    <n v="106.9"/>
    <s v="Anthony Kazlauskas"/>
    <n v="0.43349999999999955"/>
  </r>
  <r>
    <x v="502"/>
    <s v="KnowBe4 Awareness Training"/>
    <s v="Won"/>
    <d v="2024-01-16T00:00:00"/>
    <n v="247.5"/>
    <m/>
    <m/>
    <s v="Managed Security Services"/>
    <m/>
    <m/>
    <m/>
    <m/>
    <m/>
    <m/>
    <m/>
    <m/>
    <n v="495"/>
    <m/>
    <m/>
    <s v="Demetrios Adams"/>
    <n v="19.8"/>
  </r>
  <r>
    <x v="503"/>
    <s v="Docking Station - LT Greg Bealer"/>
    <s v="Won"/>
    <d v="2024-01-16T00:00:00"/>
    <m/>
    <m/>
    <m/>
    <s v="IT/LAN Equipment"/>
    <m/>
    <m/>
    <m/>
    <m/>
    <m/>
    <m/>
    <m/>
    <m/>
    <n v="167.74"/>
    <m/>
    <n v="134.19"/>
    <s v="Anthony Kazlauskas"/>
    <n v="2.8517500000000013"/>
  </r>
  <r>
    <x v="504"/>
    <s v="Signature Research-"/>
    <s v="Won"/>
    <d v="2024-01-17T00:00:00"/>
    <n v="5322.97"/>
    <m/>
    <m/>
    <s v="Managed Services"/>
    <m/>
    <m/>
    <m/>
    <m/>
    <m/>
    <m/>
    <m/>
    <m/>
    <n v="0"/>
    <m/>
    <m/>
    <s v="Bryon Herpel"/>
    <n v="0"/>
  </r>
  <r>
    <x v="505"/>
    <s v="IOT Stock x 10units - Fort Lee"/>
    <s v="Won"/>
    <d v="2024-01-17T00:00:00"/>
    <m/>
    <m/>
    <m/>
    <s v="IT/LAN Equipment"/>
    <m/>
    <m/>
    <m/>
    <m/>
    <m/>
    <m/>
    <m/>
    <m/>
    <n v="4722.3999999999996"/>
    <m/>
    <n v="3981.8"/>
    <s v="Anthony Kazlauskas"/>
    <n v="62.950999999999958"/>
  </r>
  <r>
    <x v="506"/>
    <s v="Laptop - Yesenia Sanchez"/>
    <s v="Won"/>
    <d v="2024-01-17T00:00:00"/>
    <m/>
    <m/>
    <m/>
    <s v="IT/LAN Equipment"/>
    <m/>
    <m/>
    <m/>
    <m/>
    <m/>
    <m/>
    <m/>
    <m/>
    <n v="1199"/>
    <m/>
    <n v="964.49"/>
    <s v="Anthony Kazlauskas"/>
    <n v="19.933350000000001"/>
  </r>
  <r>
    <x v="507"/>
    <s v="Radnor Financial- MS, Security, 365"/>
    <s v="Won"/>
    <d v="2024-01-18T00:00:00"/>
    <n v="0"/>
    <m/>
    <m/>
    <s v="Managed Services"/>
    <m/>
    <m/>
    <m/>
    <m/>
    <m/>
    <m/>
    <m/>
    <m/>
    <n v="0"/>
    <m/>
    <m/>
    <s v="Demetrios Adams"/>
    <n v="0"/>
  </r>
  <r>
    <x v="508"/>
    <s v="422623 - Order Request for 10 DUO Tokens"/>
    <s v="Won"/>
    <d v="2024-01-18T00:00:00"/>
    <n v="0"/>
    <m/>
    <m/>
    <s v="IT/LAN Equipment"/>
    <m/>
    <m/>
    <m/>
    <m/>
    <m/>
    <m/>
    <m/>
    <m/>
    <n v="450"/>
    <m/>
    <n v="382.5"/>
    <s v="Daniel Tarkowski"/>
    <n v="5.4"/>
  </r>
  <r>
    <x v="509"/>
    <s v="LENOVO TABLET x 1unit - Morris ALF"/>
    <s v="Won"/>
    <d v="2024-01-18T00:00:00"/>
    <m/>
    <m/>
    <m/>
    <s v="IT/LAN Equipment"/>
    <m/>
    <m/>
    <m/>
    <m/>
    <m/>
    <m/>
    <m/>
    <m/>
    <n v="189"/>
    <m/>
    <n v="174.48"/>
    <s v="Anthony Kazlauskas"/>
    <n v="1.2342000000000009"/>
  </r>
  <r>
    <x v="510"/>
    <s v="Madison Ave PCC Terminal for Nurses"/>
    <s v="Won"/>
    <d v="2024-01-18T00:00:00"/>
    <m/>
    <m/>
    <m/>
    <s v="IT/LAN Equipment"/>
    <m/>
    <m/>
    <m/>
    <m/>
    <m/>
    <m/>
    <m/>
    <m/>
    <n v="369"/>
    <m/>
    <n v="315.58999999999997"/>
    <s v="Anthony Kazlauskas"/>
    <n v="4.5398500000000022"/>
  </r>
  <r>
    <x v="511"/>
    <s v="Proactive Quote - Firewall Renewal"/>
    <s v="Won"/>
    <d v="2024-01-18T00:00:00"/>
    <m/>
    <m/>
    <m/>
    <s v="IT/LAN Equipment"/>
    <m/>
    <m/>
    <m/>
    <m/>
    <m/>
    <m/>
    <m/>
    <m/>
    <n v="677.75"/>
    <m/>
    <n v="542.20000000000005"/>
    <s v="Anthony Kazlauskas"/>
    <n v="11.521749999999997"/>
  </r>
  <r>
    <x v="512"/>
    <s v="Demo Hosting Environment"/>
    <s v="Won"/>
    <d v="2024-01-19T00:00:00"/>
    <n v="970"/>
    <m/>
    <m/>
    <s v="Cloud Services"/>
    <m/>
    <m/>
    <m/>
    <m/>
    <m/>
    <m/>
    <m/>
    <m/>
    <n v="1000"/>
    <m/>
    <m/>
    <s v="Simon Beeny"/>
    <n v="0"/>
  </r>
  <r>
    <x v="513"/>
    <s v="SSL for remote.intercommunityaction.org"/>
    <s v="Won"/>
    <d v="2024-01-19T00:00:00"/>
    <m/>
    <m/>
    <m/>
    <s v="IT/LAN Equipment"/>
    <m/>
    <m/>
    <m/>
    <m/>
    <m/>
    <m/>
    <m/>
    <m/>
    <n v="581.88"/>
    <m/>
    <n v="465.5"/>
    <s v="Anthony Kazlauskas"/>
    <n v="9.8923000000000005"/>
  </r>
  <r>
    <x v="514"/>
    <s v="Fortinet Renewals"/>
    <s v="Won"/>
    <d v="2024-01-19T00:00:00"/>
    <m/>
    <m/>
    <m/>
    <s v="IT/LAN Equipment"/>
    <m/>
    <m/>
    <m/>
    <m/>
    <m/>
    <m/>
    <m/>
    <m/>
    <n v="9797.76"/>
    <m/>
    <n v="8164.8"/>
    <s v="Anthony Kazlauskas"/>
    <n v="138.80160000000001"/>
  </r>
  <r>
    <x v="515"/>
    <s v="Zeus - SMG Warehouse Wifi Additions"/>
    <s v="Won"/>
    <d v="2024-01-19T00:00:00"/>
    <m/>
    <m/>
    <m/>
    <s v="IT/LAN Equipment"/>
    <m/>
    <m/>
    <m/>
    <m/>
    <m/>
    <m/>
    <m/>
    <m/>
    <n v="13462.45"/>
    <m/>
    <n v="7661.17"/>
    <s v="Anthony Kazlauskas"/>
    <n v="493.10880000000009"/>
  </r>
  <r>
    <x v="516"/>
    <s v="Episcopal Seniorlife Communities-Cyber Security Risk Assessment"/>
    <s v="Won"/>
    <d v="2024-01-22T00:00:00"/>
    <n v="0"/>
    <m/>
    <m/>
    <s v="IT/LAN Installation"/>
    <m/>
    <m/>
    <m/>
    <m/>
    <m/>
    <m/>
    <m/>
    <m/>
    <n v="6725"/>
    <m/>
    <m/>
    <s v="Chris Callahan"/>
    <n v="269"/>
  </r>
  <r>
    <x v="517"/>
    <s v="Veam Licensing"/>
    <s v="Won"/>
    <d v="2024-01-22T00:00:00"/>
    <m/>
    <m/>
    <m/>
    <s v="IT/LAN Equipment"/>
    <m/>
    <m/>
    <m/>
    <m/>
    <m/>
    <m/>
    <m/>
    <m/>
    <n v="1712"/>
    <m/>
    <n v="1557.92"/>
    <s v="Anthony Kazlauskas"/>
    <n v="13.096799999999995"/>
  </r>
  <r>
    <x v="518"/>
    <s v="GCC High Licensing - Yearly"/>
    <s v="Won"/>
    <d v="2024-01-23T00:00:00"/>
    <n v="0"/>
    <m/>
    <m/>
    <s v="IT/LAN Equipment"/>
    <m/>
    <m/>
    <m/>
    <m/>
    <m/>
    <m/>
    <m/>
    <m/>
    <n v="4790.3"/>
    <m/>
    <n v="4071.7550000000001"/>
    <s v="Dave Carlin"/>
    <n v="28.741800000000005"/>
  </r>
  <r>
    <x v="519"/>
    <s v="Vulnerability Scanning"/>
    <s v="Won"/>
    <d v="2024-01-23T00:00:00"/>
    <n v="292.5"/>
    <m/>
    <m/>
    <s v="Managed Security Services"/>
    <m/>
    <m/>
    <m/>
    <m/>
    <m/>
    <m/>
    <m/>
    <m/>
    <n v="0"/>
    <m/>
    <m/>
    <s v="Demetrios Adams"/>
    <n v="0"/>
  </r>
  <r>
    <x v="520"/>
    <s v="Latitude 5540 x 20 to Denver - Jan 2024"/>
    <s v="Won"/>
    <d v="2024-01-23T00:00:00"/>
    <m/>
    <m/>
    <m/>
    <s v="IT/LAN Equipment"/>
    <m/>
    <m/>
    <m/>
    <m/>
    <m/>
    <m/>
    <m/>
    <m/>
    <n v="22599.8"/>
    <m/>
    <n v="19289.8"/>
    <s v="Anthony Kazlauskas"/>
    <n v="281.35000000000002"/>
  </r>
  <r>
    <x v="521"/>
    <s v="Proactive Quote - Network Device License Renewal"/>
    <s v="Won"/>
    <d v="2024-01-23T00:00:00"/>
    <m/>
    <m/>
    <m/>
    <s v="IT/LAN Equipment"/>
    <m/>
    <m/>
    <m/>
    <m/>
    <m/>
    <m/>
    <m/>
    <m/>
    <n v="1293.2"/>
    <m/>
    <n v="1034.56"/>
    <s v="Anthony Kazlauskas"/>
    <n v="21.984400000000011"/>
  </r>
  <r>
    <x v="522"/>
    <s v="Laptop of Graham Bell"/>
    <s v="Won"/>
    <d v="2024-01-23T00:00:00"/>
    <m/>
    <m/>
    <m/>
    <s v="IT/LAN Equipment"/>
    <m/>
    <m/>
    <m/>
    <m/>
    <m/>
    <m/>
    <m/>
    <m/>
    <n v="1791.38"/>
    <m/>
    <n v="1043.3499999999999"/>
    <s v="Anthony Kazlauskas"/>
    <n v="63.582550000000019"/>
  </r>
  <r>
    <x v="523"/>
    <s v="Laptop Quote"/>
    <s v="Won"/>
    <d v="2024-01-23T00:00:00"/>
    <m/>
    <m/>
    <m/>
    <s v="IT/LAN Equipment"/>
    <m/>
    <m/>
    <m/>
    <m/>
    <m/>
    <m/>
    <m/>
    <m/>
    <n v="5848.22"/>
    <m/>
    <n v="5080.3"/>
    <s v="Anthony Kazlauskas"/>
    <n v="65.273200000000017"/>
  </r>
  <r>
    <x v="524"/>
    <s v="Webcam - Dan Hittinger"/>
    <s v="Won"/>
    <d v="2024-01-23T00:00:00"/>
    <m/>
    <m/>
    <m/>
    <s v="IT/LAN Equipment"/>
    <m/>
    <m/>
    <m/>
    <m/>
    <m/>
    <m/>
    <m/>
    <m/>
    <n v="71.89"/>
    <m/>
    <n v="62.51"/>
    <s v="Anthony Kazlauskas"/>
    <n v="0.79730000000000023"/>
  </r>
  <r>
    <x v="525"/>
    <s v="Monitor - Sally Forde"/>
    <s v="Won"/>
    <d v="2024-01-23T00:00:00"/>
    <m/>
    <m/>
    <m/>
    <s v="IT/LAN Equipment"/>
    <m/>
    <m/>
    <m/>
    <m/>
    <m/>
    <m/>
    <m/>
    <m/>
    <n v="135"/>
    <m/>
    <n v="109.64"/>
    <s v="Anthony Kazlauskas"/>
    <n v="2.1556000000000002"/>
  </r>
  <r>
    <x v="526"/>
    <s v="Surface Laptop - CFO"/>
    <s v="Won"/>
    <d v="2024-01-23T00:00:00"/>
    <m/>
    <m/>
    <m/>
    <s v="IT/LAN Equipment"/>
    <m/>
    <m/>
    <m/>
    <m/>
    <m/>
    <m/>
    <m/>
    <m/>
    <n v="1848"/>
    <m/>
    <n v="1682.77"/>
    <s v="Anthony Kazlauskas"/>
    <n v="14.044550000000003"/>
  </r>
  <r>
    <x v="527"/>
    <s v="Proactive Quote - Fortigate 101E - Firewall Support Renewal - #16448 v2"/>
    <s v="Won"/>
    <d v="2024-01-23T00:00:00"/>
    <m/>
    <m/>
    <m/>
    <s v="IT/LAN Equipment"/>
    <m/>
    <m/>
    <m/>
    <m/>
    <m/>
    <m/>
    <m/>
    <m/>
    <n v="3060"/>
    <m/>
    <n v="2448"/>
    <s v="Anthony Kazlauskas"/>
    <n v="52.02"/>
  </r>
  <r>
    <x v="528"/>
    <s v="DNS Filtering"/>
    <s v="Won"/>
    <d v="2024-01-24T00:00:00"/>
    <n v="1200"/>
    <m/>
    <m/>
    <s v="Managed Security Services"/>
    <m/>
    <m/>
    <m/>
    <m/>
    <m/>
    <m/>
    <m/>
    <m/>
    <n v="0"/>
    <m/>
    <m/>
    <s v="Matthew Digiacomo"/>
    <n v="0"/>
  </r>
  <r>
    <x v="529"/>
    <s v="Mobile Air Conditioning Society Worldwide-Laptop"/>
    <s v="Won"/>
    <d v="2024-01-24T00:00:00"/>
    <m/>
    <m/>
    <m/>
    <s v="IT/LAN Equipment"/>
    <m/>
    <m/>
    <m/>
    <m/>
    <m/>
    <m/>
    <m/>
    <m/>
    <n v="1205.6099999999999"/>
    <m/>
    <n v="964.49"/>
    <s v="Anthony Kazlauskas"/>
    <n v="20.495199999999993"/>
  </r>
  <r>
    <x v="530"/>
    <s v="Desktop for Plotter-Planning Dept."/>
    <s v="Won"/>
    <d v="2024-01-25T00:00:00"/>
    <m/>
    <m/>
    <m/>
    <s v="IT/LAN Equipment"/>
    <m/>
    <m/>
    <m/>
    <m/>
    <m/>
    <m/>
    <m/>
    <m/>
    <n v="851.16"/>
    <m/>
    <n v="653"/>
    <s v="Anthony Kazlauskas"/>
    <n v="16.843599999999999"/>
  </r>
  <r>
    <x v="531"/>
    <s v="New Devices Jan 2024 Gelest"/>
    <s v="Won"/>
    <d v="2024-01-25T00:00:00"/>
    <m/>
    <m/>
    <m/>
    <s v="IT/LAN Equipment"/>
    <m/>
    <m/>
    <m/>
    <m/>
    <m/>
    <m/>
    <m/>
    <m/>
    <n v="12970.72"/>
    <m/>
    <n v="10442.33"/>
    <s v="Anthony Kazlauskas"/>
    <n v="214.91314999999997"/>
  </r>
  <r>
    <x v="532"/>
    <s v="New Machines"/>
    <s v="Won"/>
    <d v="2024-01-26T00:00:00"/>
    <m/>
    <m/>
    <m/>
    <s v="IT/LAN Equipment"/>
    <m/>
    <m/>
    <m/>
    <m/>
    <m/>
    <m/>
    <m/>
    <m/>
    <n v="15245.5"/>
    <m/>
    <n v="13216.8"/>
    <s v="Anthony Kazlauskas"/>
    <n v="172.43950000000007"/>
  </r>
  <r>
    <x v="533"/>
    <s v="Laptop Stock Replenishment - Jan 2024"/>
    <s v="Won"/>
    <d v="2024-01-27T00:00:00"/>
    <m/>
    <m/>
    <m/>
    <s v="IT/LAN Equipment"/>
    <m/>
    <m/>
    <m/>
    <m/>
    <m/>
    <m/>
    <m/>
    <m/>
    <n v="3792"/>
    <m/>
    <n v="3405.92"/>
    <s v="Anthony Kazlauskas"/>
    <n v="32.816799999999994"/>
  </r>
  <r>
    <x v="534"/>
    <s v="Proactive Quote - Sonicwall Maintenance Renewal"/>
    <s v="Won"/>
    <d v="2024-01-29T00:00:00"/>
    <m/>
    <m/>
    <m/>
    <s v="IT/LAN Equipment"/>
    <m/>
    <m/>
    <m/>
    <m/>
    <m/>
    <m/>
    <m/>
    <m/>
    <n v="3223"/>
    <m/>
    <n v="2578.4"/>
    <s v="Anthony Kazlauskas"/>
    <n v="54.790999999999997"/>
  </r>
  <r>
    <x v="535"/>
    <s v="Quote #006684 2023 Q4 Vulnerability Scan Remediation"/>
    <s v="Won"/>
    <d v="2024-01-25T00:00:00"/>
    <n v="0"/>
    <m/>
    <m/>
    <s v="IT/LAN Installation"/>
    <m/>
    <m/>
    <m/>
    <m/>
    <m/>
    <m/>
    <m/>
    <m/>
    <n v="1320"/>
    <m/>
    <m/>
    <s v="Laura Emery"/>
    <n v="0"/>
  </r>
  <r>
    <x v="536"/>
    <s v="Dell Latitudex 2 - Fort Lee"/>
    <s v="Won"/>
    <d v="2024-01-30T00:00:00"/>
    <m/>
    <m/>
    <m/>
    <s v="IT/LAN Equipment"/>
    <m/>
    <m/>
    <m/>
    <m/>
    <m/>
    <m/>
    <m/>
    <m/>
    <n v="1629.04"/>
    <m/>
    <n v="1416.56"/>
    <s v="Anthony Kazlauskas"/>
    <n v="18.060800000000004"/>
  </r>
  <r>
    <x v="537"/>
    <s v="Engraver PC"/>
    <s v="Won"/>
    <d v="2024-01-30T00:00:00"/>
    <m/>
    <m/>
    <m/>
    <s v="IT/LAN Equipment"/>
    <m/>
    <m/>
    <m/>
    <m/>
    <m/>
    <m/>
    <m/>
    <m/>
    <n v="750.58"/>
    <m/>
    <n v="652.67999999999995"/>
    <s v="Anthony Kazlauskas"/>
    <n v="8.3215000000000074"/>
  </r>
  <r>
    <x v="538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8">
  <r>
    <n v="24731"/>
    <x v="0"/>
    <x v="0"/>
    <d v="2024-01-22T00:00:00"/>
    <s v="3. NRR - Renewal"/>
    <s v="Edwards &amp; Associates"/>
    <s v="WatchGuard T80 and AP225W - Due 2/4/2024"/>
    <n v="0"/>
    <n v="0"/>
    <n v="0"/>
    <n v="1"/>
    <n v="0"/>
    <n v="0"/>
    <n v="0"/>
    <n v="0"/>
    <d v="2024-03-01T00:00:00"/>
    <d v="2024-05-01T00:00:00"/>
  </r>
  <r>
    <n v="39495"/>
    <x v="1"/>
    <x v="1"/>
    <d v="2024-01-31T00:00:00"/>
    <s v="2. Up-sell / X-sell"/>
    <s v="Gulf Coast Office Products Inc"/>
    <s v="MPX LA - MS 365 Exchange Online Licenses"/>
    <n v="0"/>
    <n v="12.96"/>
    <n v="0"/>
    <n v="12"/>
    <n v="0.35"/>
    <n v="0"/>
    <s v="N/A"/>
    <n v="4.5359999999999996"/>
    <d v="2024-03-01T00:00:00"/>
    <d v="2024-05-01T00:00:00"/>
  </r>
  <r>
    <n v="39487"/>
    <x v="1"/>
    <x v="1"/>
    <d v="2024-01-31T00:00:00"/>
    <s v="2. Up-sell / X-sell"/>
    <s v="Life Storage 8007 (Balis Dr)"/>
    <s v="MPX LA - Replacement Cradlepoint"/>
    <n v="0"/>
    <n v="0"/>
    <n v="0"/>
    <n v="1"/>
    <n v="0"/>
    <n v="0"/>
    <n v="30.013999999999996"/>
    <n v="0"/>
    <d v="2024-03-01T00:00:00"/>
    <d v="2024-05-01T00:00:00"/>
  </r>
  <r>
    <n v="39462"/>
    <x v="1"/>
    <x v="1"/>
    <d v="2024-01-31T00:00:00"/>
    <s v="2. Up-sell / X-sell"/>
    <s v="Brookwood Management"/>
    <s v="MPX LA - Microsoft 365 Business Standard license"/>
    <n v="0"/>
    <n v="4.75"/>
    <n v="0"/>
    <n v="12"/>
    <n v="0.35"/>
    <n v="0"/>
    <s v="N/A"/>
    <n v="1.6624999999999999"/>
    <d v="2024-03-01T00:00:00"/>
    <d v="2024-05-01T00:00:00"/>
  </r>
  <r>
    <n v="28734"/>
    <x v="0"/>
    <x v="0"/>
    <d v="2024-01-09T00:00:00"/>
    <s v="3. NRR - Renewal"/>
    <s v="Hayata LTD"/>
    <s v="LabelView Renewal - Due 1/10/2024"/>
    <n v="0"/>
    <n v="0"/>
    <n v="0"/>
    <n v="1"/>
    <n v="0"/>
    <n v="0"/>
    <n v="0"/>
    <n v="0"/>
    <d v="2024-03-01T00:00:00"/>
    <d v="2024-05-01T00:00:00"/>
  </r>
  <r>
    <n v="39431"/>
    <x v="2"/>
    <x v="2"/>
    <d v="2024-01-29T00:00:00"/>
    <s v="2. Up-sell / X-sell"/>
    <s v="California Pacific Homes"/>
    <s v="M365 standard licenses (5) and Windows Server 2019 Standard (1)."/>
    <n v="0"/>
    <n v="11.25"/>
    <n v="0"/>
    <n v="12"/>
    <n v="0.15"/>
    <n v="0"/>
    <n v="11.972799999999998"/>
    <n v="1.6875"/>
    <d v="2024-03-01T00:00:00"/>
    <d v="2024-05-01T00:00:00"/>
  </r>
  <r>
    <n v="29991"/>
    <x v="0"/>
    <x v="0"/>
    <d v="2024-01-07T00:00:00"/>
    <s v="3. NRR - Renewal"/>
    <s v="Perryman Chaney Russell LLP"/>
    <s v="Microsoft Office SA Renewal - Due 1-31-2024"/>
    <n v="0"/>
    <n v="0"/>
    <n v="0"/>
    <n v="1"/>
    <n v="0"/>
    <n v="0"/>
    <n v="0"/>
    <n v="0"/>
    <d v="2024-03-01T00:00:00"/>
    <d v="2024-05-01T00:00:00"/>
  </r>
  <r>
    <n v="39410"/>
    <x v="3"/>
    <x v="2"/>
    <d v="2024-01-31T00:00:00"/>
    <s v="2. Up-sell / X-sell"/>
    <s v="Kraft Masonry"/>
    <s v="Add MS365 Defender to all remaining users"/>
    <n v="0"/>
    <n v="5.76"/>
    <n v="0"/>
    <n v="12"/>
    <n v="0.15"/>
    <n v="0"/>
    <s v="N/A"/>
    <n v="0.86399999999999999"/>
    <d v="2024-03-01T00:00:00"/>
    <d v="2024-05-01T00:00:00"/>
  </r>
  <r>
    <n v="30198"/>
    <x v="0"/>
    <x v="0"/>
    <d v="2024-01-29T00:00:00"/>
    <s v="3. NRR - Renewal"/>
    <s v="Texas Roof Management Inc"/>
    <s v="HPE 2530 24G PoE Switch Renewal - Due 2/03/2024"/>
    <n v="0"/>
    <n v="0"/>
    <n v="0"/>
    <n v="1"/>
    <n v="0"/>
    <n v="0"/>
    <n v="0"/>
    <n v="0"/>
    <d v="2024-03-01T00:00:00"/>
    <d v="2024-05-01T00:00:00"/>
  </r>
  <r>
    <n v="39402"/>
    <x v="3"/>
    <x v="2"/>
    <d v="2024-01-29T00:00:00"/>
    <s v="2. Up-sell / X-sell"/>
    <s v="ACF West"/>
    <s v="Upgrade all e3 and business standard licenses to business premium"/>
    <n v="0"/>
    <n v="48.46"/>
    <n v="0"/>
    <n v="12"/>
    <n v="0.15"/>
    <n v="0"/>
    <s v="N/A"/>
    <n v="7.2690000000000001"/>
    <d v="2024-03-01T00:00:00"/>
    <d v="2024-05-01T00:00:00"/>
  </r>
  <r>
    <n v="30511"/>
    <x v="0"/>
    <x v="0"/>
    <d v="2024-01-24T00:00:00"/>
    <s v="3. NRR - Renewal"/>
    <s v="4Front Engineered Solutions"/>
    <s v="Cisco Renewal Contract 204565740 204568256"/>
    <n v="0"/>
    <n v="0"/>
    <n v="0"/>
    <n v="0"/>
    <n v="0"/>
    <n v="0"/>
    <n v="0"/>
    <n v="0"/>
    <d v="2024-03-01T00:00:00"/>
    <d v="2024-05-01T00:00:00"/>
  </r>
  <r>
    <n v="39379"/>
    <x v="4"/>
    <x v="2"/>
    <d v="2024-01-30T00:00:00"/>
    <s v="5. Change Order"/>
    <s v="Circle-S Energy"/>
    <s v="Circle S_DIA"/>
    <n v="0"/>
    <n v="0"/>
    <n v="0"/>
    <n v="24"/>
    <n v="0.25"/>
    <n v="0"/>
    <s v="N/A"/>
    <n v="0"/>
    <d v="2024-03-01T00:00:00"/>
    <d v="2024-05-01T00:00:00"/>
  </r>
  <r>
    <n v="39374"/>
    <x v="1"/>
    <x v="1"/>
    <d v="2024-01-26T00:00:00"/>
    <s v="2. Up-sell / X-sell"/>
    <s v="Industrial Parts Specialties LLC"/>
    <s v="MPX LA - Additional Storage for their Cloud Server"/>
    <n v="0"/>
    <n v="64"/>
    <n v="0"/>
    <n v="36"/>
    <n v="1"/>
    <n v="0"/>
    <s v="N/A"/>
    <n v="64"/>
    <d v="2024-03-01T00:00:00"/>
    <d v="2024-05-01T00:00:00"/>
  </r>
  <r>
    <n v="39359"/>
    <x v="1"/>
    <x v="1"/>
    <d v="2024-01-26T00:00:00"/>
    <s v="2. Up-sell / X-sell"/>
    <s v="Richard D Bankston Attorney at Law"/>
    <s v="MPX LA - MS 365 Business Standard License"/>
    <n v="0"/>
    <n v="4.75"/>
    <n v="0"/>
    <n v="12"/>
    <n v="0.35"/>
    <n v="0"/>
    <s v="N/A"/>
    <n v="1.6624999999999999"/>
    <d v="2024-03-01T00:00:00"/>
    <d v="2024-05-01T00:00:00"/>
  </r>
  <r>
    <n v="39334"/>
    <x v="3"/>
    <x v="2"/>
    <d v="2024-01-26T00:00:00"/>
    <s v="2. Up-sell / X-sell"/>
    <s v="Innovative Sleep Centers"/>
    <s v="ISC #10502917 - Wendi Eden / Procure 1 EOP P1 for Kassandra Williams"/>
    <n v="0"/>
    <n v="0.72"/>
    <n v="0"/>
    <n v="12"/>
    <n v="0.15"/>
    <n v="0"/>
    <s v="N/A"/>
    <n v="0.108"/>
    <d v="2024-03-01T00:00:00"/>
    <d v="2024-05-01T00:00:00"/>
  </r>
  <r>
    <n v="39332"/>
    <x v="5"/>
    <x v="2"/>
    <d v="2024-01-31T00:00:00"/>
    <s v="2. Up-sell / X-sell"/>
    <s v="Dana Kepner"/>
    <s v="Time and Materials Agreement**"/>
    <n v="0"/>
    <n v="0"/>
    <n v="0"/>
    <n v="12"/>
    <n v="0.15"/>
    <n v="0"/>
    <s v="N/A"/>
    <n v="0"/>
    <d v="2024-03-01T00:00:00"/>
    <d v="2024-05-01T00:00:00"/>
  </r>
  <r>
    <n v="39331"/>
    <x v="6"/>
    <x v="2"/>
    <d v="2024-01-25T00:00:00"/>
    <s v="2. Up-sell / X-sell"/>
    <s v="Lebco Industries, LP"/>
    <s v="1 O365 Business Standard License"/>
    <n v="0"/>
    <n v="2.25"/>
    <n v="0"/>
    <n v="12"/>
    <n v="0.15"/>
    <n v="0"/>
    <s v="N/A"/>
    <n v="0.33749999999999997"/>
    <d v="2024-03-01T00:00:00"/>
    <d v="2024-05-01T00:00:00"/>
  </r>
  <r>
    <n v="39288"/>
    <x v="3"/>
    <x v="2"/>
    <d v="2024-01-26T00:00:00"/>
    <s v="2. Up-sell / X-sell"/>
    <s v="City of Warrenton"/>
    <s v="COW : #10509332 - Esther Moberg / Provision teams add on for 7 staff members"/>
    <n v="0"/>
    <n v="5.04"/>
    <n v="0"/>
    <n v="12"/>
    <n v="0.15"/>
    <n v="0"/>
    <s v="N/A"/>
    <n v="0.75600000000000001"/>
    <d v="2024-03-01T00:00:00"/>
    <d v="2024-05-01T00:00:00"/>
  </r>
  <r>
    <n v="31651"/>
    <x v="0"/>
    <x v="0"/>
    <d v="2024-01-05T00:00:00"/>
    <s v="3. NRR - Renewal"/>
    <s v="St Pius X Elementary School"/>
    <s v="Proofpoint Renewal - Annual Billing Due 1/01/2024"/>
    <n v="0"/>
    <n v="0"/>
    <n v="0"/>
    <n v="1"/>
    <n v="0"/>
    <n v="0"/>
    <n v="0"/>
    <n v="0"/>
    <d v="2024-03-01T00:00:00"/>
    <d v="2024-05-01T00:00:00"/>
  </r>
  <r>
    <n v="39231"/>
    <x v="7"/>
    <x v="3"/>
    <d v="2024-01-24T00:00:00"/>
    <s v="2. Up-sell / X-sell"/>
    <s v="Watson CPA"/>
    <s v="10504763 - Need to increase space on C drive on Hosted Virtual RDS Server"/>
    <n v="0"/>
    <n v="20"/>
    <n v="0"/>
    <n v="36"/>
    <n v="0.5"/>
    <n v="0"/>
    <s v="N/A"/>
    <n v="10"/>
    <d v="2024-03-01T00:00:00"/>
    <d v="2024-05-01T00:00:00"/>
  </r>
  <r>
    <n v="39226"/>
    <x v="3"/>
    <x v="2"/>
    <d v="2024-01-31T00:00:00"/>
    <s v="2. Up-sell / X-sell"/>
    <s v="Yamhill Community Care Organization"/>
    <s v="MS365 Defender for Remaining Users"/>
    <n v="0"/>
    <n v="1.32"/>
    <n v="0"/>
    <n v="12"/>
    <n v="0.15"/>
    <n v="0"/>
    <s v="N/A"/>
    <n v="0.19800000000000001"/>
    <d v="2024-03-01T00:00:00"/>
    <d v="2024-05-01T00:00:00"/>
  </r>
  <r>
    <n v="39217"/>
    <x v="5"/>
    <x v="2"/>
    <d v="2024-01-23T00:00:00"/>
    <s v="2. Up-sell / X-sell"/>
    <s v="Sterling Ranch Community Authority Board"/>
    <s v="Sterling Ranch CAB Time and Materials Agreement**"/>
    <n v="0"/>
    <n v="0"/>
    <n v="0"/>
    <n v="12"/>
    <n v="0.15"/>
    <n v="0"/>
    <s v="N/A"/>
    <n v="0"/>
    <d v="2024-03-01T00:00:00"/>
    <d v="2024-05-01T00:00:00"/>
  </r>
  <r>
    <n v="39212"/>
    <x v="4"/>
    <x v="2"/>
    <d v="2024-01-23T00:00:00"/>
    <s v="2. Up-sell / X-sell"/>
    <s v="E.L. Supermarket Distributor, Inc."/>
    <s v="E.L. Supermarket_RDP licenses"/>
    <n v="0"/>
    <n v="47.5"/>
    <n v="0"/>
    <n v="36"/>
    <n v="0.5"/>
    <n v="0"/>
    <s v="N/A"/>
    <n v="23.75"/>
    <d v="2024-03-01T00:00:00"/>
    <d v="2024-05-01T00:00:00"/>
  </r>
  <r>
    <n v="39206"/>
    <x v="8"/>
    <x v="1"/>
    <d v="2024-01-24T00:00:00"/>
    <s v="2. Up-sell / X-sell"/>
    <s v="FB Financial Holdings"/>
    <s v="FB Teams Dial2Teams Solutions - NYC Temporary Office"/>
    <n v="0"/>
    <n v="43.54"/>
    <n v="0"/>
    <n v="36"/>
    <n v="1"/>
    <n v="0"/>
    <n v="6.36"/>
    <n v="43.54"/>
    <d v="2024-03-01T00:00:00"/>
    <d v="2024-05-01T00:00:00"/>
  </r>
  <r>
    <n v="32824"/>
    <x v="9"/>
    <x v="2"/>
    <d v="2024-01-11T00:00:00"/>
    <s v="2. Up-sell / X-sell"/>
    <s v="Bank of Houston"/>
    <s v="SD-WAN Two Sites"/>
    <n v="0"/>
    <n v="570"/>
    <n v="0"/>
    <n v="36"/>
    <n v="0.5"/>
    <n v="0"/>
    <n v="24"/>
    <n v="285"/>
    <d v="2024-03-01T00:00:00"/>
    <d v="2024-05-01T00:00:00"/>
  </r>
  <r>
    <n v="39177"/>
    <x v="3"/>
    <x v="2"/>
    <d v="2024-01-24T00:00:00"/>
    <s v="2. Up-sell / X-sell"/>
    <s v="Southwest Accountable Comm of Health"/>
    <s v="10485666 - Project Plan 3 License for Eddie Gallagher"/>
    <n v="0"/>
    <n v="5.4"/>
    <n v="0"/>
    <n v="12"/>
    <n v="0.15"/>
    <n v="0"/>
    <s v="N/A"/>
    <n v="0.81"/>
    <d v="2024-03-01T00:00:00"/>
    <d v="2024-05-01T00:00:00"/>
  </r>
  <r>
    <n v="39170"/>
    <x v="10"/>
    <x v="2"/>
    <d v="2024-01-23T00:00:00"/>
    <s v="2. Up-sell / X-sell"/>
    <s v="Air Conditioning &amp; Refrigeration Ind."/>
    <s v="Quote #MPS123068 Microsoft NCE - ACR Trust - Power Automate Premium Addition"/>
    <n v="0"/>
    <n v="27"/>
    <n v="0"/>
    <n v="12"/>
    <n v="0"/>
    <n v="0"/>
    <n v="0"/>
    <n v="0"/>
    <d v="2024-03-01T00:00:00"/>
    <d v="2024-05-01T00:00:00"/>
  </r>
  <r>
    <n v="33161"/>
    <x v="11"/>
    <x v="2"/>
    <d v="2024-01-04T00:00:00"/>
    <s v="5. Change Order"/>
    <s v="PMQ Group, LLC dba Avita"/>
    <s v="Change Order Addition of two 80F Firewalls to Agreement #109512 Atlanta - SDWAN and Connectivity"/>
    <n v="0"/>
    <n v="-357.1"/>
    <n v="0"/>
    <n v="48"/>
    <n v="0.5"/>
    <n v="0"/>
    <s v="N/A"/>
    <n v="-178.55"/>
    <d v="2024-03-01T00:00:00"/>
    <d v="2024-05-01T00:00:00"/>
  </r>
  <r>
    <n v="39155"/>
    <x v="3"/>
    <x v="2"/>
    <d v="2024-01-25T00:00:00"/>
    <s v="2. Up-sell / X-sell"/>
    <s v="All Valley Washer Service Inc"/>
    <s v="Quote #MPS123082 Microsoft NCE - All Valley Washer - Additions"/>
    <n v="0"/>
    <n v="4.8"/>
    <n v="0"/>
    <n v="12"/>
    <n v="0.15"/>
    <n v="0"/>
    <n v="26.16"/>
    <n v="0.72"/>
    <d v="2024-03-01T00:00:00"/>
    <d v="2024-05-01T00:00:00"/>
  </r>
  <r>
    <n v="36444"/>
    <x v="11"/>
    <x v="0"/>
    <d v="2024-01-11T00:00:00"/>
    <s v="5. Change Order"/>
    <s v="OrthoSouth"/>
    <s v="Migration to SentinelOne EDR and XDR for OrthoSouth"/>
    <n v="0"/>
    <n v="0"/>
    <n v="0"/>
    <n v="36"/>
    <n v="0.5"/>
    <n v="0"/>
    <s v="N/A"/>
    <n v="0"/>
    <d v="2024-03-01T00:00:00"/>
    <d v="2024-05-01T00:00:00"/>
  </r>
  <r>
    <n v="36761"/>
    <x v="9"/>
    <x v="3"/>
    <d v="2024-01-22T00:00:00"/>
    <s v="4. Renewal - MRR"/>
    <s v="AIV, L.P."/>
    <s v="Contract Consolidation SD-WAN"/>
    <s v="Yes"/>
    <n v="0"/>
    <n v="3742"/>
    <n v="36"/>
    <n v="0"/>
    <n v="0.25"/>
    <s v="N/A"/>
    <n v="935.5"/>
    <d v="2024-03-01T00:00:00"/>
    <d v="2024-05-01T00:00:00"/>
  </r>
  <r>
    <n v="37592"/>
    <x v="12"/>
    <x v="3"/>
    <d v="2024-01-11T00:00:00"/>
    <s v="4. Renewal - MRR"/>
    <s v="Brown &amp; Gay Engineers, Inc."/>
    <s v="Managed Cloud Security"/>
    <s v="Yes"/>
    <n v="0"/>
    <n v="6300"/>
    <n v="36"/>
    <n v="0"/>
    <n v="0.25"/>
    <n v="252"/>
    <n v="1575"/>
    <d v="2024-03-01T00:00:00"/>
    <d v="2024-05-01T00:00:00"/>
  </r>
  <r>
    <n v="39093"/>
    <x v="2"/>
    <x v="2"/>
    <d v="2024-01-18T00:00:00"/>
    <s v="2. Up-sell / X-sell"/>
    <s v="Financial Synergistics Group, Inc."/>
    <s v="1 Business Standard License"/>
    <n v="0"/>
    <n v="2.25"/>
    <n v="0"/>
    <n v="12"/>
    <n v="0.15"/>
    <n v="0"/>
    <s v="N/A"/>
    <n v="0.33749999999999997"/>
    <d v="2024-03-01T00:00:00"/>
    <d v="2024-05-01T00:00:00"/>
  </r>
  <r>
    <n v="39068"/>
    <x v="8"/>
    <x v="1"/>
    <d v="2024-01-18T00:00:00"/>
    <s v="2. Up-sell / X-sell"/>
    <s v="DII Industries, LLC Asbestos PI Trust"/>
    <s v="DII Trust Kaseya Datto BaaS Month-to-Month"/>
    <n v="0"/>
    <n v="686.9"/>
    <n v="0"/>
    <n v="1"/>
    <n v="0"/>
    <n v="0"/>
    <s v="N/A"/>
    <n v="0"/>
    <d v="2024-03-01T00:00:00"/>
    <d v="2024-05-01T00:00:00"/>
  </r>
  <r>
    <n v="39053"/>
    <x v="3"/>
    <x v="2"/>
    <d v="2024-01-22T00:00:00"/>
    <s v="2. Up-sell / X-sell"/>
    <s v="Starwest Botanicals, Inc."/>
    <s v="#10485312 - KnowBe4 Quote"/>
    <n v="0"/>
    <n v="595"/>
    <n v="0"/>
    <n v="36"/>
    <n v="0.5"/>
    <n v="0"/>
    <n v="18"/>
    <n v="297.5"/>
    <d v="2024-03-01T00:00:00"/>
    <d v="2024-05-01T00:00:00"/>
  </r>
  <r>
    <n v="39050"/>
    <x v="3"/>
    <x v="2"/>
    <d v="2024-01-24T00:00:00"/>
    <s v="4. Renewal - MRR"/>
    <s v="Beardsley Building Development"/>
    <s v="#10481939 - Tom Carrollo /email box full for John Beardsley + annual renewal for orga"/>
    <n v="0"/>
    <n v="0.91"/>
    <n v="27.21"/>
    <n v="12"/>
    <n v="0.15"/>
    <n v="0"/>
    <s v="N/A"/>
    <n v="0.13650000000000001"/>
    <d v="2024-03-01T00:00:00"/>
    <d v="2024-05-01T00:00:00"/>
  </r>
  <r>
    <n v="39049"/>
    <x v="5"/>
    <x v="2"/>
    <d v="2024-01-18T00:00:00"/>
    <s v="2. Up-sell / X-sell"/>
    <s v="GEX Corporation"/>
    <s v="Microsoft Licensing"/>
    <n v="0"/>
    <n v="1.77"/>
    <n v="0"/>
    <n v="12"/>
    <n v="0.15"/>
    <n v="0"/>
    <s v="N/A"/>
    <n v="0.26550000000000001"/>
    <d v="2024-03-01T00:00:00"/>
    <d v="2024-05-01T00:00:00"/>
  </r>
  <r>
    <n v="39029"/>
    <x v="4"/>
    <x v="2"/>
    <d v="2024-01-19T00:00:00"/>
    <s v="2. Up-sell / X-sell"/>
    <s v="E.L. Supermarket Distributor, Inc."/>
    <s v="Talpa 13"/>
    <n v="0"/>
    <n v="1511"/>
    <n v="0"/>
    <n v="36"/>
    <n v="0.5"/>
    <n v="0"/>
    <n v="137.25399999999999"/>
    <n v="755.5"/>
    <d v="2024-03-01T00:00:00"/>
    <d v="2024-05-01T00:00:00"/>
  </r>
  <r>
    <n v="39025"/>
    <x v="4"/>
    <x v="2"/>
    <d v="2024-01-19T00:00:00"/>
    <s v="4. Renewal - MRR"/>
    <s v="Wave Electronics"/>
    <s v="Need ELS on 3 DID's"/>
    <n v="0"/>
    <n v="41.1"/>
    <n v="0.9"/>
    <n v="36"/>
    <n v="0.5"/>
    <n v="0.25"/>
    <n v="0.12"/>
    <n v="20.775000000000002"/>
    <d v="2024-03-01T00:00:00"/>
    <d v="2024-05-01T00:00:00"/>
  </r>
  <r>
    <n v="39023"/>
    <x v="4"/>
    <x v="2"/>
    <d v="2024-01-17T00:00:00"/>
    <s v="2. Up-sell / X-sell"/>
    <s v="Graco Oilfield Services"/>
    <s v="10482688 - Microsoft Copilot for Microsoft 365 License for Jon Rambo"/>
    <n v="0"/>
    <n v="1.65"/>
    <n v="0"/>
    <n v="12"/>
    <n v="0.15"/>
    <n v="0"/>
    <s v="N/A"/>
    <n v="0.24749999999999997"/>
    <d v="2024-03-01T00:00:00"/>
    <d v="2024-05-01T00:00:00"/>
  </r>
  <r>
    <n v="39009"/>
    <x v="3"/>
    <x v="2"/>
    <d v="2024-01-25T00:00:00"/>
    <s v="5. Change Order"/>
    <s v="St. Honore Bakery"/>
    <s v="Remove Entra ID p1 license"/>
    <n v="0"/>
    <n v="-1.08"/>
    <n v="0"/>
    <n v="12"/>
    <n v="0.15"/>
    <n v="0"/>
    <s v="N/A"/>
    <n v="-0.16200000000000001"/>
    <d v="2024-03-01T00:00:00"/>
    <d v="2024-05-01T00:00:00"/>
  </r>
  <r>
    <n v="39000"/>
    <x v="4"/>
    <x v="2"/>
    <d v="2024-01-17T00:00:00"/>
    <s v="2. Up-sell / X-sell"/>
    <s v="Graco Oilfield Services"/>
    <s v="New Location - Midland - LTE, SDWAN, Switch, and WAP + Install"/>
    <n v="0"/>
    <n v="549"/>
    <n v="0"/>
    <n v="36"/>
    <n v="0.5"/>
    <n v="0"/>
    <n v="107.1896"/>
    <n v="274.5"/>
    <d v="2024-03-01T00:00:00"/>
    <d v="2024-05-01T00:00:00"/>
  </r>
  <r>
    <n v="38987"/>
    <x v="3"/>
    <x v="2"/>
    <d v="2024-01-16T00:00:00"/>
    <s v="2. Up-sell / X-sell"/>
    <s v="Asher Community Health Center"/>
    <s v="#10478175 - Susan Moore/Quote on Office 365 E3 license"/>
    <n v="0"/>
    <n v="4.1399999999999997"/>
    <n v="0"/>
    <n v="12"/>
    <n v="0.15"/>
    <n v="0"/>
    <s v="N/A"/>
    <n v="0.62099999999999989"/>
    <d v="2024-03-01T00:00:00"/>
    <d v="2024-05-01T00:00:00"/>
  </r>
  <r>
    <n v="38986"/>
    <x v="6"/>
    <x v="2"/>
    <d v="2024-01-16T00:00:00"/>
    <s v="2. Up-sell / X-sell"/>
    <s v="SCI Shared Resources, LLC"/>
    <s v="Loc. 7304 - St. Laurent Funeral Home - Voice"/>
    <n v="0"/>
    <n v="17"/>
    <n v="0"/>
    <n v="36"/>
    <n v="0.5"/>
    <n v="0"/>
    <s v="N/A"/>
    <n v="8.5"/>
    <d v="2024-03-01T00:00:00"/>
    <d v="2024-05-01T00:00:00"/>
  </r>
  <r>
    <n v="37623"/>
    <x v="9"/>
    <x v="0"/>
    <d v="2024-01-31T00:00:00"/>
    <s v="3. NRR - Renewal"/>
    <s v="Bowen Miclette and Britt"/>
    <s v="Nimble Support Renewal"/>
    <n v="0"/>
    <n v="0"/>
    <n v="0"/>
    <n v="1"/>
    <n v="0"/>
    <n v="0"/>
    <n v="613.03275000000008"/>
    <n v="0"/>
    <d v="2024-03-01T00:00:00"/>
    <d v="2024-05-01T00:00:00"/>
  </r>
  <r>
    <n v="38949"/>
    <x v="1"/>
    <x v="1"/>
    <d v="2024-01-18T00:00:00"/>
    <s v="2. Up-sell / X-sell"/>
    <s v="18th JDC District Attorney?s Office"/>
    <s v="MPX LA - Domain renewals"/>
    <n v="0"/>
    <n v="0"/>
    <n v="0"/>
    <n v="1"/>
    <n v="0"/>
    <n v="0"/>
    <n v="0.31279999999999997"/>
    <n v="0"/>
    <d v="2024-03-01T00:00:00"/>
    <d v="2024-05-01T00:00:00"/>
  </r>
  <r>
    <n v="38948"/>
    <x v="3"/>
    <x v="2"/>
    <d v="2024-01-17T00:00:00"/>
    <s v="2. Up-sell / X-sell"/>
    <s v="Kuenzi &amp; Company"/>
    <s v="Ticket #10433776 - Kuenzi &amp; Company - Other Stellr Microsoft NCE Subscriptions Various will"/>
    <n v="0"/>
    <n v="-11.52"/>
    <n v="0"/>
    <n v="12"/>
    <n v="0.15"/>
    <n v="0"/>
    <s v="N/A"/>
    <n v="-1.728"/>
    <d v="2024-03-01T00:00:00"/>
    <d v="2024-05-01T00:00:00"/>
  </r>
  <r>
    <n v="38932"/>
    <x v="3"/>
    <x v="2"/>
    <d v="2024-01-18T00:00:00"/>
    <s v="2. Up-sell / X-sell"/>
    <s v="Oregon City Family Practice Clinic, PC"/>
    <s v="OCFP: #10463357 - Rhonda Heryford/Quote for 2 Office 365 E3 licenses"/>
    <n v="0"/>
    <n v="8.2799999999999994"/>
    <n v="0"/>
    <n v="12"/>
    <n v="0.15"/>
    <n v="0"/>
    <s v="N/A"/>
    <n v="1.2419999999999998"/>
    <d v="2024-03-01T00:00:00"/>
    <d v="2024-05-01T00:00:00"/>
  </r>
  <r>
    <n v="38931"/>
    <x v="3"/>
    <x v="2"/>
    <d v="2024-01-24T00:00:00"/>
    <s v="5. Change Order"/>
    <s v="Redmond Medical Clinic"/>
    <s v="MS365 Annual Renewal and Truedown"/>
    <n v="0"/>
    <n v="-4.6900000000000004"/>
    <n v="0"/>
    <n v="12"/>
    <n v="0.15"/>
    <n v="0"/>
    <s v="N/A"/>
    <n v="-0.70350000000000001"/>
    <d v="2024-03-01T00:00:00"/>
    <d v="2024-05-01T00:00:00"/>
  </r>
  <r>
    <n v="38905"/>
    <x v="3"/>
    <x v="2"/>
    <d v="2024-01-16T00:00:00"/>
    <s v="2. Up-sell / X-sell"/>
    <s v="Kuenzi &amp; Company"/>
    <s v="Knowbe4 Implementation"/>
    <n v="0"/>
    <n v="105"/>
    <n v="0"/>
    <n v="36"/>
    <n v="0.5"/>
    <n v="0"/>
    <n v="27"/>
    <n v="52.5"/>
    <d v="2024-03-01T00:00:00"/>
    <d v="2024-05-01T00:00:00"/>
  </r>
  <r>
    <n v="38879"/>
    <x v="3"/>
    <x v="2"/>
    <d v="2024-01-12T00:00:00"/>
    <s v="2. Up-sell / X-sell"/>
    <s v="Kuenzi &amp; Company"/>
    <s v="3 business premiums MtM for Interns"/>
    <n v="0"/>
    <n v="25.08"/>
    <n v="0"/>
    <n v="1"/>
    <n v="0"/>
    <n v="0"/>
    <s v="N/A"/>
    <n v="0"/>
    <d v="2024-03-01T00:00:00"/>
    <d v="2024-05-01T00:00:00"/>
  </r>
  <r>
    <n v="38869"/>
    <x v="5"/>
    <x v="2"/>
    <d v="2024-01-17T00:00:00"/>
    <s v="2. Up-sell / X-sell"/>
    <s v="BCER Group"/>
    <s v="DaaS Laptop"/>
    <n v="0"/>
    <n v="55"/>
    <n v="0"/>
    <n v="36"/>
    <n v="0.5"/>
    <n v="0"/>
    <s v="N/A"/>
    <n v="27.5"/>
    <d v="2024-03-01T00:00:00"/>
    <d v="2024-05-01T00:00:00"/>
  </r>
  <r>
    <n v="37766"/>
    <x v="9"/>
    <x v="0"/>
    <d v="2024-01-23T00:00:00"/>
    <s v="3. NRR - Renewal"/>
    <s v="AIV, L.P."/>
    <s v="10318607 - Fortinet Renewal 1-Year 24x7 UTM For firewall FG100FTK22016720"/>
    <n v="0"/>
    <n v="0"/>
    <n v="0"/>
    <n v="1"/>
    <n v="0"/>
    <n v="0"/>
    <n v="28.220000000000002"/>
    <n v="0"/>
    <d v="2024-03-01T00:00:00"/>
    <d v="2024-05-01T00:00:00"/>
  </r>
  <r>
    <n v="38807"/>
    <x v="7"/>
    <x v="3"/>
    <d v="2024-01-12T00:00:00"/>
    <s v="2. Up-sell / X-sell"/>
    <s v="Blackford"/>
    <s v="10466676 - DUO Licenses"/>
    <n v="0"/>
    <n v="0"/>
    <n v="0"/>
    <n v="1"/>
    <n v="0"/>
    <n v="0"/>
    <n v="184"/>
    <n v="0"/>
    <d v="2024-03-01T00:00:00"/>
    <d v="2024-05-01T00:00:00"/>
  </r>
  <r>
    <n v="37784"/>
    <x v="9"/>
    <x v="0"/>
    <d v="2024-01-17T00:00:00"/>
    <s v="2. Up-sell / X-sell"/>
    <s v="Baptist Sunday School Cmte"/>
    <s v="New ESX Server and Switches"/>
    <n v="0"/>
    <n v="0"/>
    <n v="0"/>
    <n v="1"/>
    <n v="0"/>
    <n v="0"/>
    <n v="1179.3138000000001"/>
    <n v="0"/>
    <d v="2024-03-01T00:00:00"/>
    <d v="2024-05-01T00:00:00"/>
  </r>
  <r>
    <n v="37814"/>
    <x v="9"/>
    <x v="3"/>
    <d v="2024-01-12T00:00:00"/>
    <s v="4. Renewal - MRR"/>
    <s v="Evelyn Rubenstein Jewish Community Center"/>
    <s v="SD-WAN Renewal"/>
    <s v="Yes"/>
    <n v="0"/>
    <n v="6033"/>
    <n v="36"/>
    <n v="0"/>
    <n v="0.25"/>
    <n v="6"/>
    <n v="1508.25"/>
    <d v="2024-03-01T00:00:00"/>
    <d v="2024-05-01T00:00:00"/>
  </r>
  <r>
    <n v="37886"/>
    <x v="12"/>
    <x v="0"/>
    <d v="2024-01-12T00:00:00"/>
    <s v="2. Up-sell / X-sell"/>
    <s v="River Oaks Baptist School"/>
    <s v="Switch Refresh Block"/>
    <n v="0"/>
    <n v="0"/>
    <n v="0"/>
    <n v="0"/>
    <n v="0"/>
    <n v="0"/>
    <n v="820"/>
    <n v="0"/>
    <d v="2024-03-01T00:00:00"/>
    <d v="2024-05-01T00:00:00"/>
  </r>
  <r>
    <n v="38095"/>
    <x v="11"/>
    <x v="0"/>
    <d v="2024-01-17T00:00:00"/>
    <s v="2. Up-sell / X-sell"/>
    <s v="OCC MSO, LLC"/>
    <s v="CCOE-Firewall replacement"/>
    <n v="0"/>
    <n v="0"/>
    <n v="0"/>
    <n v="1"/>
    <n v="0"/>
    <n v="0"/>
    <n v="189.06815"/>
    <n v="0"/>
    <d v="2024-03-01T00:00:00"/>
    <d v="2024-05-01T00:00:00"/>
  </r>
  <r>
    <n v="38271"/>
    <x v="11"/>
    <x v="0"/>
    <d v="2024-01-10T00:00:00"/>
    <s v="2. Up-sell / X-sell"/>
    <s v="OrthoSouth"/>
    <s v="HP Docking Stations"/>
    <n v="0"/>
    <n v="0"/>
    <n v="0"/>
    <n v="1"/>
    <n v="0"/>
    <n v="0"/>
    <n v="27.183"/>
    <n v="0"/>
    <d v="2024-03-01T00:00:00"/>
    <d v="2024-05-01T00:00:00"/>
  </r>
  <r>
    <n v="38754"/>
    <x v="1"/>
    <x v="1"/>
    <d v="2024-01-10T00:00:00"/>
    <s v="2. Up-sell / X-sell"/>
    <s v="Allied Power"/>
    <s v="MPX LA - Automate Premium license"/>
    <n v="0"/>
    <n v="64.31"/>
    <n v="0"/>
    <n v="36"/>
    <n v="1"/>
    <n v="0"/>
    <s v="N/A"/>
    <n v="64.31"/>
    <d v="2024-03-01T00:00:00"/>
    <d v="2024-05-01T00:00:00"/>
  </r>
  <r>
    <n v="38294"/>
    <x v="9"/>
    <x v="0"/>
    <d v="2024-01-17T00:00:00"/>
    <s v="2. Up-sell / X-sell"/>
    <s v="Tilson Homes Corporation"/>
    <s v="Samartnet Renewal"/>
    <n v="0"/>
    <n v="0"/>
    <n v="0"/>
    <n v="1"/>
    <n v="0"/>
    <n v="0"/>
    <n v="23.375"/>
    <n v="0"/>
    <d v="2024-03-01T00:00:00"/>
    <d v="2024-05-01T00:00:00"/>
  </r>
  <r>
    <n v="38703"/>
    <x v="13"/>
    <x v="3"/>
    <d v="2024-01-11T00:00:00"/>
    <s v="4. Renewal - MRR"/>
    <s v="Fabre Automotive - Baton Rouge"/>
    <s v="MPX LA - Convert BUS Basic license for Chris Tubbe"/>
    <n v="0"/>
    <n v="1.0900000000000001"/>
    <n v="1.55"/>
    <n v="12"/>
    <n v="0"/>
    <n v="0"/>
    <s v="N/A"/>
    <n v="0"/>
    <d v="2024-03-01T00:00:00"/>
    <d v="2024-05-01T00:00:00"/>
  </r>
  <r>
    <n v="38299"/>
    <x v="12"/>
    <x v="0"/>
    <d v="2024-01-09T00:00:00"/>
    <s v="2. Up-sell / X-sell"/>
    <s v="First State Bank of Livingston"/>
    <s v="31 monitors"/>
    <n v="0"/>
    <n v="0"/>
    <n v="0"/>
    <n v="1"/>
    <n v="0"/>
    <n v="0"/>
    <n v="105.97969999999998"/>
    <n v="0"/>
    <d v="2024-03-01T00:00:00"/>
    <d v="2024-05-01T00:00:00"/>
  </r>
  <r>
    <n v="38303"/>
    <x v="11"/>
    <x v="3"/>
    <d v="2024-01-09T00:00:00"/>
    <s v="2. Up-sell / X-sell"/>
    <s v="OrthoSouth"/>
    <s v="Southhaven POTs line"/>
    <n v="0"/>
    <n v="35"/>
    <n v="0"/>
    <n v="36"/>
    <n v="0.5"/>
    <n v="0"/>
    <n v="1.4000000000000001"/>
    <n v="17.5"/>
    <d v="2024-03-01T00:00:00"/>
    <d v="2024-05-01T00:00:00"/>
  </r>
  <r>
    <n v="38699"/>
    <x v="6"/>
    <x v="2"/>
    <d v="2024-01-25T00:00:00"/>
    <s v="5. Change Order"/>
    <s v="State Bank of Dekalb"/>
    <s v="Upgrade Richmond Road Velo Appliance to 1GB Throughput"/>
    <n v="0"/>
    <n v="221"/>
    <n v="0"/>
    <n v="24"/>
    <n v="0.25"/>
    <n v="0"/>
    <n v="12"/>
    <n v="55.25"/>
    <d v="2024-03-01T00:00:00"/>
    <d v="2024-05-01T00:00:00"/>
  </r>
  <r>
    <n v="38680"/>
    <x v="6"/>
    <x v="2"/>
    <d v="2024-01-09T00:00:00"/>
    <s v="2. Up-sell / X-sell"/>
    <s v="Star International"/>
    <s v="(1) M365 Business Standard"/>
    <n v="0"/>
    <n v="2.25"/>
    <n v="0"/>
    <n v="12"/>
    <n v="0.15"/>
    <n v="0"/>
    <s v="N/A"/>
    <n v="0.33749999999999997"/>
    <d v="2024-03-01T00:00:00"/>
    <d v="2024-05-01T00:00:00"/>
  </r>
  <r>
    <n v="38676"/>
    <x v="5"/>
    <x v="2"/>
    <d v="2024-01-12T00:00:00"/>
    <s v="5. Change Order"/>
    <s v="Archdiocese of Denver Mgmt Corp"/>
    <s v="10454734 - Change Order 9174482 New Microsoft Academic Tenant"/>
    <n v="0"/>
    <n v="-31.81"/>
    <n v="0"/>
    <n v="36"/>
    <n v="0.5"/>
    <n v="0"/>
    <n v="-30.72"/>
    <n v="-15.904999999999999"/>
    <d v="2024-03-01T00:00:00"/>
    <d v="2024-05-01T00:00:00"/>
  </r>
  <r>
    <n v="38668"/>
    <x v="13"/>
    <x v="3"/>
    <d v="2024-01-08T00:00:00"/>
    <s v="2. Up-sell / X-sell"/>
    <s v="City Heights Asset Mgmt Inc"/>
    <s v="MPX LA - Additional MS 365 Business Standard Licenses"/>
    <n v="0"/>
    <n v="9.5"/>
    <n v="0"/>
    <n v="36"/>
    <n v="0"/>
    <n v="0"/>
    <s v="N/A"/>
    <n v="0"/>
    <d v="2024-03-01T00:00:00"/>
    <d v="2024-05-01T00:00:00"/>
  </r>
  <r>
    <n v="38661"/>
    <x v="13"/>
    <x v="3"/>
    <d v="2024-01-08T00:00:00"/>
    <s v="2. Up-sell / X-sell"/>
    <s v="Gulf Coast Office Products Inc"/>
    <s v="MPX LA - 18 Exchange Online Plan 1 Licenses"/>
    <n v="0"/>
    <n v="26.64"/>
    <n v="0"/>
    <n v="36"/>
    <n v="0"/>
    <n v="0"/>
    <s v="N/A"/>
    <n v="0"/>
    <d v="2024-03-01T00:00:00"/>
    <d v="2024-05-01T00:00:00"/>
  </r>
  <r>
    <n v="38306"/>
    <x v="0"/>
    <x v="0"/>
    <d v="2024-01-22T00:00:00"/>
    <s v="3. NRR - Renewal"/>
    <s v="Legacy Senior Communities"/>
    <s v="LWB: WatchGuard Total AP Renewal - Due 2/15/2024"/>
    <n v="0"/>
    <n v="0"/>
    <n v="0"/>
    <n v="1"/>
    <n v="0"/>
    <n v="0"/>
    <n v="0"/>
    <n v="0"/>
    <d v="2024-03-01T00:00:00"/>
    <d v="2024-05-01T00:00:00"/>
  </r>
  <r>
    <n v="38649"/>
    <x v="5"/>
    <x v="2"/>
    <d v="2024-01-05T00:00:00"/>
    <s v="2. Up-sell / X-sell"/>
    <s v="The Challenger Group"/>
    <s v="MS Teams Room Basic License"/>
    <n v="0"/>
    <n v="0"/>
    <n v="0"/>
    <n v="12"/>
    <n v="0.15"/>
    <n v="0"/>
    <s v="N/A"/>
    <n v="0"/>
    <d v="2024-03-01T00:00:00"/>
    <d v="2024-05-01T00:00:00"/>
  </r>
  <r>
    <n v="38358"/>
    <x v="12"/>
    <x v="3"/>
    <d v="2024-01-24T00:00:00"/>
    <s v="2. Up-sell / X-sell"/>
    <s v="Hanwha Ocean Houston"/>
    <s v="MSP"/>
    <n v="0"/>
    <n v="322.5"/>
    <n v="0"/>
    <n v="36"/>
    <n v="0.5"/>
    <n v="0"/>
    <n v="20"/>
    <n v="161.25"/>
    <d v="2024-03-01T00:00:00"/>
    <d v="2024-05-01T00:00:00"/>
  </r>
  <r>
    <n v="38410"/>
    <x v="11"/>
    <x v="2"/>
    <d v="2024-01-11T00:00:00"/>
    <s v="2. Up-sell / X-sell"/>
    <s v="Panorama Orthopedics &amp; Spine Center"/>
    <s v="10419271 - Microsoft Visio Plan 2 License for Dyana Garcia - RCM Manager"/>
    <n v="0"/>
    <n v="2.7"/>
    <n v="0"/>
    <n v="12"/>
    <n v="0.125"/>
    <n v="0"/>
    <s v="N/A"/>
    <n v="0.33750000000000002"/>
    <d v="2024-03-01T00:00:00"/>
    <d v="2024-05-01T00:00:00"/>
  </r>
  <r>
    <n v="38606"/>
    <x v="8"/>
    <x v="1"/>
    <d v="2024-01-24T00:00:00"/>
    <s v="5. Change Order"/>
    <s v="FB Financial Holdings"/>
    <s v="FB Austin Amendment- To MSP Agreement MPS119141 adding VMP ConnectSecure"/>
    <n v="0"/>
    <n v="27.5"/>
    <n v="0"/>
    <n v="36"/>
    <n v="1"/>
    <n v="0"/>
    <s v="N/A"/>
    <n v="27.5"/>
    <d v="2024-03-01T00:00:00"/>
    <d v="2024-05-01T00:00:00"/>
  </r>
  <r>
    <n v="38439"/>
    <x v="11"/>
    <x v="2"/>
    <d v="2024-01-04T00:00:00"/>
    <s v="2. Up-sell / X-sell"/>
    <s v="Centeno Schultz"/>
    <s v="Cyber Security training"/>
    <n v="0"/>
    <n v="247.5"/>
    <n v="0"/>
    <n v="36"/>
    <n v="0.5"/>
    <n v="0"/>
    <s v="N/A"/>
    <n v="123.75"/>
    <d v="2024-03-01T00:00:00"/>
    <d v="2024-05-01T00:00:00"/>
  </r>
  <r>
    <n v="38593"/>
    <x v="13"/>
    <x v="3"/>
    <d v="2024-01-04T00:00:00"/>
    <s v="2. Up-sell / X-sell"/>
    <s v="M&amp;M Glass Company"/>
    <s v="MPX LA - Two Project Plan 1 licenses"/>
    <n v="0"/>
    <n v="5.82"/>
    <n v="0"/>
    <n v="36"/>
    <n v="0"/>
    <n v="0"/>
    <s v="N/A"/>
    <n v="0"/>
    <d v="2024-03-01T00:00:00"/>
    <d v="2024-05-01T00:00:00"/>
  </r>
  <r>
    <n v="38579"/>
    <x v="5"/>
    <x v="2"/>
    <d v="2024-01-04T00:00:00"/>
    <s v="5. Change Order"/>
    <s v="The Catholic Foundation of Northern Colo"/>
    <s v="10444946 - Change order to: Opportunity 31994 - SharePoint Build and Migration"/>
    <n v="0"/>
    <n v="-236.7"/>
    <n v="0"/>
    <n v="36"/>
    <n v="0.5"/>
    <n v="0"/>
    <s v="N/A"/>
    <n v="-118.35"/>
    <d v="2024-03-01T00:00:00"/>
    <d v="2024-05-01T00:00:00"/>
  </r>
  <r>
    <n v="38566"/>
    <x v="3"/>
    <x v="2"/>
    <d v="2024-01-05T00:00:00"/>
    <s v="2. Up-sell / X-sell"/>
    <s v="Willamette View"/>
    <s v="10443254 - (3) Microsoft Office 365 F1 for Nonprofits Licenses"/>
    <n v="0"/>
    <n v="0.15"/>
    <n v="0"/>
    <n v="1"/>
    <n v="0"/>
    <n v="0"/>
    <s v="N/A"/>
    <n v="0"/>
    <d v="2024-03-01T00:00:00"/>
    <d v="2024-05-01T00:00:00"/>
  </r>
  <r>
    <n v="38565"/>
    <x v="5"/>
    <x v="2"/>
    <d v="2024-01-04T00:00:00"/>
    <s v="2. Up-sell / X-sell"/>
    <s v="BCER Group"/>
    <s v="10443248 - Another DaaS Laptop"/>
    <n v="0"/>
    <n v="55"/>
    <n v="0"/>
    <n v="36"/>
    <n v="0.5"/>
    <n v="0"/>
    <s v="N/A"/>
    <n v="27.5"/>
    <d v="2024-03-01T00:00:00"/>
    <d v="2024-05-01T00:00:00"/>
  </r>
  <r>
    <n v="38564"/>
    <x v="3"/>
    <x v="2"/>
    <d v="2024-01-05T00:00:00"/>
    <s v="4. Renewal - MRR"/>
    <s v="City of Warrenton"/>
    <s v="10443227 - Microsoft 365 Licensing - Renewal and Consolidation to Annual Upfront Payment"/>
    <s v="Yes"/>
    <n v="0"/>
    <n v="210"/>
    <n v="12"/>
    <n v="0"/>
    <n v="0"/>
    <s v="N/A"/>
    <n v="0"/>
    <d v="2024-03-01T00:00:00"/>
    <d v="2024-05-01T00:00:00"/>
  </r>
  <r>
    <n v="38457"/>
    <x v="11"/>
    <x v="2"/>
    <d v="2024-01-04T00:00:00"/>
    <s v="2. Up-sell / X-sell"/>
    <s v="BoulderCentre for Orthopedics &amp; Spine"/>
    <s v="10430576 - 3 Microsoft O365 Business Standard Licenses"/>
    <n v="0"/>
    <n v="6.75"/>
    <n v="0"/>
    <n v="12"/>
    <n v="0.125"/>
    <n v="0"/>
    <s v="N/A"/>
    <n v="0.84375"/>
    <d v="2024-03-01T00:00:00"/>
    <d v="2024-05-01T00:00:00"/>
  </r>
  <r>
    <n v="38482"/>
    <x v="9"/>
    <x v="0"/>
    <d v="2024-01-02T00:00:00"/>
    <s v="2. Up-sell / X-sell"/>
    <s v="Integrity Bank"/>
    <s v="Fiber Modules"/>
    <n v="0"/>
    <n v="0"/>
    <n v="0"/>
    <n v="1"/>
    <n v="0"/>
    <n v="0"/>
    <n v="2.5091999999999999"/>
    <n v="0"/>
    <d v="2024-03-01T00:00:00"/>
    <d v="2024-05-01T00:00:00"/>
  </r>
  <r>
    <n v="38537"/>
    <x v="13"/>
    <x v="3"/>
    <d v="2024-01-03T00:00:00"/>
    <s v="2. Up-sell / X-sell"/>
    <s v="Loadstar Product Handling Services LLC"/>
    <s v="2 x MSO365 Business Standard Licenses"/>
    <n v="0"/>
    <n v="7.28"/>
    <n v="0"/>
    <n v="36"/>
    <n v="0"/>
    <n v="0"/>
    <s v="N/A"/>
    <n v="0"/>
    <d v="2024-03-01T00:00:00"/>
    <d v="2024-05-01T00:00:00"/>
  </r>
  <r>
    <n v="38486"/>
    <x v="6"/>
    <x v="2"/>
    <d v="2024-01-03T00:00:00"/>
    <s v="2. Up-sell / X-sell"/>
    <s v="Miller Co Prosecuting Atty's Ofc"/>
    <s v="(1) M365 Business Standard License"/>
    <n v="0"/>
    <n v="2.25"/>
    <n v="0"/>
    <n v="12"/>
    <n v="0.15"/>
    <n v="0"/>
    <s v="N/A"/>
    <n v="0.33749999999999997"/>
    <d v="2024-03-01T00:00:00"/>
    <d v="2024-05-01T00:00:00"/>
  </r>
  <r>
    <n v="38483"/>
    <x v="11"/>
    <x v="0"/>
    <d v="2024-01-04T00:00:00"/>
    <s v="2. Up-sell / X-sell"/>
    <s v="OCC MSO, LLC"/>
    <s v="Parker PT Patch Cables"/>
    <n v="0"/>
    <n v="0"/>
    <n v="0"/>
    <n v="1"/>
    <n v="0"/>
    <n v="0"/>
    <n v="0.66385000000000005"/>
    <n v="0"/>
    <d v="2024-03-01T00:00:00"/>
    <d v="2024-05-01T00:00:00"/>
  </r>
  <r>
    <n v="38490"/>
    <x v="12"/>
    <x v="0"/>
    <d v="2024-01-03T00:00:00"/>
    <s v="2. Up-sell / X-sell"/>
    <s v="Arion Blue"/>
    <s v="Visual Studio qty 1"/>
    <n v="0"/>
    <n v="0"/>
    <n v="0"/>
    <n v="1"/>
    <n v="0"/>
    <n v="0"/>
    <n v="5.0031000000000017"/>
    <n v="0"/>
    <d v="2024-03-01T00:00:00"/>
    <d v="2024-05-01T00:00:00"/>
  </r>
  <r>
    <n v="38521"/>
    <x v="11"/>
    <x v="3"/>
    <d v="2024-01-25T00:00:00"/>
    <s v="5. Change Order"/>
    <s v="The Leaders Rheum, LLC"/>
    <s v="MSP agreement upgrade"/>
    <n v="0"/>
    <n v="831.32"/>
    <n v="0"/>
    <n v="36"/>
    <n v="0.5"/>
    <n v="0"/>
    <s v="N/A"/>
    <n v="415.66"/>
    <d v="2024-03-01T00:00:00"/>
    <d v="2024-05-01T00:00:00"/>
  </r>
  <r>
    <n v="38378"/>
    <x v="6"/>
    <x v="2"/>
    <d v="2024-01-02T00:00:00"/>
    <s v="2. Up-sell / X-sell"/>
    <s v="Lebco Industries, LP"/>
    <s v="(2) Screen Connect licenses"/>
    <n v="0"/>
    <n v="20"/>
    <n v="0"/>
    <n v="36"/>
    <n v="0.5"/>
    <n v="0"/>
    <s v="N/A"/>
    <n v="10"/>
    <d v="2024-03-01T00:00:00"/>
    <d v="2024-05-01T00:00:00"/>
  </r>
  <r>
    <n v="38330"/>
    <x v="6"/>
    <x v="2"/>
    <d v="2024-01-03T00:00:00"/>
    <s v="2. Up-sell / X-sell"/>
    <s v="UBank"/>
    <s v="Block Time Agreement to Track Time Included in MSP Agreement"/>
    <n v="0"/>
    <n v="0"/>
    <n v="0"/>
    <n v="36"/>
    <n v="0.5"/>
    <n v="0"/>
    <s v="N/A"/>
    <n v="0"/>
    <d v="2024-03-01T00:00:00"/>
    <d v="2024-05-01T00:00:00"/>
  </r>
  <r>
    <n v="38525"/>
    <x v="11"/>
    <x v="0"/>
    <d v="2024-01-11T00:00:00"/>
    <s v="2. Up-sell / X-sell"/>
    <s v="OCC MSO, LLC"/>
    <s v="CyberPower OR2200LCDRT2U Smart App LCD UPS"/>
    <n v="0"/>
    <n v="0"/>
    <n v="0"/>
    <n v="1"/>
    <n v="0"/>
    <n v="0"/>
    <n v="9.9203499999999938"/>
    <n v="0"/>
    <d v="2024-03-01T00:00:00"/>
    <d v="2024-05-01T00:00:00"/>
  </r>
  <r>
    <n v="38182"/>
    <x v="4"/>
    <x v="2"/>
    <d v="2024-01-18T00:00:00"/>
    <s v="2. Up-sell / X-sell"/>
    <s v="Legacy Community Health Services"/>
    <s v="Ported DID's Houston"/>
    <n v="0"/>
    <n v="25.5"/>
    <n v="0"/>
    <n v="36"/>
    <n v="0.5"/>
    <n v="0"/>
    <n v="2.8800000000000003"/>
    <n v="12.75"/>
    <d v="2024-03-01T00:00:00"/>
    <d v="2024-05-01T00:00:00"/>
  </r>
  <r>
    <n v="38172"/>
    <x v="5"/>
    <x v="2"/>
    <d v="2024-01-17T00:00:00"/>
    <s v="2. Up-sell / X-sell"/>
    <s v="National Endowment for Financial Ed"/>
    <s v="10395607 - Need a Power Automate License that allows for Premium Connectors for Nonprofits"/>
    <n v="0"/>
    <n v="0.46"/>
    <n v="0"/>
    <n v="12"/>
    <n v="0.15"/>
    <n v="0"/>
    <s v="N/A"/>
    <n v="6.9000000000000006E-2"/>
    <d v="2024-03-01T00:00:00"/>
    <d v="2024-05-01T00:00:00"/>
  </r>
  <r>
    <n v="38075"/>
    <x v="3"/>
    <x v="2"/>
    <d v="2024-01-26T00:00:00"/>
    <s v="2. Up-sell / X-sell"/>
    <s v="ACF West"/>
    <s v="SaaS Protection Implementation"/>
    <n v="0"/>
    <n v="425"/>
    <n v="0"/>
    <n v="36"/>
    <n v="0.5"/>
    <n v="0"/>
    <n v="30"/>
    <n v="212.5"/>
    <d v="2024-03-01T00:00:00"/>
    <d v="2024-05-01T00:00:00"/>
  </r>
  <r>
    <n v="38070"/>
    <x v="14"/>
    <x v="4"/>
    <d v="2024-01-19T00:00:00"/>
    <s v="1. New Logo"/>
    <s v="Jackson Properties"/>
    <s v="10390110 - Meriplex Managed Service Plan - Cloud Option"/>
    <n v="0"/>
    <n v="9153.5400000000009"/>
    <n v="0"/>
    <n v="12"/>
    <n v="0.35"/>
    <n v="0"/>
    <n v="0"/>
    <n v="3203.739"/>
    <d v="2024-03-01T00:00:00"/>
    <d v="2024-05-01T00:00:00"/>
  </r>
  <r>
    <n v="38002"/>
    <x v="3"/>
    <x v="2"/>
    <d v="2024-01-10T00:00:00"/>
    <s v="2. Up-sell / X-sell"/>
    <s v="RL Liquidators"/>
    <s v="Compliance Services"/>
    <n v="0"/>
    <n v="450"/>
    <n v="0"/>
    <n v="36"/>
    <n v="0.5"/>
    <n v="0"/>
    <n v="296.39999999999998"/>
    <n v="225"/>
    <d v="2024-03-01T00:00:00"/>
    <d v="2024-05-01T00:00:00"/>
  </r>
  <r>
    <n v="37937"/>
    <x v="5"/>
    <x v="2"/>
    <d v="2024-01-03T00:00:00"/>
    <s v="4. Renewal - MRR"/>
    <s v="Scott's Liquid Gold Inc"/>
    <s v="MSP Renewal Agreement"/>
    <s v="Yes"/>
    <n v="0"/>
    <n v="1579"/>
    <n v="36"/>
    <n v="0"/>
    <n v="0.25"/>
    <n v="19.32"/>
    <n v="394.75"/>
    <d v="2024-03-01T00:00:00"/>
    <d v="2024-05-01T00:00:00"/>
  </r>
  <r>
    <n v="37929"/>
    <x v="5"/>
    <x v="2"/>
    <d v="2024-01-12T00:00:00"/>
    <s v="2. Up-sell / X-sell"/>
    <s v="Rocky Mountain Recycling Inc"/>
    <s v="Advanced Security Services"/>
    <n v="0"/>
    <n v="1368"/>
    <n v="0"/>
    <n v="36"/>
    <n v="0.5"/>
    <n v="0"/>
    <n v="32.94"/>
    <n v="684"/>
    <d v="2024-03-01T00:00:00"/>
    <d v="2024-05-01T00:00:00"/>
  </r>
  <r>
    <n v="37900"/>
    <x v="5"/>
    <x v="2"/>
    <d v="2024-01-15T00:00:00"/>
    <s v="2. Up-sell / X-sell"/>
    <s v="Cornerstone Programs Den"/>
    <s v="Service Ticket #10293149 Additional Hosted Space"/>
    <n v="0"/>
    <n v="10"/>
    <n v="0"/>
    <n v="36"/>
    <n v="0.5"/>
    <n v="0"/>
    <s v="N/A"/>
    <n v="5"/>
    <d v="2024-03-01T00:00:00"/>
    <d v="2024-05-01T00:00:00"/>
  </r>
  <r>
    <n v="38546"/>
    <x v="9"/>
    <x v="0"/>
    <d v="2024-01-04T00:00:00"/>
    <s v="3. NRR - Renewal"/>
    <s v="Aqua Beverage"/>
    <s v="Fortinet Renewal"/>
    <n v="0"/>
    <n v="0"/>
    <n v="0"/>
    <n v="1"/>
    <n v="0"/>
    <n v="0"/>
    <n v="7.3950000000000005"/>
    <n v="0"/>
    <d v="2024-03-01T00:00:00"/>
    <d v="2024-05-01T00:00:00"/>
  </r>
  <r>
    <n v="38558"/>
    <x v="11"/>
    <x v="0"/>
    <d v="2024-01-03T00:00:00"/>
    <s v="2. Up-sell / X-sell"/>
    <s v="Centeno Schultz"/>
    <s v="Jan 2024 Dell Laptop"/>
    <n v="0"/>
    <n v="0"/>
    <n v="0"/>
    <n v="1"/>
    <n v="0"/>
    <n v="0"/>
    <n v="21.181149999999995"/>
    <n v="0"/>
    <d v="2024-03-01T00:00:00"/>
    <d v="2024-05-01T00:00:00"/>
  </r>
  <r>
    <n v="37569"/>
    <x v="8"/>
    <x v="1"/>
    <d v="2024-01-19T00:00:00"/>
    <s v="1. New Logo"/>
    <s v="Blue River Pet Care"/>
    <s v="BRPC South Auburn Veterinary Hospital MSP MSSP"/>
    <n v="0"/>
    <n v="1650.75"/>
    <n v="0"/>
    <n v="36"/>
    <n v="1"/>
    <n v="0"/>
    <n v="83.97"/>
    <n v="1650.75"/>
    <d v="2024-03-01T00:00:00"/>
    <d v="2024-05-01T00:00:00"/>
  </r>
  <r>
    <n v="37206"/>
    <x v="4"/>
    <x v="2"/>
    <d v="2024-01-02T00:00:00"/>
    <s v="2. Up-sell / X-sell"/>
    <s v="United Community Credit Union"/>
    <s v="Datacenter 1/2 Cabinet"/>
    <n v="0"/>
    <n v="1075"/>
    <n v="0"/>
    <n v="36"/>
    <n v="0.5"/>
    <n v="0"/>
    <n v="80"/>
    <n v="537.5"/>
    <d v="2024-03-01T00:00:00"/>
    <d v="2024-05-01T00:00:00"/>
  </r>
  <r>
    <n v="37048"/>
    <x v="1"/>
    <x v="1"/>
    <d v="2024-01-31T00:00:00"/>
    <s v="2. Up-sell / X-sell"/>
    <s v="Maddox &amp; Associates"/>
    <s v="Additional S1 Licensing"/>
    <n v="0"/>
    <n v="103.5"/>
    <n v="0"/>
    <n v="36"/>
    <n v="1"/>
    <n v="0"/>
    <n v="6.03"/>
    <n v="103.5"/>
    <d v="2024-03-01T00:00:00"/>
    <d v="2024-05-01T00:00:00"/>
  </r>
  <r>
    <n v="38560"/>
    <x v="12"/>
    <x v="2"/>
    <d v="2024-01-04T00:00:00"/>
    <s v="2. Up-sell / X-sell"/>
    <s v="174 Power Global Corp"/>
    <s v="MS Licenses"/>
    <n v="0"/>
    <n v="70.02"/>
    <n v="0"/>
    <n v="12"/>
    <n v="0.125"/>
    <n v="0"/>
    <s v="N/A"/>
    <n v="8.7524999999999995"/>
    <d v="2024-03-01T00:00:00"/>
    <d v="2024-05-01T00:00:00"/>
  </r>
  <r>
    <n v="36211"/>
    <x v="5"/>
    <x v="2"/>
    <d v="2024-01-03T00:00:00"/>
    <s v="2. Up-sell / X-sell"/>
    <s v="Scott's Liquid Gold Inc"/>
    <s v="9421011 - FWaaS With FortiClient VPN, DUO and a Hosted Domain Controller"/>
    <n v="0"/>
    <n v="496.65"/>
    <n v="0"/>
    <n v="36"/>
    <n v="0.5"/>
    <n v="0"/>
    <n v="476.08"/>
    <n v="248.32499999999999"/>
    <d v="2024-03-01T00:00:00"/>
    <d v="2024-05-01T00:00:00"/>
  </r>
  <r>
    <n v="35608"/>
    <x v="3"/>
    <x v="2"/>
    <d v="2024-01-29T00:00:00"/>
    <s v="2. Up-sell / X-sell"/>
    <s v="Silverado Homes"/>
    <s v="Knowbe4"/>
    <n v="0"/>
    <n v="170"/>
    <n v="0"/>
    <n v="12"/>
    <n v="0.15"/>
    <n v="0"/>
    <s v="N/A"/>
    <n v="25.5"/>
    <d v="2024-03-01T00:00:00"/>
    <d v="2024-05-01T00:00:00"/>
  </r>
  <r>
    <n v="35346"/>
    <x v="2"/>
    <x v="2"/>
    <d v="2024-01-04T00:00:00"/>
    <s v="2. Up-sell / X-sell"/>
    <s v="MK Battery"/>
    <s v="(BC)ColoSQL64 upgrade**"/>
    <n v="0"/>
    <n v="0"/>
    <n v="0"/>
    <n v="1"/>
    <n v="0"/>
    <n v="0"/>
    <s v="N/A"/>
    <n v="0"/>
    <d v="2024-03-01T00:00:00"/>
    <d v="2024-05-01T00:00:00"/>
  </r>
  <r>
    <n v="34261"/>
    <x v="15"/>
    <x v="5"/>
    <d v="2024-01-30T00:00:00"/>
    <s v="2. Up-sell / X-sell"/>
    <s v="Whitehall Township"/>
    <s v="Circuits SDWan"/>
    <n v="0"/>
    <n v="1298"/>
    <n v="0"/>
    <n v="60"/>
    <n v="0"/>
    <n v="0"/>
    <n v="0"/>
    <n v="0"/>
    <d v="2024-03-01T00:00:00"/>
    <d v="2024-05-01T00:00:00"/>
  </r>
  <r>
    <n v="33617"/>
    <x v="5"/>
    <x v="2"/>
    <d v="2024-01-03T00:00:00"/>
    <s v="2. Up-sell / X-sell"/>
    <s v="Scott's Liquid Gold Inc"/>
    <s v="O365 to M365+ conversion"/>
    <n v="0"/>
    <n v="256.91000000000003"/>
    <n v="0"/>
    <n v="12"/>
    <n v="0.15"/>
    <n v="0"/>
    <n v="3.12"/>
    <n v="38.536500000000004"/>
    <d v="2024-03-01T00:00:00"/>
    <d v="2024-05-01T00:00:00"/>
  </r>
  <r>
    <n v="38561"/>
    <x v="12"/>
    <x v="2"/>
    <d v="2024-01-04T00:00:00"/>
    <s v="2. Up-sell / X-sell"/>
    <s v="Chariot Energy"/>
    <s v="MS Licenses"/>
    <n v="0"/>
    <n v="16.739999999999998"/>
    <n v="0"/>
    <n v="12"/>
    <n v="0.125"/>
    <n v="0"/>
    <s v="N/A"/>
    <n v="2.0924999999999998"/>
    <d v="2024-03-01T00:00:00"/>
    <d v="2024-05-01T00:00:00"/>
  </r>
  <r>
    <n v="32826"/>
    <x v="15"/>
    <x v="5"/>
    <d v="2024-01-02T00:00:00"/>
    <s v="2. Up-sell / X-sell"/>
    <s v="Luthercare"/>
    <s v="Access Control"/>
    <n v="0"/>
    <n v="3289"/>
    <n v="0"/>
    <n v="36"/>
    <n v="0"/>
    <n v="0"/>
    <n v="0"/>
    <n v="0"/>
    <d v="2024-03-01T00:00:00"/>
    <d v="2024-05-01T00:00:00"/>
  </r>
  <r>
    <n v="38568"/>
    <x v="11"/>
    <x v="0"/>
    <d v="2024-01-08T00:00:00"/>
    <s v="3. NRR - Renewal"/>
    <s v="Illinois Bone and Joint Institute"/>
    <s v="Dell - IBJA"/>
    <n v="0"/>
    <n v="0"/>
    <n v="0"/>
    <n v="1"/>
    <n v="0"/>
    <n v="0"/>
    <n v="7.0737000000000005"/>
    <n v="0"/>
    <d v="2024-03-01T00:00:00"/>
    <d v="2024-05-01T00:00:00"/>
  </r>
  <r>
    <n v="29885"/>
    <x v="5"/>
    <x v="2"/>
    <d v="2024-01-10T00:00:00"/>
    <s v="2. Up-sell / X-sell"/>
    <s v="WellBiz Brands, Inc."/>
    <s v="8427096 - Add Third Party Patch Deployment"/>
    <n v="0"/>
    <n v="308"/>
    <n v="0"/>
    <n v="12"/>
    <n v="0.15"/>
    <n v="0"/>
    <n v="17.248000000000001"/>
    <n v="46.199999999999996"/>
    <d v="2024-03-01T00:00:00"/>
    <d v="2024-05-01T00:00:00"/>
  </r>
  <r>
    <n v="28945"/>
    <x v="3"/>
    <x v="2"/>
    <d v="2024-01-05T00:00:00"/>
    <s v="2. Up-sell / X-sell"/>
    <s v="Metropolitan Pediatrics"/>
    <s v="Clinic Access Control upgrade"/>
    <n v="0"/>
    <n v="180"/>
    <n v="0"/>
    <n v="36"/>
    <n v="0.5"/>
    <n v="0"/>
    <n v="226.75920000000002"/>
    <n v="90"/>
    <d v="2024-03-01T00:00:00"/>
    <d v="2024-05-01T00:00:00"/>
  </r>
  <r>
    <n v="38572"/>
    <x v="9"/>
    <x v="0"/>
    <d v="2024-01-25T00:00:00"/>
    <s v="2. Up-sell / X-sell"/>
    <s v="First National Bank of Eagle Lake"/>
    <s v="SQL Licenses"/>
    <n v="0"/>
    <n v="0"/>
    <n v="0"/>
    <n v="1"/>
    <n v="0"/>
    <n v="0"/>
    <n v="66.002499999999998"/>
    <n v="0"/>
    <d v="2024-03-01T00:00:00"/>
    <d v="2024-05-01T00:00:00"/>
  </r>
  <r>
    <n v="37781"/>
    <x v="8"/>
    <x v="1"/>
    <d v="2024-01-26T00:00:00"/>
    <s v="1. New Logo"/>
    <s v="DII Industries, LLC Asbestos PI Trust"/>
    <s v="DII Industries - Remodel Low Voltage and MDF Relocation Bid"/>
    <n v="0"/>
    <n v="0"/>
    <n v="0"/>
    <n v="1"/>
    <n v="0"/>
    <n v="0"/>
    <n v="277.92"/>
    <n v="0"/>
    <d v="2024-03-01T00:00:00"/>
    <d v="2024-05-01T00:00:00"/>
  </r>
  <r>
    <n v="37606"/>
    <x v="6"/>
    <x v="2"/>
    <d v="2024-01-02T00:00:00"/>
    <s v="2. Up-sell / X-sell"/>
    <s v="SCI Shared Resources, LLC"/>
    <s v="Loc 0755 - Security Cameras"/>
    <n v="0"/>
    <n v="0"/>
    <n v="0"/>
    <n v="0"/>
    <n v="0"/>
    <n v="0"/>
    <n v="83.065600000000018"/>
    <n v="0"/>
    <d v="2024-03-01T00:00:00"/>
    <d v="2024-05-01T00:00:00"/>
  </r>
  <r>
    <n v="38573"/>
    <x v="9"/>
    <x v="0"/>
    <d v="2024-01-04T00:00:00"/>
    <s v="2. Up-sell / X-sell"/>
    <s v="Evelyn Rubenstein Jewish Community Center"/>
    <s v="New Notebook"/>
    <n v="0"/>
    <n v="0"/>
    <n v="0"/>
    <n v="1"/>
    <n v="0"/>
    <n v="0"/>
    <n v="16.434750000000005"/>
    <n v="0"/>
    <d v="2024-03-01T00:00:00"/>
    <d v="2024-05-01T00:00:00"/>
  </r>
  <r>
    <n v="38598"/>
    <x v="9"/>
    <x v="3"/>
    <d v="2024-01-05T00:00:00"/>
    <s v="2. Up-sell / X-sell"/>
    <s v="Palo Duro Midstream, LLC"/>
    <s v="SD-WAN appliance Only Pampa"/>
    <n v="0"/>
    <n v="45"/>
    <n v="0"/>
    <n v="36"/>
    <n v="0.5"/>
    <n v="0"/>
    <n v="12"/>
    <n v="22.5"/>
    <d v="2024-03-01T00:00:00"/>
    <d v="2024-05-01T00:00:00"/>
  </r>
  <r>
    <n v="38615"/>
    <x v="12"/>
    <x v="3"/>
    <d v="2024-01-19T00:00:00"/>
    <s v="4. Renewal - MRR"/>
    <s v="TTB Financial Corporation"/>
    <s v="Webster Move Connectivity"/>
    <s v="Yes"/>
    <n v="0"/>
    <n v="1184"/>
    <n v="36"/>
    <n v="0"/>
    <n v="0.25"/>
    <n v="14.254"/>
    <n v="296"/>
    <d v="2024-03-01T00:00:00"/>
    <d v="2024-05-01T00:00:00"/>
  </r>
  <r>
    <n v="38627"/>
    <x v="9"/>
    <x v="0"/>
    <d v="2024-01-09T00:00:00"/>
    <s v="2. Up-sell / X-sell"/>
    <s v="Blue Bell Creameries LP"/>
    <s v="Barracuda Load Balancer Renewal"/>
    <n v="0"/>
    <n v="0"/>
    <n v="0"/>
    <n v="1"/>
    <n v="0"/>
    <n v="0"/>
    <n v="39.620200000000011"/>
    <n v="0"/>
    <d v="2024-03-01T00:00:00"/>
    <d v="2024-05-01T00:00:00"/>
  </r>
  <r>
    <n v="38630"/>
    <x v="11"/>
    <x v="3"/>
    <d v="2024-01-05T00:00:00"/>
    <s v="2. Up-sell / X-sell"/>
    <s v="MedVanta"/>
    <s v="Microsoft licensing"/>
    <n v="0"/>
    <n v="4.7300000000000004"/>
    <n v="0"/>
    <n v="12"/>
    <n v="0.125"/>
    <n v="0"/>
    <s v="N/A"/>
    <n v="0.59125000000000005"/>
    <d v="2024-03-01T00:00:00"/>
    <d v="2024-05-01T00:00:00"/>
  </r>
  <r>
    <n v="39536"/>
    <x v="5"/>
    <x v="2"/>
    <d v="2024-01-31T00:00:00"/>
    <s v="3. NRR - Renewal"/>
    <s v="Bridge Diagnostics Inc"/>
    <s v="10534278 - Standard SSL Certificate For data.bdimonitoring.com"/>
    <n v="0"/>
    <n v="0"/>
    <n v="0"/>
    <n v="1"/>
    <n v="0"/>
    <n v="0"/>
    <n v="16.000800000000002"/>
    <n v="0"/>
    <d v="2024-03-01T00:00:00"/>
    <d v="2024-05-01T00:00:00"/>
  </r>
  <r>
    <n v="39502"/>
    <x v="3"/>
    <x v="2"/>
    <d v="2024-01-31T00:00:00"/>
    <s v="2. Up-sell / X-sell"/>
    <s v="Key Laser Institute"/>
    <s v="KLI : #10531695 - Maks Gahan \ Server Offline - need two drives asap"/>
    <n v="0"/>
    <n v="0"/>
    <n v="0"/>
    <n v="1"/>
    <n v="0"/>
    <n v="0"/>
    <n v="3.3456000000000006"/>
    <n v="0"/>
    <d v="2024-03-01T00:00:00"/>
    <d v="2024-05-01T00:00:00"/>
  </r>
  <r>
    <n v="39496"/>
    <x v="3"/>
    <x v="2"/>
    <d v="2024-01-31T00:00:00"/>
    <s v="2. Up-sell / X-sell"/>
    <s v="ROE Visual US, Inc"/>
    <s v="Quote #MPS123411 Per Service Ticket # 10531572 - Cisco SFP Transceiver"/>
    <n v="0"/>
    <n v="0"/>
    <n v="0"/>
    <n v="1"/>
    <n v="0"/>
    <n v="0"/>
    <n v="1.7639999999999998"/>
    <n v="0"/>
    <d v="2024-03-01T00:00:00"/>
    <d v="2024-05-01T00:00:00"/>
  </r>
  <r>
    <n v="39488"/>
    <x v="3"/>
    <x v="2"/>
    <d v="2024-01-30T00:00:00"/>
    <s v="2. Up-sell / X-sell"/>
    <s v="Far Western"/>
    <s v="10531251 - laptop"/>
    <n v="0"/>
    <n v="0"/>
    <n v="0"/>
    <n v="1"/>
    <n v="0"/>
    <n v="0"/>
    <n v="23.080000000000002"/>
    <n v="0"/>
    <d v="2024-03-01T00:00:00"/>
    <d v="2024-05-01T00:00:00"/>
  </r>
  <r>
    <n v="38642"/>
    <x v="12"/>
    <x v="0"/>
    <d v="2024-01-19T00:00:00"/>
    <s v="2. Up-sell / X-sell"/>
    <s v="TTB Financial Corporation"/>
    <s v="Webster Move and Cabling"/>
    <n v="0"/>
    <n v="0"/>
    <n v="0"/>
    <n v="1"/>
    <n v="0"/>
    <n v="0"/>
    <n v="483.94000000000005"/>
    <n v="0"/>
    <d v="2024-03-01T00:00:00"/>
    <d v="2024-05-01T00:00:00"/>
  </r>
  <r>
    <n v="39469"/>
    <x v="3"/>
    <x v="2"/>
    <d v="2024-01-30T00:00:00"/>
    <s v="2. Up-sell / X-sell"/>
    <s v="Far Western"/>
    <s v="#10528395 - Laptop"/>
    <n v="0"/>
    <n v="0"/>
    <n v="0"/>
    <n v="1"/>
    <n v="0"/>
    <n v="0"/>
    <n v="23.080000000000002"/>
    <n v="0"/>
    <d v="2024-03-01T00:00:00"/>
    <d v="2024-05-01T00:00:00"/>
  </r>
  <r>
    <n v="39463"/>
    <x v="1"/>
    <x v="1"/>
    <d v="2024-01-31T00:00:00"/>
    <s v="2. Up-sell / X-sell"/>
    <s v="Life Storage 8028 (S Sherwood)"/>
    <s v="MPX LA - Small APC UPS"/>
    <n v="0"/>
    <n v="0"/>
    <n v="0"/>
    <n v="1"/>
    <n v="0"/>
    <n v="0"/>
    <n v="1.4727999999999997"/>
    <n v="0"/>
    <d v="2024-03-01T00:00:00"/>
    <d v="2024-05-01T00:00:00"/>
  </r>
  <r>
    <n v="38644"/>
    <x v="9"/>
    <x v="0"/>
    <d v="2024-01-25T00:00:00"/>
    <s v="2. Up-sell / X-sell"/>
    <s v="First National Bank of Eagle Lake"/>
    <s v="Windows Server License for VM"/>
    <n v="0"/>
    <n v="0"/>
    <n v="0"/>
    <n v="1"/>
    <n v="0"/>
    <n v="0"/>
    <n v="21.192199999999996"/>
    <n v="0"/>
    <d v="2024-03-01T00:00:00"/>
    <d v="2024-05-01T00:00:00"/>
  </r>
  <r>
    <n v="39453"/>
    <x v="5"/>
    <x v="2"/>
    <d v="2024-01-31T00:00:00"/>
    <s v="2. Up-sell / X-sell"/>
    <s v="International Assn for the Study of Lung Cancer"/>
    <s v="IASLC-Adobe Pro License"/>
    <n v="0"/>
    <n v="0"/>
    <n v="0"/>
    <n v="1"/>
    <n v="0"/>
    <n v="0"/>
    <n v="2.4375999999999998"/>
    <n v="0"/>
    <d v="2024-03-01T00:00:00"/>
    <d v="2024-05-01T00:00:00"/>
  </r>
  <r>
    <n v="38650"/>
    <x v="11"/>
    <x v="2"/>
    <d v="2024-01-25T00:00:00"/>
    <s v="5. Change Order"/>
    <s v="PMQ Group, LLC dba Avita"/>
    <s v="1090 Philadelphia Small Pharmacy"/>
    <n v="0"/>
    <n v="1178.8800000000001"/>
    <n v="0"/>
    <n v="24"/>
    <n v="0.125"/>
    <n v="0"/>
    <s v="N/A"/>
    <n v="147.36000000000001"/>
    <d v="2024-03-01T00:00:00"/>
    <d v="2024-05-01T00:00:00"/>
  </r>
  <r>
    <n v="38670"/>
    <x v="9"/>
    <x v="0"/>
    <d v="2024-01-08T00:00:00"/>
    <s v="2. Up-sell / X-sell"/>
    <s v="Bowen Miclette and Britt"/>
    <s v="SFP Module"/>
    <n v="0"/>
    <n v="0"/>
    <n v="0"/>
    <n v="1"/>
    <n v="0"/>
    <n v="0"/>
    <n v="4.8450000000000006"/>
    <n v="0"/>
    <d v="2024-03-01T00:00:00"/>
    <d v="2024-05-01T00:00:00"/>
  </r>
  <r>
    <n v="39440"/>
    <x v="3"/>
    <x v="2"/>
    <d v="2024-01-29T00:00:00"/>
    <s v="2. Up-sell / X-sell"/>
    <s v="Blue Sky Insurance"/>
    <s v="Quote #MPS123370 Per Service Ticket # 10503074 - Patch Cables"/>
    <n v="0"/>
    <n v="0"/>
    <n v="0"/>
    <n v="1"/>
    <n v="0"/>
    <n v="0"/>
    <n v="1.9096"/>
    <n v="0"/>
    <d v="2024-03-01T00:00:00"/>
    <d v="2024-05-01T00:00:00"/>
  </r>
  <r>
    <n v="39438"/>
    <x v="1"/>
    <x v="1"/>
    <d v="2024-01-30T00:00:00"/>
    <s v="2. Up-sell / X-sell"/>
    <s v="Holistic Health Care Services"/>
    <s v="MPX LA - 25&quot; - 27&quot; Monitor"/>
    <n v="0"/>
    <n v="0"/>
    <n v="0"/>
    <n v="1"/>
    <n v="0"/>
    <n v="0"/>
    <n v="2.4560000000000004"/>
    <n v="0"/>
    <d v="2024-03-01T00:00:00"/>
    <d v="2024-05-01T00:00:00"/>
  </r>
  <r>
    <n v="38696"/>
    <x v="11"/>
    <x v="0"/>
    <d v="2024-01-10T00:00:00"/>
    <s v="3. NRR - Renewal"/>
    <s v="OrthoSouth"/>
    <s v="Fortinet FG100E - OrthoSouth"/>
    <n v="0"/>
    <n v="0"/>
    <n v="0"/>
    <n v="1"/>
    <n v="0"/>
    <n v="0"/>
    <n v="75.700999999999993"/>
    <n v="0"/>
    <d v="2024-03-01T00:00:00"/>
    <d v="2024-05-01T00:00:00"/>
  </r>
  <r>
    <n v="39433"/>
    <x v="3"/>
    <x v="2"/>
    <d v="2024-01-29T00:00:00"/>
    <s v="2. Up-sell / X-sell"/>
    <s v="Wildlands"/>
    <s v="New tower desktop"/>
    <n v="0"/>
    <n v="0"/>
    <n v="0"/>
    <n v="1"/>
    <n v="0"/>
    <n v="0"/>
    <n v="35.924799999999998"/>
    <n v="0"/>
    <d v="2024-03-01T00:00:00"/>
    <d v="2024-05-01T00:00:00"/>
  </r>
  <r>
    <n v="39430"/>
    <x v="3"/>
    <x v="2"/>
    <d v="2024-01-29T00:00:00"/>
    <s v="2. Up-sell / X-sell"/>
    <s v="Socotra Capital"/>
    <s v="#10526618 - Laptops"/>
    <n v="0"/>
    <n v="0"/>
    <n v="0"/>
    <n v="1"/>
    <n v="0"/>
    <n v="0"/>
    <n v="43.726399999999998"/>
    <n v="0"/>
    <d v="2024-03-01T00:00:00"/>
    <d v="2024-05-01T00:00:00"/>
  </r>
  <r>
    <n v="39429"/>
    <x v="2"/>
    <x v="2"/>
    <d v="2024-01-29T00:00:00"/>
    <s v="2. Up-sell / X-sell"/>
    <s v="Seidner's Collision Centers"/>
    <s v="Two New PC's for Glendora"/>
    <n v="0"/>
    <n v="0"/>
    <n v="0"/>
    <n v="1"/>
    <n v="0"/>
    <n v="0"/>
    <n v="17.920000000000002"/>
    <n v="0"/>
    <d v="2024-03-01T00:00:00"/>
    <d v="2024-05-01T00:00:00"/>
  </r>
  <r>
    <n v="39427"/>
    <x v="5"/>
    <x v="2"/>
    <d v="2024-01-29T00:00:00"/>
    <s v="3. NRR - Renewal"/>
    <s v="Prime West"/>
    <s v="10526246 - Please quote 1-Year UTM 24x7 Renewal for FGT60FTK19012686 - Partners Group 60F"/>
    <n v="0"/>
    <n v="0"/>
    <n v="0"/>
    <n v="1"/>
    <n v="0"/>
    <n v="0"/>
    <n v="8.9008000000000003"/>
    <n v="0"/>
    <d v="2024-03-01T00:00:00"/>
    <d v="2024-05-01T00:00:00"/>
  </r>
  <r>
    <n v="39426"/>
    <x v="4"/>
    <x v="2"/>
    <d v="2024-01-31T00:00:00"/>
    <s v="3. NRR - Renewal"/>
    <s v="United Community Credit Union"/>
    <s v="Veeam Support Maintenance Renewal"/>
    <n v="0"/>
    <n v="0"/>
    <n v="0"/>
    <n v="1"/>
    <n v="0"/>
    <n v="0"/>
    <n v="3.1855999999999951"/>
    <n v="0"/>
    <d v="2024-03-01T00:00:00"/>
    <d v="2024-05-01T00:00:00"/>
  </r>
  <r>
    <n v="38700"/>
    <x v="11"/>
    <x v="3"/>
    <d v="2024-01-09T00:00:00"/>
    <s v="2. Up-sell / X-sell"/>
    <s v="Centers for Advanced Orthopaedics"/>
    <s v="Jan 9 MS Licenses"/>
    <n v="0"/>
    <n v="11.25"/>
    <n v="0"/>
    <n v="12"/>
    <n v="0.125"/>
    <n v="0"/>
    <s v="N/A"/>
    <n v="1.40625"/>
    <d v="2024-03-01T00:00:00"/>
    <d v="2024-05-01T00:00:00"/>
  </r>
  <r>
    <n v="39422"/>
    <x v="6"/>
    <x v="2"/>
    <d v="2024-01-29T00:00:00"/>
    <s v="2. Up-sell / X-sell"/>
    <s v="Lebco Industries, LP"/>
    <s v="Lebco - UPS for Baybrook Store"/>
    <n v="0"/>
    <n v="0"/>
    <n v="0"/>
    <n v="1"/>
    <n v="0"/>
    <n v="0"/>
    <n v="3.5040000000000009"/>
    <n v="0"/>
    <d v="2024-03-01T00:00:00"/>
    <d v="2024-05-01T00:00:00"/>
  </r>
  <r>
    <n v="39407"/>
    <x v="3"/>
    <x v="2"/>
    <d v="2024-01-31T00:00:00"/>
    <s v="2. Up-sell / X-sell"/>
    <s v="Pediatric Associates of Gresham"/>
    <s v="Need replace UPS ASAP"/>
    <n v="0"/>
    <n v="0"/>
    <n v="0"/>
    <n v="1"/>
    <n v="0"/>
    <n v="0"/>
    <n v="14.402399999999998"/>
    <n v="0"/>
    <d v="2024-03-01T00:00:00"/>
    <d v="2024-05-01T00:00:00"/>
  </r>
  <r>
    <n v="38701"/>
    <x v="9"/>
    <x v="2"/>
    <d v="2024-01-09T00:00:00"/>
    <s v="2. Up-sell / X-sell"/>
    <s v="Citizens State Bank - Woodville"/>
    <s v="10457145 - Visio Plan 2 Licenses"/>
    <n v="0"/>
    <n v="5.4"/>
    <n v="0"/>
    <n v="12"/>
    <n v="0.125"/>
    <n v="0"/>
    <s v="N/A"/>
    <n v="0.67500000000000004"/>
    <d v="2024-03-01T00:00:00"/>
    <d v="2024-05-01T00:00:00"/>
  </r>
  <r>
    <n v="39398"/>
    <x v="1"/>
    <x v="1"/>
    <d v="2024-01-31T00:00:00"/>
    <s v="2. Up-sell / X-sell"/>
    <s v="Brookwood Management"/>
    <s v="MPX LA - Patch Cables"/>
    <n v="0"/>
    <n v="0"/>
    <n v="0"/>
    <n v="1"/>
    <n v="0"/>
    <n v="0"/>
    <n v="0.24240000000000003"/>
    <n v="0"/>
    <d v="2024-03-01T00:00:00"/>
    <d v="2024-05-01T00:00:00"/>
  </r>
  <r>
    <n v="39397"/>
    <x v="2"/>
    <x v="2"/>
    <d v="2024-01-29T00:00:00"/>
    <s v="2. Up-sell / X-sell"/>
    <s v="Sunroad Enterprises"/>
    <s v="Quote #MPS123311 Per Service Ticket # 10515049 - SASSI - Monitors"/>
    <n v="0"/>
    <n v="0"/>
    <n v="0"/>
    <n v="1"/>
    <n v="0"/>
    <n v="0"/>
    <n v="11.158400000000002"/>
    <n v="0"/>
    <d v="2024-03-01T00:00:00"/>
    <d v="2024-05-01T00:00:00"/>
  </r>
  <r>
    <n v="39395"/>
    <x v="4"/>
    <x v="2"/>
    <d v="2024-01-26T00:00:00"/>
    <s v="2. Up-sell / X-sell"/>
    <s v="Texas Baptist Men"/>
    <s v="Replace Hard Drive with SSD on Randy Reid's Laptop"/>
    <n v="0"/>
    <n v="0"/>
    <n v="0"/>
    <n v="1"/>
    <n v="0"/>
    <n v="0"/>
    <n v="15.804"/>
    <n v="0"/>
    <d v="2024-03-01T00:00:00"/>
    <d v="2024-05-01T00:00:00"/>
  </r>
  <r>
    <n v="38714"/>
    <x v="9"/>
    <x v="0"/>
    <d v="2024-01-09T00:00:00"/>
    <s v="2. Up-sell / X-sell"/>
    <s v="Palo Duro Midstream, LLC"/>
    <s v="MS Teams Room Pro License"/>
    <n v="0"/>
    <n v="0"/>
    <n v="0"/>
    <n v="12"/>
    <n v="0.125"/>
    <n v="0"/>
    <s v="N/A"/>
    <n v="0"/>
    <d v="2024-03-01T00:00:00"/>
    <d v="2024-05-01T00:00:00"/>
  </r>
  <r>
    <n v="38733"/>
    <x v="12"/>
    <x v="0"/>
    <d v="2024-01-10T00:00:00"/>
    <s v="3. NRR - Renewal"/>
    <s v="Chasewood Bank"/>
    <s v="Fortinet 1YR 24x7 - Chasewood Bank"/>
    <n v="0"/>
    <n v="0"/>
    <n v="0"/>
    <n v="1"/>
    <n v="0"/>
    <n v="0"/>
    <n v="18.564"/>
    <n v="0"/>
    <d v="2024-03-01T00:00:00"/>
    <d v="2024-05-01T00:00:00"/>
  </r>
  <r>
    <n v="38735"/>
    <x v="12"/>
    <x v="0"/>
    <d v="2024-01-17T00:00:00"/>
    <s v="3. NRR - Renewal"/>
    <s v="Plains State Bank"/>
    <s v="Microsoft - Plains State Bank"/>
    <n v="0"/>
    <n v="0"/>
    <n v="0"/>
    <n v="1"/>
    <n v="0"/>
    <n v="0"/>
    <n v="40.239000000000011"/>
    <n v="0"/>
    <d v="2024-03-01T00:00:00"/>
    <d v="2024-05-01T00:00:00"/>
  </r>
  <r>
    <n v="38737"/>
    <x v="9"/>
    <x v="0"/>
    <d v="2024-01-10T00:00:00"/>
    <s v="2. Up-sell / X-sell"/>
    <s v="AIV, L.P."/>
    <s v="Ruckus For Dubai"/>
    <n v="0"/>
    <n v="0"/>
    <n v="0"/>
    <n v="1"/>
    <n v="0"/>
    <n v="0"/>
    <n v="20.655000000000005"/>
    <n v="0"/>
    <d v="2024-03-01T00:00:00"/>
    <d v="2024-05-01T00:00:00"/>
  </r>
  <r>
    <n v="38741"/>
    <x v="0"/>
    <x v="0"/>
    <d v="2024-01-10T00:00:00"/>
    <s v="2. Up-sell / X-sell"/>
    <s v="Texas Roof Management Inc"/>
    <s v="HP EliteBook 840 G10 Notebook"/>
    <n v="0"/>
    <n v="0"/>
    <n v="0"/>
    <n v="1"/>
    <n v="0"/>
    <n v="0"/>
    <n v="0"/>
    <n v="0"/>
    <d v="2024-03-01T00:00:00"/>
    <d v="2024-05-01T00:00:00"/>
  </r>
  <r>
    <n v="38763"/>
    <x v="12"/>
    <x v="2"/>
    <d v="2024-01-19T00:00:00"/>
    <s v="2. Up-sell / X-sell"/>
    <s v="Houston Metro Urology"/>
    <s v="6 Business Standard MS Licenses"/>
    <n v="0"/>
    <n v="13.5"/>
    <n v="0"/>
    <n v="12"/>
    <n v="0.125"/>
    <n v="0"/>
    <s v="N/A"/>
    <n v="1.6875"/>
    <d v="2024-03-01T00:00:00"/>
    <d v="2024-05-01T00:00:00"/>
  </r>
  <r>
    <n v="38764"/>
    <x v="0"/>
    <x v="0"/>
    <d v="2024-01-10T00:00:00"/>
    <s v="2. Up-sell / X-sell"/>
    <s v="Overhead Door Corporation"/>
    <s v="SR 250069 Precision 7780 Bundle Desk Phone PO 50167887"/>
    <n v="0"/>
    <n v="0"/>
    <n v="0"/>
    <n v="1"/>
    <n v="0"/>
    <n v="0"/>
    <n v="0"/>
    <n v="0"/>
    <d v="2024-03-01T00:00:00"/>
    <d v="2024-05-01T00:00:00"/>
  </r>
  <r>
    <n v="38782"/>
    <x v="9"/>
    <x v="0"/>
    <d v="2024-01-12T00:00:00"/>
    <s v="2. Up-sell / X-sell"/>
    <s v="Evelyn Rubenstein Jewish Community Center"/>
    <s v="New APC UPS's"/>
    <n v="0"/>
    <n v="0"/>
    <n v="0"/>
    <n v="1"/>
    <n v="0"/>
    <n v="0"/>
    <n v="87.277999999999992"/>
    <n v="0"/>
    <d v="2024-03-01T00:00:00"/>
    <d v="2024-05-01T00:00:00"/>
  </r>
  <r>
    <n v="38784"/>
    <x v="11"/>
    <x v="2"/>
    <d v="2024-01-11T00:00:00"/>
    <s v="2. Up-sell / X-sell"/>
    <s v="BoulderCentre for Orthopedics &amp; Spine"/>
    <s v="Jan 11 Microsoft licenses"/>
    <n v="0"/>
    <n v="16.649999999999999"/>
    <n v="0"/>
    <n v="12"/>
    <n v="0.125"/>
    <n v="0"/>
    <s v="N/A"/>
    <n v="2.0812499999999998"/>
    <d v="2024-03-01T00:00:00"/>
    <d v="2024-05-01T00:00:00"/>
  </r>
  <r>
    <n v="38785"/>
    <x v="9"/>
    <x v="3"/>
    <d v="2024-01-11T00:00:00"/>
    <s v="2. Up-sell / X-sell"/>
    <s v="Loren D. Stark Co., Inc."/>
    <s v="Quote #MPS122736 ESET MFA"/>
    <n v="0"/>
    <n v="64.25"/>
    <n v="0"/>
    <n v="36"/>
    <n v="0.5"/>
    <n v="0"/>
    <s v="N/A"/>
    <n v="32.125"/>
    <d v="2024-03-01T00:00:00"/>
    <d v="2024-05-01T00:00:00"/>
  </r>
  <r>
    <n v="39376"/>
    <x v="3"/>
    <x v="2"/>
    <d v="2024-01-30T00:00:00"/>
    <s v="2. Up-sell / X-sell"/>
    <s v="Jackson Properties"/>
    <s v="Server Support Renewal"/>
    <n v="0"/>
    <n v="0"/>
    <n v="0"/>
    <n v="1"/>
    <n v="0"/>
    <n v="0"/>
    <n v="25.472000000000005"/>
    <n v="0"/>
    <d v="2024-03-01T00:00:00"/>
    <d v="2024-05-01T00:00:00"/>
  </r>
  <r>
    <n v="38788"/>
    <x v="9"/>
    <x v="0"/>
    <d v="2024-01-12T00:00:00"/>
    <s v="2. Up-sell / X-sell"/>
    <s v="Baptist Sunday School Cmte"/>
    <s v="Adobe Renewal"/>
    <n v="0"/>
    <n v="0"/>
    <n v="0"/>
    <n v="1"/>
    <n v="0"/>
    <n v="0"/>
    <n v="32.416450000000026"/>
    <n v="0"/>
    <d v="2024-03-01T00:00:00"/>
    <d v="2024-05-01T00:00:00"/>
  </r>
  <r>
    <n v="39367"/>
    <x v="5"/>
    <x v="2"/>
    <d v="2024-01-26T00:00:00"/>
    <s v="2. Up-sell / X-sell"/>
    <s v="Excess Telecom"/>
    <s v="10518531 - Windows 11 Home to Pro Upgrade for Microsoft 365 Business"/>
    <n v="0"/>
    <n v="0"/>
    <n v="0"/>
    <n v="1"/>
    <n v="0"/>
    <n v="0"/>
    <n v="1.1903999999999997"/>
    <n v="0"/>
    <d v="2024-03-01T00:00:00"/>
    <d v="2024-05-01T00:00:00"/>
  </r>
  <r>
    <n v="39365"/>
    <x v="2"/>
    <x v="2"/>
    <d v="2024-01-30T00:00:00"/>
    <s v="2. Up-sell / X-sell"/>
    <s v="McKenna Motor Company, Inc."/>
    <s v="Quote #MPS123086 Per Service Ticket # 10493564 - Desktops for Volvo Service Advisors"/>
    <n v="0"/>
    <n v="0"/>
    <n v="0"/>
    <n v="1"/>
    <n v="0"/>
    <n v="0"/>
    <n v="44.805600000000013"/>
    <n v="0"/>
    <d v="2024-03-01T00:00:00"/>
    <d v="2024-05-01T00:00:00"/>
  </r>
  <r>
    <n v="38792"/>
    <x v="9"/>
    <x v="0"/>
    <d v="2024-01-31T00:00:00"/>
    <s v="2. Up-sell / X-sell"/>
    <s v="Annunciation Orthodox School"/>
    <s v="Fortinet HA Pair"/>
    <n v="0"/>
    <n v="0"/>
    <n v="0"/>
    <n v="1"/>
    <n v="0"/>
    <n v="0"/>
    <n v="616.35099999999989"/>
    <n v="0"/>
    <d v="2024-03-01T00:00:00"/>
    <d v="2024-05-01T00:00:00"/>
  </r>
  <r>
    <n v="38798"/>
    <x v="12"/>
    <x v="2"/>
    <d v="2024-01-24T00:00:00"/>
    <s v="2. Up-sell / X-sell"/>
    <s v="HCN Bank"/>
    <s v="MS Defender"/>
    <n v="0"/>
    <n v="136.46"/>
    <n v="0"/>
    <n v="12"/>
    <n v="0.125"/>
    <n v="0"/>
    <s v="N/A"/>
    <n v="17.057500000000001"/>
    <d v="2024-03-01T00:00:00"/>
    <d v="2024-05-01T00:00:00"/>
  </r>
  <r>
    <n v="39356"/>
    <x v="1"/>
    <x v="1"/>
    <d v="2024-01-26T00:00:00"/>
    <s v="2. Up-sell / X-sell"/>
    <s v="CORE Health Networks LLC (Venyu B.R)"/>
    <s v="MPX LA - Veeam Renewal 2024"/>
    <n v="0"/>
    <n v="0"/>
    <n v="0"/>
    <n v="1"/>
    <n v="0"/>
    <n v="0"/>
    <n v="36.795200000000008"/>
    <n v="0"/>
    <d v="2024-03-01T00:00:00"/>
    <d v="2024-05-01T00:00:00"/>
  </r>
  <r>
    <n v="39351"/>
    <x v="3"/>
    <x v="2"/>
    <d v="2024-01-30T00:00:00"/>
    <s v="2. Up-sell / X-sell"/>
    <s v="Redmond Medical Clinic"/>
    <s v="#10513855 - Monitoring Alert / Redmond Medical Clinic Certificate Expiration for remo"/>
    <n v="0"/>
    <n v="0"/>
    <n v="0"/>
    <n v="1"/>
    <n v="0"/>
    <n v="0"/>
    <n v="7.1608000000000001"/>
    <n v="0"/>
    <d v="2024-03-01T00:00:00"/>
    <d v="2024-05-01T00:00:00"/>
  </r>
  <r>
    <n v="38805"/>
    <x v="12"/>
    <x v="2"/>
    <d v="2024-01-12T00:00:00"/>
    <s v="2. Up-sell / X-sell"/>
    <s v="Golden State Bank"/>
    <s v="Veeam replication"/>
    <n v="0"/>
    <n v="500"/>
    <n v="0"/>
    <n v="36"/>
    <n v="0.5"/>
    <n v="0"/>
    <s v="N/A"/>
    <n v="250"/>
    <d v="2024-03-01T00:00:00"/>
    <d v="2024-05-01T00:00:00"/>
  </r>
  <r>
    <n v="39343"/>
    <x v="1"/>
    <x v="1"/>
    <d v="2024-01-30T00:00:00"/>
    <s v="2. Up-sell / X-sell"/>
    <s v="CORE LLC (Port Isabel)"/>
    <s v="MPX LA - New Office Setup"/>
    <n v="0"/>
    <n v="0"/>
    <n v="0"/>
    <n v="1"/>
    <n v="0"/>
    <n v="0"/>
    <n v="82.806000000000012"/>
    <n v="0"/>
    <d v="2024-03-01T00:00:00"/>
    <d v="2024-05-01T00:00:00"/>
  </r>
  <r>
    <n v="39340"/>
    <x v="6"/>
    <x v="2"/>
    <d v="2024-01-25T00:00:00"/>
    <s v="2. Up-sell / X-sell"/>
    <s v="Lebco Industries, LP"/>
    <s v="Spare Aruba Switch"/>
    <n v="0"/>
    <n v="0"/>
    <n v="0"/>
    <n v="1"/>
    <n v="0"/>
    <n v="0"/>
    <n v="10.220000000000001"/>
    <n v="0"/>
    <d v="2024-03-01T00:00:00"/>
    <d v="2024-05-01T00:00:00"/>
  </r>
  <r>
    <n v="39338"/>
    <x v="1"/>
    <x v="1"/>
    <d v="2024-01-25T00:00:00"/>
    <s v="2. Up-sell / X-sell"/>
    <s v="CORE LLC"/>
    <s v="MPX LA - 5 Desktops"/>
    <n v="0"/>
    <n v="0"/>
    <n v="0"/>
    <n v="1"/>
    <n v="0"/>
    <n v="0"/>
    <n v="56.765999999999998"/>
    <n v="0"/>
    <d v="2024-03-01T00:00:00"/>
    <d v="2024-05-01T00:00:00"/>
  </r>
  <r>
    <n v="39336"/>
    <x v="5"/>
    <x v="2"/>
    <d v="2024-01-25T00:00:00"/>
    <s v="2. Up-sell / X-sell"/>
    <s v="Sterling Ranch Community Authority Board"/>
    <s v="10513943 - Sterling Ranch Replace Failed FortiNet Firewall - RUSH"/>
    <n v="0"/>
    <n v="0"/>
    <n v="0"/>
    <n v="1"/>
    <n v="0"/>
    <n v="0"/>
    <n v="75.156800000000004"/>
    <n v="0"/>
    <d v="2024-03-01T00:00:00"/>
    <d v="2024-05-01T00:00:00"/>
  </r>
  <r>
    <n v="39330"/>
    <x v="2"/>
    <x v="2"/>
    <d v="2024-01-31T00:00:00"/>
    <s v="2. Up-sell / X-sell"/>
    <s v="Sunroad Enterprises"/>
    <s v="Quote #MPS123235 Per Service Ticket # 10505811 - KMCH - Headset for Jenni Kendall"/>
    <n v="0"/>
    <n v="0"/>
    <n v="0"/>
    <n v="1"/>
    <n v="0"/>
    <n v="0"/>
    <n v="0.50159999999999971"/>
    <n v="0"/>
    <d v="2024-03-01T00:00:00"/>
    <d v="2024-05-01T00:00:00"/>
  </r>
  <r>
    <n v="39327"/>
    <x v="3"/>
    <x v="2"/>
    <d v="2024-01-30T00:00:00"/>
    <s v="2. Up-sell / X-sell"/>
    <s v="BLT Enterprises Inc."/>
    <s v="Quote #MPS123234 Per Service Ticket # 10257049 - Patch Cables for Fremont"/>
    <n v="0"/>
    <n v="0"/>
    <n v="0"/>
    <n v="1"/>
    <n v="0"/>
    <n v="0"/>
    <n v="9.3216000000000001"/>
    <n v="0"/>
    <d v="2024-03-01T00:00:00"/>
    <d v="2024-05-01T00:00:00"/>
  </r>
  <r>
    <n v="39326"/>
    <x v="3"/>
    <x v="2"/>
    <d v="2024-01-26T00:00:00"/>
    <s v="2. Up-sell / X-sell"/>
    <s v="AIM Health"/>
    <s v="Replacement Micro form factor pc"/>
    <n v="0"/>
    <n v="0"/>
    <n v="0"/>
    <n v="1"/>
    <n v="0"/>
    <n v="0"/>
    <n v="21.548000000000002"/>
    <n v="0"/>
    <d v="2024-03-01T00:00:00"/>
    <d v="2024-05-01T00:00:00"/>
  </r>
  <r>
    <n v="39324"/>
    <x v="2"/>
    <x v="2"/>
    <d v="2024-01-26T00:00:00"/>
    <s v="2. Up-sell / X-sell"/>
    <s v="Sunroad Enterprises"/>
    <s v="Quote #MPS123231 Per Service Ticket # 10511074 - CORP - KMCH - Monitor"/>
    <n v="0"/>
    <n v="0"/>
    <n v="0"/>
    <n v="1"/>
    <n v="0"/>
    <n v="0"/>
    <n v="5.579200000000001"/>
    <n v="0"/>
    <d v="2024-03-01T00:00:00"/>
    <d v="2024-05-01T00:00:00"/>
  </r>
  <r>
    <n v="39313"/>
    <x v="3"/>
    <x v="2"/>
    <d v="2024-01-26T00:00:00"/>
    <s v="2. Up-sell / X-sell"/>
    <s v="Stages Northwest"/>
    <s v="Urgent laptop for new staff member Chris Ortolano"/>
    <n v="0"/>
    <n v="0"/>
    <n v="0"/>
    <n v="1"/>
    <n v="0"/>
    <n v="0"/>
    <n v="45.127199999999988"/>
    <n v="0"/>
    <d v="2024-03-01T00:00:00"/>
    <d v="2024-05-01T00:00:00"/>
  </r>
  <r>
    <n v="38815"/>
    <x v="0"/>
    <x v="0"/>
    <d v="2024-01-12T00:00:00"/>
    <s v="2. Up-sell / X-sell"/>
    <s v="Tarrant County College District"/>
    <s v="AXIS Camera PO S111755"/>
    <n v="0"/>
    <n v="0"/>
    <n v="0"/>
    <n v="1"/>
    <n v="0"/>
    <n v="0"/>
    <n v="0"/>
    <n v="0"/>
    <d v="2024-03-01T00:00:00"/>
    <d v="2024-05-01T00:00:00"/>
  </r>
  <r>
    <n v="39308"/>
    <x v="3"/>
    <x v="2"/>
    <d v="2024-01-31T00:00:00"/>
    <s v="2. Up-sell / X-sell"/>
    <s v="Aurora Behavioral Health Care"/>
    <s v="Quote #MPS123220 Per Service Ticket # 10510517 - Cisco SmartNet Renewal - Ventura"/>
    <n v="0"/>
    <n v="0"/>
    <n v="0"/>
    <n v="1"/>
    <n v="0"/>
    <n v="0"/>
    <n v="43.171199999999999"/>
    <n v="0"/>
    <d v="2024-03-01T00:00:00"/>
    <d v="2024-05-01T00:00:00"/>
  </r>
  <r>
    <n v="38817"/>
    <x v="12"/>
    <x v="0"/>
    <d v="2024-01-17T00:00:00"/>
    <s v="2. Up-sell / X-sell"/>
    <s v="TTB Financial Corporation"/>
    <s v="desktops and monitors"/>
    <n v="0"/>
    <n v="0"/>
    <n v="0"/>
    <n v="1"/>
    <n v="0"/>
    <n v="0"/>
    <n v="103.8419"/>
    <n v="0"/>
    <d v="2024-03-01T00:00:00"/>
    <d v="2024-05-01T00:00:00"/>
  </r>
  <r>
    <n v="39293"/>
    <x v="2"/>
    <x v="2"/>
    <d v="2024-01-24T00:00:00"/>
    <s v="2. Up-sell / X-sell"/>
    <s v="Sunroad Enterprises"/>
    <s v="Quote #MPS123180 Per Service Ticket # 10500611 - KPF - Desktop"/>
    <n v="0"/>
    <n v="0"/>
    <n v="0"/>
    <n v="1"/>
    <n v="0"/>
    <n v="0"/>
    <n v="19.910399999999999"/>
    <n v="0"/>
    <d v="2024-03-01T00:00:00"/>
    <d v="2024-05-01T00:00:00"/>
  </r>
  <r>
    <n v="39292"/>
    <x v="1"/>
    <x v="1"/>
    <d v="2024-01-25T00:00:00"/>
    <s v="2. Up-sell / X-sell"/>
    <s v="Industrial Parts Specialties LLC"/>
    <s v="MPX LA - Replacement APC UPS from Nov 23"/>
    <n v="0"/>
    <n v="0"/>
    <n v="0"/>
    <n v="1"/>
    <n v="0"/>
    <n v="0"/>
    <n v="5.6328000000000022"/>
    <n v="0"/>
    <d v="2024-03-01T00:00:00"/>
    <d v="2024-05-01T00:00:00"/>
  </r>
  <r>
    <n v="39290"/>
    <x v="1"/>
    <x v="1"/>
    <d v="2024-01-24T00:00:00"/>
    <s v="5. Change Order"/>
    <s v="Manchac Consulting Group Inc"/>
    <s v="MPX LA - Change order for Sales Order #11695"/>
    <n v="0"/>
    <n v="0"/>
    <n v="0"/>
    <n v="1"/>
    <n v="0"/>
    <n v="0"/>
    <n v="0.34880000000000155"/>
    <n v="0"/>
    <d v="2024-03-01T00:00:00"/>
    <d v="2024-05-01T00:00:00"/>
  </r>
  <r>
    <n v="39284"/>
    <x v="2"/>
    <x v="2"/>
    <d v="2024-01-24T00:00:00"/>
    <s v="3. NRR - Renewal"/>
    <s v="American Continental Bank"/>
    <s v="APC 1YR EW - American Continental Bank"/>
    <n v="0"/>
    <n v="0"/>
    <n v="0"/>
    <n v="1"/>
    <n v="0"/>
    <n v="0"/>
    <n v="4.944"/>
    <n v="0"/>
    <d v="2024-03-01T00:00:00"/>
    <d v="2024-05-01T00:00:00"/>
  </r>
  <r>
    <n v="39281"/>
    <x v="3"/>
    <x v="2"/>
    <d v="2024-01-25T00:00:00"/>
    <s v="2. Up-sell / X-sell"/>
    <s v="Sunroad Enterprises"/>
    <s v="Quote #MPS123135 Per Service Ticket # 10428182 - KMHS iPads"/>
    <n v="0"/>
    <n v="0"/>
    <n v="0"/>
    <n v="1"/>
    <n v="0"/>
    <n v="0"/>
    <n v="24.006400000000006"/>
    <n v="0"/>
    <d v="2024-03-01T00:00:00"/>
    <d v="2024-05-01T00:00:00"/>
  </r>
  <r>
    <n v="39278"/>
    <x v="1"/>
    <x v="1"/>
    <d v="2024-01-26T00:00:00"/>
    <s v="2. Up-sell / X-sell"/>
    <s v="City Heights Asset Mgmt Inc"/>
    <s v="MPX LA - Curved Monitor"/>
    <n v="0"/>
    <n v="0"/>
    <n v="0"/>
    <n v="1"/>
    <n v="0"/>
    <n v="0"/>
    <n v="11.256"/>
    <n v="0"/>
    <d v="2024-03-01T00:00:00"/>
    <d v="2024-05-01T00:00:00"/>
  </r>
  <r>
    <n v="39277"/>
    <x v="6"/>
    <x v="2"/>
    <d v="2024-01-31T00:00:00"/>
    <s v="2. Up-sell / X-sell"/>
    <s v="Enterprise Plumbing"/>
    <s v="Replacement PC per Service Ticket #10501067 - Warranty"/>
    <n v="0"/>
    <n v="0"/>
    <n v="0"/>
    <n v="1"/>
    <n v="0"/>
    <n v="0"/>
    <n v="30.896000000000004"/>
    <n v="0"/>
    <d v="2024-03-01T00:00:00"/>
    <d v="2024-05-01T00:00:00"/>
  </r>
  <r>
    <n v="39276"/>
    <x v="3"/>
    <x v="2"/>
    <d v="2024-01-23T00:00:00"/>
    <s v="2. Up-sell / X-sell"/>
    <s v="Cunningham Engineering Corporation"/>
    <s v="Wireless Meraki License Renewal"/>
    <n v="0"/>
    <n v="0"/>
    <n v="0"/>
    <n v="1"/>
    <n v="0"/>
    <n v="0"/>
    <n v="2.8896000000000006"/>
    <n v="0"/>
    <d v="2024-03-01T00:00:00"/>
    <d v="2024-05-01T00:00:00"/>
  </r>
  <r>
    <n v="38842"/>
    <x v="12"/>
    <x v="3"/>
    <d v="2024-01-18T00:00:00"/>
    <s v="2. Up-sell / X-sell"/>
    <s v="The Orthopaedic Center Huntsville"/>
    <s v="E3 licenses"/>
    <n v="0"/>
    <n v="32.35"/>
    <n v="0"/>
    <n v="12"/>
    <n v="0.125"/>
    <n v="0"/>
    <s v="N/A"/>
    <n v="4.0437500000000002"/>
    <d v="2024-03-01T00:00:00"/>
    <d v="2024-05-01T00:00:00"/>
  </r>
  <r>
    <n v="39274"/>
    <x v="3"/>
    <x v="2"/>
    <d v="2024-01-25T00:00:00"/>
    <s v="2. Up-sell / X-sell"/>
    <s v="CC Wellness"/>
    <s v="Quote #MPS123170 Per Service Ticket #10506511 - Desktop Replacement for SJOFFICE-07"/>
    <n v="0"/>
    <n v="0"/>
    <n v="0"/>
    <n v="1"/>
    <n v="0"/>
    <n v="0"/>
    <n v="8"/>
    <n v="0"/>
    <d v="2024-03-01T00:00:00"/>
    <d v="2024-05-01T00:00:00"/>
  </r>
  <r>
    <n v="39259"/>
    <x v="3"/>
    <x v="2"/>
    <d v="2024-01-23T00:00:00"/>
    <s v="2. Up-sell / X-sell"/>
    <s v="Wildlands"/>
    <s v="3 docking stations"/>
    <n v="0"/>
    <n v="0"/>
    <n v="0"/>
    <n v="1"/>
    <n v="0"/>
    <n v="0"/>
    <n v="13.44"/>
    <n v="0"/>
    <d v="2024-03-01T00:00:00"/>
    <d v="2024-05-01T00:00:00"/>
  </r>
  <r>
    <n v="38854"/>
    <x v="0"/>
    <x v="0"/>
    <d v="2024-01-12T00:00:00"/>
    <s v="2. Up-sell / X-sell"/>
    <s v="Overhead Door Corporation"/>
    <s v="SR 247731 Latitude 5540 Bundle PO 50168367"/>
    <n v="0"/>
    <n v="0"/>
    <n v="0"/>
    <n v="1"/>
    <n v="0"/>
    <n v="0"/>
    <n v="0"/>
    <n v="0"/>
    <d v="2024-03-01T00:00:00"/>
    <d v="2024-05-01T00:00:00"/>
  </r>
  <r>
    <n v="39249"/>
    <x v="5"/>
    <x v="2"/>
    <d v="2024-01-24T00:00:00"/>
    <s v="3. NRR - Renewal"/>
    <s v="EverWest Real Estate Investors LLC"/>
    <s v="10505249 - Fortinet Renewal 1-Year 24x7 UTM For multiple firewalls FG100E4Q17030026 &amp; FG100E4Q170293"/>
    <n v="0"/>
    <n v="0"/>
    <n v="0"/>
    <n v="1"/>
    <n v="0"/>
    <n v="0"/>
    <n v="50.655999999999985"/>
    <n v="0"/>
    <d v="2024-03-01T00:00:00"/>
    <d v="2024-05-01T00:00:00"/>
  </r>
  <r>
    <n v="39245"/>
    <x v="5"/>
    <x v="2"/>
    <d v="2024-01-29T00:00:00"/>
    <s v="3. NRR - Renewal"/>
    <s v="EverWest Real Estate Investors LLC"/>
    <s v="10505197 - Fortinet Renewal 1-Year 24x7 UTM For firewall FGT30E5620002876 - Tustin"/>
    <n v="0"/>
    <n v="0"/>
    <n v="0"/>
    <n v="1"/>
    <n v="0"/>
    <n v="0"/>
    <n v="5.4880000000000022"/>
    <n v="0"/>
    <d v="2024-03-01T00:00:00"/>
    <d v="2024-05-01T00:00:00"/>
  </r>
  <r>
    <n v="39244"/>
    <x v="1"/>
    <x v="1"/>
    <d v="2024-01-24T00:00:00"/>
    <s v="2. Up-sell / X-sell"/>
    <s v="Brian Harris Porsche"/>
    <s v="MPX LA - Lift to repair wireless access point"/>
    <n v="0"/>
    <n v="0"/>
    <n v="0"/>
    <n v="1"/>
    <n v="0"/>
    <n v="0"/>
    <n v="32"/>
    <n v="0"/>
    <d v="2024-03-01T00:00:00"/>
    <d v="2024-05-01T00:00:00"/>
  </r>
  <r>
    <n v="39243"/>
    <x v="5"/>
    <x v="2"/>
    <d v="2024-01-30T00:00:00"/>
    <s v="3. NRR - Renewal"/>
    <s v="Hackstaff SnowAtkinson&amp;Griess"/>
    <s v="10505175 - Fortinet Renewal 1-Year 24x7 UTM For firewall FGT60FTK20069738"/>
    <n v="0"/>
    <n v="0"/>
    <n v="0"/>
    <n v="1"/>
    <n v="0"/>
    <n v="0"/>
    <n v="8.7776000000000032"/>
    <n v="0"/>
    <d v="2024-03-01T00:00:00"/>
    <d v="2024-05-01T00:00:00"/>
  </r>
  <r>
    <n v="39242"/>
    <x v="5"/>
    <x v="2"/>
    <d v="2024-01-25T00:00:00"/>
    <s v="3. NRR - Renewal"/>
    <s v="Durango Investment Holdings LLC"/>
    <s v="10505145 - Fortinet Renewal 1-Year 24x7 UTM For firewall FGT60ETK18075838"/>
    <n v="0"/>
    <n v="0"/>
    <n v="0"/>
    <n v="1"/>
    <n v="0"/>
    <n v="0"/>
    <n v="7.6959999999999988"/>
    <n v="0"/>
    <d v="2024-03-01T00:00:00"/>
    <d v="2024-05-01T00:00:00"/>
  </r>
  <r>
    <n v="39241"/>
    <x v="5"/>
    <x v="2"/>
    <d v="2024-01-29T00:00:00"/>
    <s v="3. NRR - Renewal"/>
    <s v="Durango Investment Holdings LLC"/>
    <s v="Fortinet Renewal 1-Year 24x7 UTM For multiple firewalls FG60EPTK18004187 &amp; FG100ETK18018217"/>
    <n v="0"/>
    <n v="0"/>
    <n v="0"/>
    <n v="1"/>
    <n v="0"/>
    <n v="0"/>
    <n v="34.646399999999993"/>
    <n v="0"/>
    <d v="2024-03-01T00:00:00"/>
    <d v="2024-05-01T00:00:00"/>
  </r>
  <r>
    <n v="39223"/>
    <x v="3"/>
    <x v="2"/>
    <d v="2024-01-22T00:00:00"/>
    <s v="2. Up-sell / X-sell"/>
    <s v="Jensen Design &amp; Survey Inc"/>
    <s v="Quote #MPS122584 Per Service Ticket #10449744 - Cisco SmartNet Renewal"/>
    <n v="0"/>
    <n v="0"/>
    <n v="0"/>
    <n v="1"/>
    <n v="0"/>
    <n v="0"/>
    <n v="15.407200000000003"/>
    <n v="0"/>
    <d v="2024-03-01T00:00:00"/>
    <d v="2024-05-01T00:00:00"/>
  </r>
  <r>
    <n v="39222"/>
    <x v="5"/>
    <x v="2"/>
    <d v="2024-01-24T00:00:00"/>
    <s v="5. Change Order"/>
    <s v="EverWest Real Estate Investors LLC"/>
    <s v="Everwest--Change Order Opportunity 38473 - Three New Laptops"/>
    <n v="0"/>
    <n v="0"/>
    <n v="0"/>
    <n v="1"/>
    <n v="0"/>
    <n v="0"/>
    <n v="-38.1"/>
    <n v="0"/>
    <d v="2024-03-01T00:00:00"/>
    <d v="2024-05-01T00:00:00"/>
  </r>
  <r>
    <n v="39221"/>
    <x v="5"/>
    <x v="2"/>
    <d v="2024-01-26T00:00:00"/>
    <s v="2. Up-sell / X-sell"/>
    <s v="Sterling Ranch Community Authority Board"/>
    <s v="Sterling Ranch CAB--Three Adobe Pro Licenses"/>
    <n v="0"/>
    <n v="0"/>
    <n v="0"/>
    <n v="1"/>
    <n v="0"/>
    <n v="0"/>
    <n v="11.227200000000003"/>
    <n v="0"/>
    <d v="2024-03-01T00:00:00"/>
    <d v="2024-05-01T00:00:00"/>
  </r>
  <r>
    <n v="39219"/>
    <x v="3"/>
    <x v="2"/>
    <d v="2024-01-24T00:00:00"/>
    <s v="2. Up-sell / X-sell"/>
    <s v="BLT Enterprises Inc."/>
    <s v="Quote #MPS123137 Per Service Ticket # 10503279 - Thunderbolt 3 Dock"/>
    <n v="0"/>
    <n v="0"/>
    <n v="0"/>
    <n v="1"/>
    <n v="0"/>
    <n v="0"/>
    <n v="3.9479999999999973"/>
    <n v="0"/>
    <d v="2024-03-01T00:00:00"/>
    <d v="2024-05-01T00:00:00"/>
  </r>
  <r>
    <n v="39216"/>
    <x v="1"/>
    <x v="1"/>
    <d v="2024-01-24T00:00:00"/>
    <s v="2. Up-sell / X-sell"/>
    <s v="Marcello Distributors"/>
    <s v="MPX LA - 16 Port Non-PoE FortiSwitch"/>
    <n v="0"/>
    <n v="0"/>
    <n v="0"/>
    <n v="1"/>
    <n v="0"/>
    <n v="0"/>
    <n v="16.91"/>
    <n v="0"/>
    <d v="2024-03-01T00:00:00"/>
    <d v="2024-05-01T00:00:00"/>
  </r>
  <r>
    <n v="39215"/>
    <x v="1"/>
    <x v="1"/>
    <d v="2024-01-23T00:00:00"/>
    <s v="2. Up-sell / X-sell"/>
    <s v="Maddox &amp; Associates"/>
    <s v="MPX LA - APC Battery Backup replacement"/>
    <n v="0"/>
    <n v="0"/>
    <n v="0"/>
    <n v="1"/>
    <n v="0"/>
    <n v="0"/>
    <n v="21.3996"/>
    <n v="0"/>
    <d v="2024-03-01T00:00:00"/>
    <d v="2024-05-01T00:00:00"/>
  </r>
  <r>
    <n v="39214"/>
    <x v="1"/>
    <x v="1"/>
    <d v="2024-01-24T00:00:00"/>
    <s v="2. Up-sell / X-sell"/>
    <s v="Brookwood Management"/>
    <s v="MPX LA - Three small switches for training day"/>
    <n v="0"/>
    <n v="0"/>
    <n v="0"/>
    <n v="1"/>
    <n v="0"/>
    <n v="0"/>
    <n v="4.2012"/>
    <n v="0"/>
    <d v="2024-03-01T00:00:00"/>
    <d v="2024-05-01T00:00:00"/>
  </r>
  <r>
    <n v="38859"/>
    <x v="0"/>
    <x v="0"/>
    <d v="2024-01-12T00:00:00"/>
    <s v="2. Up-sell / X-sell"/>
    <s v="Overhead Door Corporation"/>
    <s v="SR 247853 Latitude 5540 Bundle Monitors PO 50168372"/>
    <n v="0"/>
    <n v="0"/>
    <n v="0"/>
    <n v="1"/>
    <n v="0"/>
    <n v="0"/>
    <n v="0"/>
    <n v="0"/>
    <d v="2024-03-01T00:00:00"/>
    <d v="2024-05-01T00:00:00"/>
  </r>
  <r>
    <n v="39199"/>
    <x v="1"/>
    <x v="1"/>
    <d v="2024-01-23T00:00:00"/>
    <s v="2. Up-sell / X-sell"/>
    <s v="City Heights Asset Mgmt Inc"/>
    <s v="MPX LA - Domain renewals"/>
    <n v="0"/>
    <n v="0"/>
    <n v="0"/>
    <n v="1"/>
    <n v="0"/>
    <n v="0"/>
    <n v="0.26319999999999993"/>
    <n v="0"/>
    <d v="2024-03-01T00:00:00"/>
    <d v="2024-05-01T00:00:00"/>
  </r>
  <r>
    <n v="39198"/>
    <x v="1"/>
    <x v="1"/>
    <d v="2024-01-23T00:00:00"/>
    <s v="2. Up-sell / X-sell"/>
    <s v="Shows Cali &amp; Walsh LLP"/>
    <s v="MPX LA - SSL Certificate renewal"/>
    <n v="0"/>
    <n v="0"/>
    <n v="0"/>
    <n v="1"/>
    <n v="0"/>
    <n v="0"/>
    <n v="0.68040000000000023"/>
    <n v="0"/>
    <d v="2024-03-01T00:00:00"/>
    <d v="2024-05-01T00:00:00"/>
  </r>
  <r>
    <n v="38870"/>
    <x v="12"/>
    <x v="0"/>
    <d v="2024-01-16T00:00:00"/>
    <s v="2. Up-sell / X-sell"/>
    <s v="EH National Bank"/>
    <s v="Hardware"/>
    <n v="0"/>
    <n v="0"/>
    <n v="0"/>
    <n v="1"/>
    <n v="0"/>
    <n v="0"/>
    <n v="52.94905"/>
    <n v="0"/>
    <d v="2024-03-01T00:00:00"/>
    <d v="2024-05-01T00:00:00"/>
  </r>
  <r>
    <n v="38872"/>
    <x v="0"/>
    <x v="0"/>
    <d v="2024-01-12T00:00:00"/>
    <s v="2. Up-sell / X-sell"/>
    <s v="Overhead Door Corporation"/>
    <s v="SR 247913 Monitor PO 20066220"/>
    <n v="0"/>
    <n v="0"/>
    <n v="0"/>
    <n v="1"/>
    <n v="0"/>
    <n v="0"/>
    <n v="0"/>
    <n v="0"/>
    <d v="2024-03-01T00:00:00"/>
    <d v="2024-05-01T00:00:00"/>
  </r>
  <r>
    <n v="39181"/>
    <x v="3"/>
    <x v="2"/>
    <d v="2024-01-23T00:00:00"/>
    <s v="2. Up-sell / X-sell"/>
    <s v="Center for Urology"/>
    <s v="Smart-UPS C1500 replacement battery"/>
    <n v="0"/>
    <n v="0"/>
    <n v="0"/>
    <n v="1"/>
    <n v="0"/>
    <n v="0"/>
    <n v="5.7479999999999993"/>
    <n v="0"/>
    <d v="2024-03-01T00:00:00"/>
    <d v="2024-05-01T00:00:00"/>
  </r>
  <r>
    <n v="39171"/>
    <x v="10"/>
    <x v="2"/>
    <d v="2024-01-25T00:00:00"/>
    <s v="2. Up-sell / X-sell"/>
    <s v="De Groote Financial"/>
    <s v="Quote #MPS123083 Per Service Ticket # 10481868 - Dock for Sara Mariniello"/>
    <n v="0"/>
    <n v="0"/>
    <n v="0"/>
    <n v="1"/>
    <n v="0"/>
    <n v="0"/>
    <n v="0"/>
    <n v="0"/>
    <d v="2024-03-01T00:00:00"/>
    <d v="2024-05-01T00:00:00"/>
  </r>
  <r>
    <n v="39169"/>
    <x v="3"/>
    <x v="2"/>
    <d v="2024-01-30T00:00:00"/>
    <s v="2. Up-sell / X-sell"/>
    <s v="McKenna Motor Company, Inc."/>
    <s v="Quote #MPS123092 Per Service Ticket #10419362 - South Bay BMW UPS Replacement"/>
    <n v="0"/>
    <n v="0"/>
    <n v="0"/>
    <n v="1"/>
    <n v="0"/>
    <n v="0"/>
    <n v="116.06720000000001"/>
    <n v="0"/>
    <d v="2024-03-01T00:00:00"/>
    <d v="2024-05-01T00:00:00"/>
  </r>
  <r>
    <n v="39164"/>
    <x v="1"/>
    <x v="1"/>
    <d v="2024-01-22T00:00:00"/>
    <s v="2. Up-sell / X-sell"/>
    <s v="Industrial Consulting &amp; Supply Corp"/>
    <s v="MPX LA - Domain renewals"/>
    <n v="0"/>
    <n v="0"/>
    <n v="0"/>
    <n v="1"/>
    <n v="0"/>
    <n v="0"/>
    <n v="1.5627999999999997"/>
    <n v="0"/>
    <d v="2024-03-01T00:00:00"/>
    <d v="2024-05-01T00:00:00"/>
  </r>
  <r>
    <n v="39158"/>
    <x v="2"/>
    <x v="2"/>
    <d v="2024-01-22T00:00:00"/>
    <s v="2. Up-sell / X-sell"/>
    <s v="Law Offices of Brett R. Wishart"/>
    <s v="HPE Support ML110 Gen10 SN: 2M2018051P"/>
    <n v="0"/>
    <n v="0"/>
    <n v="0"/>
    <n v="1"/>
    <n v="0"/>
    <n v="0"/>
    <n v="25.536000000000005"/>
    <n v="0"/>
    <d v="2024-03-01T00:00:00"/>
    <d v="2024-05-01T00:00:00"/>
  </r>
  <r>
    <n v="38875"/>
    <x v="0"/>
    <x v="0"/>
    <d v="2024-01-12T00:00:00"/>
    <s v="2. Up-sell / X-sell"/>
    <s v="Overhead Door Corporation"/>
    <s v="SR 247940 Acrobat Pro PO 50168379"/>
    <n v="0"/>
    <n v="0"/>
    <n v="0"/>
    <n v="1"/>
    <n v="0"/>
    <n v="0"/>
    <n v="0"/>
    <n v="0"/>
    <d v="2024-03-01T00:00:00"/>
    <d v="2024-05-01T00:00:00"/>
  </r>
  <r>
    <n v="39153"/>
    <x v="1"/>
    <x v="1"/>
    <d v="2024-01-26T00:00:00"/>
    <s v="2. Up-sell / X-sell"/>
    <s v="Party Time Inc"/>
    <s v="MPX LA - SSL Certificate renewal"/>
    <n v="0"/>
    <n v="0"/>
    <n v="0"/>
    <n v="1"/>
    <n v="0"/>
    <n v="0"/>
    <n v="0.60040000000000027"/>
    <n v="0"/>
    <d v="2024-03-01T00:00:00"/>
    <d v="2024-05-01T00:00:00"/>
  </r>
  <r>
    <n v="38883"/>
    <x v="0"/>
    <x v="0"/>
    <d v="2024-01-12T00:00:00"/>
    <s v="2. Up-sell / X-sell"/>
    <s v="Overhead Door Corporation"/>
    <s v="SR 248015 Latitude 5540 Bundle PO 3003864"/>
    <n v="0"/>
    <n v="0"/>
    <n v="0"/>
    <n v="1"/>
    <n v="0"/>
    <n v="0"/>
    <n v="0"/>
    <n v="0"/>
    <d v="2024-03-01T00:00:00"/>
    <d v="2024-05-01T00:00:00"/>
  </r>
  <r>
    <n v="39149"/>
    <x v="1"/>
    <x v="1"/>
    <d v="2024-01-25T00:00:00"/>
    <s v="2. Up-sell / X-sell"/>
    <s v="CORE LLC"/>
    <s v="MPX LA - Barracuda Cloud Archiving Service Renewal"/>
    <n v="0"/>
    <n v="0"/>
    <n v="0"/>
    <n v="1"/>
    <n v="0"/>
    <n v="0"/>
    <n v="92.456400000000002"/>
    <n v="0"/>
    <d v="2024-03-01T00:00:00"/>
    <d v="2024-05-01T00:00:00"/>
  </r>
  <r>
    <n v="39147"/>
    <x v="1"/>
    <x v="1"/>
    <d v="2024-01-30T00:00:00"/>
    <s v="3. NRR - Renewal"/>
    <s v="Rosehill Construction LLC"/>
    <s v="MPX LA - SSL Certificate renewals"/>
    <n v="0"/>
    <n v="0"/>
    <n v="0"/>
    <n v="1"/>
    <n v="0"/>
    <n v="0"/>
    <n v="1.2008000000000005"/>
    <n v="0"/>
    <d v="2024-03-01T00:00:00"/>
    <d v="2024-05-01T00:00:00"/>
  </r>
  <r>
    <n v="39146"/>
    <x v="6"/>
    <x v="2"/>
    <d v="2024-01-19T00:00:00"/>
    <s v="3. NRR - Renewal"/>
    <s v="Lighting Etc. Inc."/>
    <s v="10424731 - Digium Titanium Renewal"/>
    <n v="0"/>
    <n v="0"/>
    <n v="0"/>
    <n v="1"/>
    <n v="0"/>
    <n v="0"/>
    <n v="15.120000000000001"/>
    <n v="0"/>
    <d v="2024-03-01T00:00:00"/>
    <d v="2024-05-01T00:00:00"/>
  </r>
  <r>
    <n v="39145"/>
    <x v="1"/>
    <x v="1"/>
    <d v="2024-01-23T00:00:00"/>
    <s v="2. Up-sell / X-sell"/>
    <s v="Marrero Wealth Management LLC"/>
    <s v="MPX LA - Two Computers"/>
    <n v="0"/>
    <n v="0"/>
    <n v="0"/>
    <n v="1"/>
    <n v="0"/>
    <n v="0"/>
    <n v="20.907200000000003"/>
    <n v="0"/>
    <d v="2024-03-01T00:00:00"/>
    <d v="2024-05-01T00:00:00"/>
  </r>
  <r>
    <n v="38886"/>
    <x v="0"/>
    <x v="0"/>
    <d v="2024-01-12T00:00:00"/>
    <s v="2. Up-sell / X-sell"/>
    <s v="Overhead Door Corporation"/>
    <s v="SR 248034 OptiPlex 7010 Monitor PO 50168387"/>
    <n v="0"/>
    <n v="0"/>
    <n v="0"/>
    <n v="1"/>
    <n v="0"/>
    <n v="0"/>
    <n v="0"/>
    <n v="0"/>
    <d v="2024-03-01T00:00:00"/>
    <d v="2024-05-01T00:00:00"/>
  </r>
  <r>
    <n v="39137"/>
    <x v="6"/>
    <x v="2"/>
    <d v="2024-01-19T00:00:00"/>
    <s v="2. Up-sell / X-sell"/>
    <s v="Lebco Industries, LP"/>
    <s v="Lebco - Cabling for Shreveport Store"/>
    <n v="0"/>
    <n v="0"/>
    <n v="0"/>
    <n v="1"/>
    <n v="0"/>
    <n v="0"/>
    <n v="66.52"/>
    <n v="0"/>
    <d v="2024-03-01T00:00:00"/>
    <d v="2024-05-01T00:00:00"/>
  </r>
  <r>
    <n v="39136"/>
    <x v="5"/>
    <x v="2"/>
    <d v="2024-01-30T00:00:00"/>
    <s v="2. Up-sell / X-sell"/>
    <s v="Mountain States Commercial Credit"/>
    <s v="10490450 - 2012 Server Upgrade Project - Phase 2 - App Installs, Data Migration, Testing"/>
    <n v="0"/>
    <n v="0"/>
    <n v="0"/>
    <n v="0"/>
    <n v="0"/>
    <n v="0"/>
    <n v="360"/>
    <n v="0"/>
    <d v="2024-03-01T00:00:00"/>
    <d v="2024-05-01T00:00:00"/>
  </r>
  <r>
    <n v="38890"/>
    <x v="0"/>
    <x v="0"/>
    <d v="2024-01-12T00:00:00"/>
    <s v="2. Up-sell / X-sell"/>
    <s v="Overhead Door Corporation"/>
    <s v="SR 248045 Acrobat Pro PO 962640"/>
    <n v="0"/>
    <n v="0"/>
    <n v="0"/>
    <n v="1"/>
    <n v="0"/>
    <n v="0"/>
    <n v="0"/>
    <n v="0"/>
    <d v="2024-03-01T00:00:00"/>
    <d v="2024-05-01T00:00:00"/>
  </r>
  <r>
    <n v="38892"/>
    <x v="0"/>
    <x v="0"/>
    <d v="2024-01-12T00:00:00"/>
    <s v="2. Up-sell / X-sell"/>
    <s v="Overhead Door Corporation"/>
    <s v="SR 248052 Latitude 5540 Bundle PO 3003865"/>
    <n v="0"/>
    <n v="0"/>
    <n v="0"/>
    <n v="1"/>
    <n v="0"/>
    <n v="0"/>
    <n v="0"/>
    <n v="0"/>
    <d v="2024-03-01T00:00:00"/>
    <d v="2024-05-01T00:00:00"/>
  </r>
  <r>
    <n v="39133"/>
    <x v="2"/>
    <x v="2"/>
    <d v="2024-01-29T00:00:00"/>
    <s v="3. NRR - Renewal"/>
    <s v="Centeno Schultz"/>
    <s v="HPE 1YR PW - Centeno Schultz"/>
    <n v="0"/>
    <n v="0"/>
    <n v="0"/>
    <n v="1"/>
    <n v="0"/>
    <n v="0"/>
    <n v="1.3848"/>
    <n v="0"/>
    <d v="2024-03-01T00:00:00"/>
    <d v="2024-05-01T00:00:00"/>
  </r>
  <r>
    <n v="38895"/>
    <x v="0"/>
    <x v="0"/>
    <d v="2024-01-12T00:00:00"/>
    <s v="2. Up-sell / X-sell"/>
    <s v="Overhead Door Corporation"/>
    <s v="SR 248059 Latitude 5540 Bundle Monitors PO 32271"/>
    <n v="0"/>
    <n v="0"/>
    <n v="0"/>
    <n v="1"/>
    <n v="0"/>
    <n v="0"/>
    <n v="0"/>
    <n v="0"/>
    <d v="2024-03-01T00:00:00"/>
    <d v="2024-05-01T00:00:00"/>
  </r>
  <r>
    <n v="38896"/>
    <x v="0"/>
    <x v="0"/>
    <d v="2024-01-12T00:00:00"/>
    <s v="2. Up-sell / X-sell"/>
    <s v="Overhead Door Corporation"/>
    <s v="SR 248053 OptiPlex 7010 Monitors PO 50168399"/>
    <n v="0"/>
    <n v="0"/>
    <n v="0"/>
    <n v="1"/>
    <n v="0"/>
    <n v="0"/>
    <n v="0"/>
    <n v="0"/>
    <d v="2024-03-01T00:00:00"/>
    <d v="2024-05-01T00:00:00"/>
  </r>
  <r>
    <n v="38900"/>
    <x v="0"/>
    <x v="0"/>
    <d v="2024-01-12T00:00:00"/>
    <s v="2. Up-sell / X-sell"/>
    <s v="Overhead Door Corporation"/>
    <s v="SR 246668 OptiPlex 3000 Thin Client Monitor PO 50168370"/>
    <n v="0"/>
    <n v="0"/>
    <n v="0"/>
    <n v="1"/>
    <n v="0"/>
    <n v="0"/>
    <n v="0"/>
    <n v="0"/>
    <d v="2024-03-01T00:00:00"/>
    <d v="2024-05-01T00:00:00"/>
  </r>
  <r>
    <n v="38903"/>
    <x v="0"/>
    <x v="0"/>
    <d v="2024-01-12T00:00:00"/>
    <s v="2. Up-sell / X-sell"/>
    <s v="Overhead Door Corporation"/>
    <s v="SR 247378 Latitude 5540 Bundle PO 50168400"/>
    <n v="0"/>
    <n v="0"/>
    <n v="0"/>
    <n v="1"/>
    <n v="0"/>
    <n v="0"/>
    <n v="0"/>
    <n v="0"/>
    <d v="2024-03-01T00:00:00"/>
    <d v="2024-05-01T00:00:00"/>
  </r>
  <r>
    <n v="38907"/>
    <x v="0"/>
    <x v="0"/>
    <d v="2024-01-12T00:00:00"/>
    <s v="2. Up-sell / X-sell"/>
    <s v="Overhead Door Corporation"/>
    <s v="SR 247942 Acrobat Pro PO 50168402"/>
    <n v="0"/>
    <n v="0"/>
    <n v="0"/>
    <n v="1"/>
    <n v="0"/>
    <n v="0"/>
    <n v="0"/>
    <n v="0"/>
    <d v="2024-03-01T00:00:00"/>
    <d v="2024-05-01T00:00:00"/>
  </r>
  <r>
    <n v="38912"/>
    <x v="0"/>
    <x v="0"/>
    <d v="2024-01-12T00:00:00"/>
    <s v="2. Up-sell / X-sell"/>
    <s v="Overhead Door Corporation"/>
    <s v="SR 248048 Precision 7780 Bundle PO 962641"/>
    <n v="0"/>
    <n v="0"/>
    <n v="0"/>
    <n v="1"/>
    <n v="0"/>
    <n v="0"/>
    <n v="0"/>
    <n v="0"/>
    <d v="2024-03-01T00:00:00"/>
    <d v="2024-05-01T00:00:00"/>
  </r>
  <r>
    <n v="38915"/>
    <x v="0"/>
    <x v="0"/>
    <d v="2024-01-12T00:00:00"/>
    <s v="2. Up-sell / X-sell"/>
    <s v="Overhead Door Corporation"/>
    <s v="SR 248006 Precision 7780 Bundle PO 50168382"/>
    <n v="0"/>
    <n v="0"/>
    <n v="0"/>
    <n v="1"/>
    <n v="0"/>
    <n v="0"/>
    <n v="0"/>
    <n v="0"/>
    <d v="2024-03-01T00:00:00"/>
    <d v="2024-05-01T00:00:00"/>
  </r>
  <r>
    <n v="38917"/>
    <x v="0"/>
    <x v="0"/>
    <d v="2024-01-12T00:00:00"/>
    <s v="2. Up-sell / X-sell"/>
    <s v="Overhead Door Corporation"/>
    <s v="SR 248041 Precision 7780 Bundle PO 962639"/>
    <n v="0"/>
    <n v="0"/>
    <n v="0"/>
    <n v="1"/>
    <n v="0"/>
    <n v="0"/>
    <n v="0"/>
    <n v="0"/>
    <d v="2024-03-01T00:00:00"/>
    <d v="2024-05-01T00:00:00"/>
  </r>
  <r>
    <n v="38919"/>
    <x v="0"/>
    <x v="0"/>
    <d v="2024-01-12T00:00:00"/>
    <s v="2. Up-sell / X-sell"/>
    <s v="Overhead Door Corporation"/>
    <s v="SR 248049 Precision 7780 Bundle PO 50168420"/>
    <n v="0"/>
    <n v="0"/>
    <n v="0"/>
    <n v="1"/>
    <n v="0"/>
    <n v="0"/>
    <n v="0"/>
    <n v="0"/>
    <d v="2024-03-01T00:00:00"/>
    <d v="2024-05-01T00:00:00"/>
  </r>
  <r>
    <n v="38968"/>
    <x v="11"/>
    <x v="0"/>
    <d v="2024-01-30T00:00:00"/>
    <s v="2. Up-sell / X-sell"/>
    <s v="Illinois Bone and Joint Institute"/>
    <s v="Amendment to MPS119994 adding Professional Services Labor"/>
    <n v="0"/>
    <n v="0"/>
    <n v="0"/>
    <n v="1"/>
    <n v="0"/>
    <n v="0"/>
    <n v="36"/>
    <n v="0"/>
    <d v="2024-03-01T00:00:00"/>
    <d v="2024-05-01T00:00:00"/>
  </r>
  <r>
    <n v="38970"/>
    <x v="11"/>
    <x v="3"/>
    <d v="2024-01-15T00:00:00"/>
    <s v="2. Up-sell / X-sell"/>
    <s v="OrthoSouth"/>
    <s v="Jan 15 Microsoft licensing"/>
    <n v="0"/>
    <n v="10.8"/>
    <n v="0"/>
    <n v="12"/>
    <n v="0.125"/>
    <n v="0"/>
    <s v="N/A"/>
    <n v="1.35"/>
    <d v="2024-03-01T00:00:00"/>
    <d v="2024-05-01T00:00:00"/>
  </r>
  <r>
    <n v="39114"/>
    <x v="2"/>
    <x v="2"/>
    <d v="2024-01-22T00:00:00"/>
    <s v="3. NRR - Renewal"/>
    <s v="SPC Retail Display Group (Sam Pievac)"/>
    <s v="StorageCraft - SPC Retail Display Group (Sam Pievac)"/>
    <n v="0"/>
    <n v="0"/>
    <n v="0"/>
    <n v="1"/>
    <n v="0"/>
    <n v="0"/>
    <n v="12.7616"/>
    <n v="0"/>
    <d v="2024-03-01T00:00:00"/>
    <d v="2024-05-01T00:00:00"/>
  </r>
  <r>
    <n v="38983"/>
    <x v="16"/>
    <x v="0"/>
    <d v="2024-01-15T00:00:00"/>
    <s v="3. NRR - Renewal"/>
    <s v="Senior Housing Options"/>
    <s v="10196469 - Adobe Nonprofit Subscriptions - Annual Renewal - VIP # A1B1E6C24CA69868680A"/>
    <n v="0"/>
    <n v="0"/>
    <n v="0"/>
    <n v="1"/>
    <n v="0"/>
    <n v="0"/>
    <n v="11.352600000000034"/>
    <n v="0"/>
    <d v="2024-03-01T00:00:00"/>
    <d v="2024-05-01T00:00:00"/>
  </r>
  <r>
    <n v="38991"/>
    <x v="11"/>
    <x v="0"/>
    <d v="2024-01-16T00:00:00"/>
    <s v="2. Up-sell / X-sell"/>
    <s v="OCC MSO, LLC"/>
    <s v="AO- Jan 15, 3 laptops"/>
    <n v="0"/>
    <n v="0"/>
    <n v="0"/>
    <n v="1"/>
    <n v="0"/>
    <n v="0"/>
    <n v="52.999200000000002"/>
    <n v="0"/>
    <d v="2024-03-01T00:00:00"/>
    <d v="2024-05-01T00:00:00"/>
  </r>
  <r>
    <n v="39001"/>
    <x v="11"/>
    <x v="0"/>
    <d v="2024-01-16T00:00:00"/>
    <s v="2. Up-sell / X-sell"/>
    <s v="OCC MSO, LLC"/>
    <s v="AO- SonicWall support renewal for Lowry and Lincoln"/>
    <n v="0"/>
    <n v="0"/>
    <n v="0"/>
    <n v="1"/>
    <n v="0"/>
    <n v="0"/>
    <n v="60.525100000000002"/>
    <n v="0"/>
    <d v="2024-03-01T00:00:00"/>
    <d v="2024-05-01T00:00:00"/>
  </r>
  <r>
    <n v="39104"/>
    <x v="17"/>
    <x v="6"/>
    <d v="2024-01-18T00:00:00"/>
    <s v="3. NRR - Renewal"/>
    <s v="Arden Engineering Constructors, LLC"/>
    <s v="HPE Aruba - Arden Eng"/>
    <n v="0"/>
    <n v="0"/>
    <n v="0"/>
    <n v="1"/>
    <n v="0"/>
    <n v="0"/>
    <n v="0"/>
    <n v="0"/>
    <d v="2024-03-01T00:00:00"/>
    <d v="2024-05-01T00:00:00"/>
  </r>
  <r>
    <n v="39016"/>
    <x v="16"/>
    <x v="0"/>
    <d v="2024-01-16T00:00:00"/>
    <s v="3. NRR - Renewal"/>
    <s v="Blackford"/>
    <s v="10426949 - Renewal Cisco AnyConnect License for ASA S/N# JAD2421010A Qty 25"/>
    <n v="0"/>
    <n v="0"/>
    <n v="0"/>
    <n v="1"/>
    <n v="0"/>
    <n v="0"/>
    <n v="5.7162500000000005"/>
    <n v="0"/>
    <d v="2024-03-01T00:00:00"/>
    <d v="2024-05-01T00:00:00"/>
  </r>
  <r>
    <n v="39088"/>
    <x v="2"/>
    <x v="2"/>
    <d v="2024-01-19T00:00:00"/>
    <s v="2. Up-sell / X-sell"/>
    <s v="Global Trim Sales Inc."/>
    <s v="5 docking stations"/>
    <n v="0"/>
    <n v="0"/>
    <n v="0"/>
    <n v="0"/>
    <n v="0"/>
    <n v="0"/>
    <n v="25.759999999999998"/>
    <n v="0"/>
    <d v="2024-03-01T00:00:00"/>
    <d v="2024-05-01T00:00:00"/>
  </r>
  <r>
    <n v="39084"/>
    <x v="5"/>
    <x v="2"/>
    <d v="2024-01-23T00:00:00"/>
    <s v="2. Up-sell / X-sell"/>
    <s v="Colorado Ballet"/>
    <s v="Server Warranty Quote"/>
    <n v="0"/>
    <n v="0"/>
    <n v="0"/>
    <n v="1"/>
    <n v="0"/>
    <n v="0"/>
    <n v="17.159200000000002"/>
    <n v="0"/>
    <d v="2024-03-01T00:00:00"/>
    <d v="2024-05-01T00:00:00"/>
  </r>
  <r>
    <n v="39058"/>
    <x v="12"/>
    <x v="0"/>
    <d v="2024-01-26T00:00:00"/>
    <s v="3. NRR - Renewal"/>
    <s v="Pearland State Bank"/>
    <s v="FortiGate FG-101F - Pearland State Bank"/>
    <n v="0"/>
    <n v="0"/>
    <n v="0"/>
    <n v="1"/>
    <n v="0"/>
    <n v="0"/>
    <n v="95.426099999999991"/>
    <n v="0"/>
    <d v="2024-03-01T00:00:00"/>
    <d v="2024-05-01T00:00:00"/>
  </r>
  <r>
    <n v="39072"/>
    <x v="5"/>
    <x v="2"/>
    <d v="2024-01-18T00:00:00"/>
    <s v="2. Up-sell / X-sell"/>
    <s v="The Catholic Foundation of Northern Colo"/>
    <s v="Block of Hours"/>
    <n v="0"/>
    <n v="0"/>
    <n v="0"/>
    <n v="0"/>
    <n v="0"/>
    <n v="0"/>
    <n v="88"/>
    <n v="0"/>
    <d v="2024-03-01T00:00:00"/>
    <d v="2024-05-01T00:00:00"/>
  </r>
  <r>
    <n v="39060"/>
    <x v="0"/>
    <x v="0"/>
    <d v="2024-01-17T00:00:00"/>
    <s v="2. Up-sell / X-sell"/>
    <s v="Overhead Door Corporation"/>
    <s v="SR 248101 Monitor PO 962701"/>
    <n v="0"/>
    <n v="0"/>
    <n v="0"/>
    <n v="1"/>
    <n v="0"/>
    <n v="0"/>
    <n v="0"/>
    <n v="0"/>
    <d v="2024-03-01T00:00:00"/>
    <d v="2024-05-01T00:00:00"/>
  </r>
  <r>
    <n v="39063"/>
    <x v="9"/>
    <x v="0"/>
    <d v="2024-01-18T00:00:00"/>
    <s v="2. Up-sell / X-sell"/>
    <s v="Kinetica Partners, LLC"/>
    <s v="New Cisco Firewall (Fannin)"/>
    <n v="0"/>
    <n v="0"/>
    <n v="0"/>
    <n v="1"/>
    <n v="0"/>
    <n v="0"/>
    <n v="472.16839999999996"/>
    <n v="0"/>
    <d v="2024-03-01T00:00:00"/>
    <d v="2024-05-01T00:00:00"/>
  </r>
  <r>
    <n v="39064"/>
    <x v="0"/>
    <x v="0"/>
    <d v="2024-01-17T00:00:00"/>
    <s v="2. Up-sell / X-sell"/>
    <s v="Overhead Door Corporation"/>
    <s v="SR 248105 Cisco 8811 Phones PO 32283"/>
    <n v="0"/>
    <n v="0"/>
    <n v="0"/>
    <n v="1"/>
    <n v="0"/>
    <n v="0"/>
    <n v="0"/>
    <n v="0"/>
    <d v="2024-03-01T00:00:00"/>
    <d v="2024-05-01T00:00:00"/>
  </r>
  <r>
    <n v="39066"/>
    <x v="0"/>
    <x v="0"/>
    <d v="2024-01-17T00:00:00"/>
    <s v="2. Up-sell / X-sell"/>
    <s v="Overhead Door Corporation"/>
    <s v="SR 248122 Acrobat Std PO 20066239"/>
    <n v="0"/>
    <n v="0"/>
    <n v="0"/>
    <n v="1"/>
    <n v="0"/>
    <n v="0"/>
    <n v="0"/>
    <n v="0"/>
    <d v="2024-03-01T00:00:00"/>
    <d v="2024-05-01T00:00:00"/>
  </r>
  <r>
    <n v="39061"/>
    <x v="3"/>
    <x v="2"/>
    <d v="2024-01-29T00:00:00"/>
    <s v="2. Up-sell / X-sell"/>
    <s v="Dental3"/>
    <s v="#10485929 - Robin Moody / Procure New computer requested for Anna"/>
    <n v="0"/>
    <n v="0"/>
    <n v="0"/>
    <n v="1"/>
    <n v="0"/>
    <n v="0"/>
    <n v="26.074399999999997"/>
    <n v="0"/>
    <d v="2024-03-01T00:00:00"/>
    <d v="2024-05-01T00:00:00"/>
  </r>
  <r>
    <n v="39069"/>
    <x v="0"/>
    <x v="0"/>
    <d v="2024-01-17T00:00:00"/>
    <s v="2. Up-sell / X-sell"/>
    <s v="Overhead Door Corporation"/>
    <s v="SR 248144 Latitude 5540 Bundle Monitors PO 3003873"/>
    <n v="0"/>
    <n v="0"/>
    <n v="0"/>
    <n v="1"/>
    <n v="0"/>
    <n v="0"/>
    <n v="0"/>
    <n v="0"/>
    <d v="2024-03-01T00:00:00"/>
    <d v="2024-05-01T00:00:00"/>
  </r>
  <r>
    <n v="39083"/>
    <x v="12"/>
    <x v="0"/>
    <d v="2024-01-26T00:00:00"/>
    <s v="2. Up-sell / X-sell"/>
    <s v="Overland, Pacific &amp; Cutler, LLC"/>
    <s v="Datto- Array Drive Needed for S3E24000 - SN: 1C1B0DB213"/>
    <n v="0"/>
    <n v="0"/>
    <n v="0"/>
    <n v="1"/>
    <n v="0"/>
    <n v="0"/>
    <n v="6.3987999999999987"/>
    <n v="0"/>
    <d v="2024-03-01T00:00:00"/>
    <d v="2024-05-01T00:00:00"/>
  </r>
  <r>
    <n v="39054"/>
    <x v="3"/>
    <x v="2"/>
    <d v="2024-01-17T00:00:00"/>
    <s v="2. Up-sell / X-sell"/>
    <s v="Vasko Electric Inc."/>
    <s v="Reno firewall security services expiration"/>
    <n v="0"/>
    <n v="0"/>
    <n v="0"/>
    <n v="1"/>
    <n v="0"/>
    <n v="0"/>
    <n v="5.9551999999999996"/>
    <n v="0"/>
    <d v="2024-03-01T00:00:00"/>
    <d v="2024-05-01T00:00:00"/>
  </r>
  <r>
    <n v="39048"/>
    <x v="3"/>
    <x v="2"/>
    <d v="2024-01-26T00:00:00"/>
    <s v="2. Up-sell / X-sell"/>
    <s v="Nielsen, Merksamer, Parriniello, Gross"/>
    <s v="Barracuda renewal"/>
    <n v="0"/>
    <n v="0"/>
    <n v="0"/>
    <n v="1"/>
    <n v="0"/>
    <n v="0"/>
    <n v="28.713600000000007"/>
    <n v="0"/>
    <d v="2024-03-01T00:00:00"/>
    <d v="2024-05-01T00:00:00"/>
  </r>
  <r>
    <n v="39044"/>
    <x v="3"/>
    <x v="2"/>
    <d v="2024-01-17T00:00:00"/>
    <s v="2. Up-sell / X-sell"/>
    <s v="Wildlands"/>
    <s v="Laptop - Bella McKernan"/>
    <n v="0"/>
    <n v="0"/>
    <n v="0"/>
    <n v="1"/>
    <n v="0"/>
    <n v="0"/>
    <n v="36.692800000000005"/>
    <n v="0"/>
    <d v="2024-03-01T00:00:00"/>
    <d v="2024-05-01T00:00:00"/>
  </r>
  <r>
    <n v="39040"/>
    <x v="3"/>
    <x v="2"/>
    <d v="2024-01-22T00:00:00"/>
    <s v="2. Up-sell / X-sell"/>
    <s v="City of Warrenton"/>
    <s v="Twyla Vittetoe / Quote out replacement pc"/>
    <n v="0"/>
    <n v="0"/>
    <n v="0"/>
    <n v="1"/>
    <n v="0"/>
    <n v="0"/>
    <n v="43.112799999999993"/>
    <n v="0"/>
    <d v="2024-03-01T00:00:00"/>
    <d v="2024-05-01T00:00:00"/>
  </r>
  <r>
    <n v="39039"/>
    <x v="2"/>
    <x v="2"/>
    <d v="2024-01-19T00:00:00"/>
    <s v="2. Up-sell / X-sell"/>
    <s v="Frisbey, Carter &amp; Associates Inc."/>
    <s v="Equipment Quote"/>
    <n v="0"/>
    <n v="0"/>
    <n v="0"/>
    <n v="1"/>
    <n v="0"/>
    <n v="0"/>
    <n v="82.492800000000017"/>
    <n v="0"/>
    <d v="2024-03-01T00:00:00"/>
    <d v="2024-05-01T00:00:00"/>
  </r>
  <r>
    <n v="39033"/>
    <x v="3"/>
    <x v="2"/>
    <d v="2024-01-31T00:00:00"/>
    <s v="2. Up-sell / X-sell"/>
    <s v="Asher Community Health Center"/>
    <s v="Spray Clinic Setup"/>
    <n v="0"/>
    <n v="0"/>
    <n v="0"/>
    <n v="1"/>
    <n v="0"/>
    <n v="0"/>
    <n v="44.705600000000004"/>
    <n v="0"/>
    <d v="2024-03-01T00:00:00"/>
    <d v="2024-05-01T00:00:00"/>
  </r>
  <r>
    <n v="39026"/>
    <x v="3"/>
    <x v="2"/>
    <d v="2024-01-20T00:00:00"/>
    <s v="3. NRR - Renewal"/>
    <s v="Evos Smart Tools"/>
    <s v="10468369 - Monitoring Alert / Evos Smart Tools Certificate Expiration for ftp.evossmarttools.net"/>
    <n v="0"/>
    <n v="0"/>
    <n v="0"/>
    <n v="1"/>
    <n v="0"/>
    <n v="0"/>
    <n v="7.1608000000000001"/>
    <n v="0"/>
    <d v="2024-03-01T00:00:00"/>
    <d v="2024-05-01T00:00:00"/>
  </r>
  <r>
    <n v="39017"/>
    <x v="3"/>
    <x v="2"/>
    <d v="2024-01-18T00:00:00"/>
    <s v="2. Up-sell / X-sell"/>
    <s v="Harris &amp; Sloan"/>
    <s v="8 New desktop computers"/>
    <n v="0"/>
    <n v="0"/>
    <n v="0"/>
    <n v="1"/>
    <n v="0"/>
    <n v="0"/>
    <n v="540.74239999999986"/>
    <n v="0"/>
    <d v="2024-03-01T00:00:00"/>
    <d v="2024-05-01T00:00:00"/>
  </r>
  <r>
    <n v="39092"/>
    <x v="9"/>
    <x v="0"/>
    <d v="2024-01-18T00:00:00"/>
    <s v="2. Up-sell / X-sell"/>
    <s v="Palo Duro Midstream, LLC"/>
    <s v="HP Adapters"/>
    <n v="0"/>
    <n v="0"/>
    <n v="0"/>
    <n v="1"/>
    <n v="0"/>
    <n v="0"/>
    <n v="4.6537500000000005"/>
    <n v="0"/>
    <d v="2024-03-01T00:00:00"/>
    <d v="2024-05-01T00:00:00"/>
  </r>
  <r>
    <n v="39011"/>
    <x v="1"/>
    <x v="1"/>
    <d v="2024-01-22T00:00:00"/>
    <s v="5. Change Order"/>
    <s v="Reliable Amusement"/>
    <s v="MPX LA - Change order for Sales Order #10626"/>
    <n v="0"/>
    <n v="0"/>
    <n v="0"/>
    <n v="1"/>
    <n v="0"/>
    <n v="0"/>
    <n v="-0.64879999999999249"/>
    <n v="0"/>
    <d v="2024-03-01T00:00:00"/>
    <d v="2024-05-01T00:00:00"/>
  </r>
  <r>
    <n v="39003"/>
    <x v="3"/>
    <x v="2"/>
    <d v="2024-01-25T00:00:00"/>
    <s v="2. Up-sell / X-sell"/>
    <s v="Cunningham Engineering Corporation"/>
    <s v="New Laptop for Dan"/>
    <n v="0"/>
    <n v="0"/>
    <n v="0"/>
    <n v="1"/>
    <n v="0"/>
    <n v="0"/>
    <n v="101.10959999999999"/>
    <n v="0"/>
    <d v="2024-03-01T00:00:00"/>
    <d v="2024-05-01T00:00:00"/>
  </r>
  <r>
    <n v="39098"/>
    <x v="16"/>
    <x v="0"/>
    <d v="2024-01-18T00:00:00"/>
    <s v="2. Up-sell / X-sell"/>
    <s v="Pure Cycle Corporation"/>
    <s v="10485783 - New Plotter Set Up - Wednesday 1/24 - Need onsite - Requested by Colin Brown"/>
    <n v="0"/>
    <n v="0"/>
    <n v="0"/>
    <n v="0"/>
    <n v="0"/>
    <n v="0"/>
    <n v="34.200000000000003"/>
    <n v="0"/>
    <d v="2024-03-01T00:00:00"/>
    <d v="2024-05-01T00:00:00"/>
  </r>
  <r>
    <n v="38999"/>
    <x v="2"/>
    <x v="2"/>
    <d v="2024-01-16T00:00:00"/>
    <s v="3. NRR - Renewal"/>
    <s v="EH National Bank"/>
    <s v="ProSupport LIC#: APM00200206517 - EH National Bank"/>
    <n v="0"/>
    <n v="0"/>
    <n v="0"/>
    <n v="1"/>
    <n v="0"/>
    <n v="0"/>
    <n v="150.64400000000003"/>
    <n v="0"/>
    <d v="2024-03-01T00:00:00"/>
    <d v="2024-05-01T00:00:00"/>
  </r>
  <r>
    <n v="38993"/>
    <x v="10"/>
    <x v="2"/>
    <d v="2024-01-22T00:00:00"/>
    <s v="2. Up-sell / X-sell"/>
    <s v="Aurora Behavioral Health Care"/>
    <s v="Quote #MPS122902 Per Service Ticket #10478901 - Cisco SmartNet Renewal - Westborough"/>
    <n v="0"/>
    <n v="0"/>
    <n v="0"/>
    <n v="1"/>
    <n v="0"/>
    <n v="0"/>
    <n v="0"/>
    <n v="0"/>
    <d v="2024-03-01T00:00:00"/>
    <d v="2024-05-01T00:00:00"/>
  </r>
  <r>
    <n v="39099"/>
    <x v="16"/>
    <x v="3"/>
    <d v="2024-01-18T00:00:00"/>
    <s v="2. Up-sell / X-sell"/>
    <s v="Cornerstone Programs Den"/>
    <s v="10473802 - Add Storage to Virtual Server SQL1 Due to Alert"/>
    <n v="0"/>
    <n v="10"/>
    <n v="0"/>
    <n v="36"/>
    <n v="0"/>
    <n v="0"/>
    <s v="N/A"/>
    <n v="0"/>
    <d v="2024-03-01T00:00:00"/>
    <d v="2024-05-01T00:00:00"/>
  </r>
  <r>
    <n v="39100"/>
    <x v="16"/>
    <x v="3"/>
    <d v="2024-01-25T00:00:00"/>
    <s v="2. Up-sell / X-sell"/>
    <s v="Cornerstone Programs Den"/>
    <s v="10469556 - Increase Storage on Virtual Server RDS2 from 325GB to 512GB"/>
    <n v="0"/>
    <n v="10"/>
    <n v="0"/>
    <n v="36"/>
    <n v="0"/>
    <n v="0"/>
    <s v="N/A"/>
    <n v="0"/>
    <d v="2024-03-01T00:00:00"/>
    <d v="2024-05-01T00:00:00"/>
  </r>
  <r>
    <n v="38978"/>
    <x v="5"/>
    <x v="2"/>
    <d v="2024-01-15T00:00:00"/>
    <s v="5. Change Order"/>
    <s v="International Assn for the Study of Lung Cancer"/>
    <s v="10478348 - Change Order--Ticket # 10162811 - Adobe Annual Nonprofit Subscription License Renewal"/>
    <n v="0"/>
    <n v="0"/>
    <n v="0"/>
    <n v="1"/>
    <n v="0"/>
    <n v="0"/>
    <n v="-9.1192000000000206"/>
    <n v="0"/>
    <d v="2024-03-01T00:00:00"/>
    <d v="2024-05-01T00:00:00"/>
  </r>
  <r>
    <n v="38975"/>
    <x v="1"/>
    <x v="1"/>
    <d v="2024-01-16T00:00:00"/>
    <s v="3. NRR - Renewal"/>
    <s v="AmSpec Group"/>
    <s v="MPX LA - Website Hosting"/>
    <n v="0"/>
    <n v="0"/>
    <n v="0"/>
    <n v="1"/>
    <n v="0"/>
    <n v="0"/>
    <n v="12"/>
    <n v="0"/>
    <d v="2024-03-01T00:00:00"/>
    <d v="2024-05-01T00:00:00"/>
  </r>
  <r>
    <n v="39107"/>
    <x v="0"/>
    <x v="0"/>
    <d v="2024-01-18T00:00:00"/>
    <s v="2. Up-sell / X-sell"/>
    <s v="Overhead Door Corporation"/>
    <s v="SR 248325 Curved Monitor PO 3003868"/>
    <n v="0"/>
    <n v="0"/>
    <n v="0"/>
    <n v="1"/>
    <n v="0"/>
    <n v="0"/>
    <n v="0"/>
    <n v="0"/>
    <d v="2024-03-01T00:00:00"/>
    <d v="2024-05-01T00:00:00"/>
  </r>
  <r>
    <n v="38962"/>
    <x v="1"/>
    <x v="1"/>
    <d v="2024-01-22T00:00:00"/>
    <s v="2. Up-sell / X-sell"/>
    <s v="Life Storage 8051 (Denham/Rushing Rd)"/>
    <s v="MPX LA - Quote for Cisco Small Business Switch"/>
    <n v="0"/>
    <n v="0"/>
    <n v="0"/>
    <n v="1"/>
    <n v="0"/>
    <n v="0"/>
    <n v="1.4003999999999999"/>
    <n v="0"/>
    <d v="2024-03-01T00:00:00"/>
    <d v="2024-05-01T00:00:00"/>
  </r>
  <r>
    <n v="38961"/>
    <x v="1"/>
    <x v="1"/>
    <d v="2024-01-22T00:00:00"/>
    <s v="2. Up-sell / X-sell"/>
    <s v="Life Storage 8054 (Turner/Jefferson)"/>
    <s v="MPX LA - Quote for Cisco Small Business Switch"/>
    <n v="0"/>
    <n v="0"/>
    <n v="0"/>
    <n v="1"/>
    <n v="0"/>
    <n v="0"/>
    <n v="1.4003999999999999"/>
    <n v="0"/>
    <d v="2024-03-01T00:00:00"/>
    <d v="2024-05-01T00:00:00"/>
  </r>
  <r>
    <n v="38957"/>
    <x v="17"/>
    <x v="6"/>
    <d v="2024-01-15T00:00:00"/>
    <s v="3. NRR - Renewal"/>
    <s v="Arden Engineering Constructors, LLC"/>
    <s v="Adobe - Arden Eng"/>
    <n v="0"/>
    <n v="0"/>
    <n v="0"/>
    <n v="1"/>
    <n v="0"/>
    <n v="0"/>
    <n v="0"/>
    <n v="0"/>
    <d v="2024-03-01T00:00:00"/>
    <d v="2024-05-01T00:00:00"/>
  </r>
  <r>
    <n v="38956"/>
    <x v="1"/>
    <x v="1"/>
    <d v="2024-01-16T00:00:00"/>
    <s v="3. NRR - Renewal"/>
    <s v="Iris Domestic Violence Center"/>
    <s v="MPX LA - Domain renewals"/>
    <n v="0"/>
    <n v="0"/>
    <n v="0"/>
    <n v="1"/>
    <n v="0"/>
    <n v="0"/>
    <n v="0.31279999999999997"/>
    <n v="0"/>
    <d v="2024-03-01T00:00:00"/>
    <d v="2024-05-01T00:00:00"/>
  </r>
  <r>
    <n v="38955"/>
    <x v="1"/>
    <x v="1"/>
    <d v="2024-01-19T00:00:00"/>
    <s v="2. Up-sell / X-sell"/>
    <s v="St James Place of Baton Rouge"/>
    <s v="MPX LA - SSL Certificate renewal"/>
    <n v="0"/>
    <n v="0"/>
    <n v="0"/>
    <n v="1"/>
    <n v="0"/>
    <n v="0"/>
    <n v="0.60040000000000027"/>
    <n v="0"/>
    <d v="2024-03-01T00:00:00"/>
    <d v="2024-05-01T00:00:00"/>
  </r>
  <r>
    <n v="38953"/>
    <x v="1"/>
    <x v="1"/>
    <d v="2024-01-18T00:00:00"/>
    <s v="3. NRR - Renewal"/>
    <s v="Descote Inc"/>
    <s v="MPX LA - Domain renewals"/>
    <n v="0"/>
    <n v="0"/>
    <n v="0"/>
    <n v="1"/>
    <n v="0"/>
    <n v="0"/>
    <n v="0.82440000000000002"/>
    <n v="0"/>
    <d v="2024-03-01T00:00:00"/>
    <d v="2024-05-01T00:00:00"/>
  </r>
  <r>
    <n v="38951"/>
    <x v="10"/>
    <x v="2"/>
    <d v="2024-01-22T00:00:00"/>
    <s v="2. Up-sell / X-sell"/>
    <s v="Aurora Behavioral Health Care"/>
    <s v="Quote #MPS122862 Per Service Ticket #10477232 - Cisco SmartNet Renewal - San Antonio"/>
    <n v="0"/>
    <n v="0"/>
    <n v="0"/>
    <n v="1"/>
    <n v="0"/>
    <n v="0"/>
    <n v="0"/>
    <n v="0"/>
    <d v="2024-03-01T00:00:00"/>
    <d v="2024-05-01T00:00:00"/>
  </r>
  <r>
    <n v="38941"/>
    <x v="3"/>
    <x v="2"/>
    <d v="2024-01-19T00:00:00"/>
    <s v="2. Up-sell / X-sell"/>
    <s v="Bennett Engineering Services Inc."/>
    <s v="Meraki wifi renewal"/>
    <n v="0"/>
    <n v="0"/>
    <n v="0"/>
    <n v="1"/>
    <n v="0"/>
    <n v="0"/>
    <n v="8.1119999999999983"/>
    <n v="0"/>
    <d v="2024-03-01T00:00:00"/>
    <d v="2024-05-01T00:00:00"/>
  </r>
  <r>
    <n v="38938"/>
    <x v="10"/>
    <x v="2"/>
    <d v="2024-01-15T00:00:00"/>
    <s v="2. Up-sell / X-sell"/>
    <s v="Jaffe &amp; Associates, Inc."/>
    <s v="Quote #MPS122851 Per Service Ticket #10462722 - UPS Replacement"/>
    <n v="0"/>
    <n v="0"/>
    <n v="0"/>
    <n v="1"/>
    <n v="0"/>
    <n v="0"/>
    <n v="0"/>
    <n v="0"/>
    <d v="2024-03-01T00:00:00"/>
    <d v="2024-05-01T00:00:00"/>
  </r>
  <r>
    <n v="38936"/>
    <x v="3"/>
    <x v="2"/>
    <d v="2024-01-16T00:00:00"/>
    <s v="2. Up-sell / X-sell"/>
    <s v="Kuenzi &amp; Company"/>
    <s v="#10470849 - Edward Brooks / Computer replacement request"/>
    <n v="0"/>
    <n v="0"/>
    <n v="0"/>
    <n v="1"/>
    <n v="0"/>
    <n v="0"/>
    <n v="24.458400000000008"/>
    <n v="0"/>
    <d v="2024-03-01T00:00:00"/>
    <d v="2024-05-01T00:00:00"/>
  </r>
  <r>
    <n v="38935"/>
    <x v="3"/>
    <x v="2"/>
    <d v="2024-01-16T00:00:00"/>
    <s v="2. Up-sell / X-sell"/>
    <s v="Yamhill Community Care Organization"/>
    <s v="#10402809 - Yamhill Community Care Organization - Other SonicWALL TotalSecure Securit"/>
    <n v="0"/>
    <n v="0"/>
    <n v="0"/>
    <n v="1"/>
    <n v="0"/>
    <n v="0"/>
    <n v="29.572800000000008"/>
    <n v="0"/>
    <d v="2024-03-01T00:00:00"/>
    <d v="2024-05-01T00:00:00"/>
  </r>
  <r>
    <n v="38930"/>
    <x v="10"/>
    <x v="2"/>
    <d v="2024-01-16T00:00:00"/>
    <s v="2. Up-sell / X-sell"/>
    <s v="Vektor Medical, Inc"/>
    <s v="Quote #MPS122843 Per Service Ticket # 10469434 - Windows 11 Home to Pro Upgrade for Microsoft 365 Bu"/>
    <n v="0"/>
    <n v="0"/>
    <n v="0"/>
    <n v="1"/>
    <n v="0"/>
    <n v="0"/>
    <n v="0"/>
    <n v="0"/>
    <d v="2024-03-01T00:00:00"/>
    <d v="2024-05-01T00:00:00"/>
  </r>
  <r>
    <n v="38926"/>
    <x v="1"/>
    <x v="1"/>
    <d v="2024-01-22T00:00:00"/>
    <s v="2. Up-sell / X-sell"/>
    <s v="Life Storage 8014 (Oak Villa Blvd)"/>
    <s v="MPX LA - Cisco 110 Series 8-Port Unmanaged Gigabit Desktop Switch"/>
    <n v="0"/>
    <n v="0"/>
    <n v="0"/>
    <n v="1"/>
    <n v="0"/>
    <n v="0"/>
    <n v="1.4003999999999999"/>
    <n v="0"/>
    <d v="2024-03-01T00:00:00"/>
    <d v="2024-05-01T00:00:00"/>
  </r>
  <r>
    <n v="38922"/>
    <x v="3"/>
    <x v="2"/>
    <d v="2024-01-26T00:00:00"/>
    <s v="3. NRR - Renewal"/>
    <s v="NW Renal Clinic"/>
    <s v="10435042 - Monitoring Alert / NW Renal Clinic Certificate Expiration for *.nwrc.com"/>
    <n v="0"/>
    <n v="0"/>
    <n v="0"/>
    <n v="1"/>
    <n v="0"/>
    <n v="0"/>
    <n v="7.1608000000000001"/>
    <n v="0"/>
    <d v="2024-03-01T00:00:00"/>
    <d v="2024-05-01T00:00:00"/>
  </r>
  <r>
    <n v="39110"/>
    <x v="0"/>
    <x v="0"/>
    <d v="2024-01-18T00:00:00"/>
    <s v="2. Up-sell / X-sell"/>
    <s v="Overhead Door Corporation"/>
    <s v="SR 248403 Monitors PO 20066240"/>
    <n v="0"/>
    <n v="0"/>
    <n v="0"/>
    <n v="1"/>
    <n v="0"/>
    <n v="0"/>
    <n v="0"/>
    <n v="0"/>
    <d v="2024-03-01T00:00:00"/>
    <d v="2024-05-01T00:00:00"/>
  </r>
  <r>
    <n v="38918"/>
    <x v="3"/>
    <x v="2"/>
    <d v="2024-01-25T00:00:00"/>
    <s v="3. NRR - Renewal"/>
    <s v="NorthShore Medical Group"/>
    <s v="10468370 - Monitoring Alert / NorthShore Medical Group Certificate Expiration for access.northshore"/>
    <n v="0"/>
    <n v="0"/>
    <n v="0"/>
    <n v="1"/>
    <n v="0"/>
    <n v="0"/>
    <n v="7.1608000000000001"/>
    <n v="0"/>
    <d v="2024-03-01T00:00:00"/>
    <d v="2024-05-01T00:00:00"/>
  </r>
  <r>
    <n v="39111"/>
    <x v="0"/>
    <x v="0"/>
    <d v="2024-01-18T00:00:00"/>
    <s v="2. Up-sell / X-sell"/>
    <s v="Overhead Door Corporation"/>
    <s v="SR 248491 Jabra Evolve2 PO 50168763"/>
    <n v="0"/>
    <n v="0"/>
    <n v="0"/>
    <n v="1"/>
    <n v="0"/>
    <n v="0"/>
    <n v="0"/>
    <n v="0"/>
    <d v="2024-03-01T00:00:00"/>
    <d v="2024-05-01T00:00:00"/>
  </r>
  <r>
    <n v="39112"/>
    <x v="0"/>
    <x v="0"/>
    <d v="2024-01-18T00:00:00"/>
    <s v="2. Up-sell / X-sell"/>
    <s v="Overhead Door Corporation"/>
    <s v="SR 248412 Standard Dock PO 50168762"/>
    <n v="0"/>
    <n v="0"/>
    <n v="0"/>
    <n v="0"/>
    <n v="0"/>
    <n v="0"/>
    <n v="0"/>
    <n v="0"/>
    <d v="2024-03-01T00:00:00"/>
    <d v="2024-05-01T00:00:00"/>
  </r>
  <r>
    <n v="38914"/>
    <x v="5"/>
    <x v="2"/>
    <d v="2024-01-15T00:00:00"/>
    <s v="3. NRR - Renewal"/>
    <s v="Bethesda Holdings"/>
    <s v="10304289 - Adobe Annual License Renewal"/>
    <n v="0"/>
    <n v="0"/>
    <n v="0"/>
    <n v="1"/>
    <n v="0"/>
    <n v="0"/>
    <n v="6.1327999999999978"/>
    <n v="0"/>
    <d v="2024-03-01T00:00:00"/>
    <d v="2024-05-01T00:00:00"/>
  </r>
  <r>
    <n v="38913"/>
    <x v="5"/>
    <x v="2"/>
    <d v="2024-01-12T00:00:00"/>
    <s v="2. Up-sell / X-sell"/>
    <s v="Rocky Mountain Air"/>
    <s v="10470421 - Under Counter UPS' for Each Site"/>
    <n v="0"/>
    <n v="0"/>
    <n v="0"/>
    <n v="1"/>
    <n v="0"/>
    <n v="0"/>
    <n v="45.676800000000007"/>
    <n v="0"/>
    <d v="2024-03-01T00:00:00"/>
    <d v="2024-05-01T00:00:00"/>
  </r>
  <r>
    <n v="39116"/>
    <x v="0"/>
    <x v="0"/>
    <d v="2024-01-18T00:00:00"/>
    <s v="2. Up-sell / X-sell"/>
    <s v="Overhead Door Corporation"/>
    <s v="SR 248493 Acrobat Std PO 20066242"/>
    <n v="0"/>
    <n v="0"/>
    <n v="0"/>
    <n v="1"/>
    <n v="0"/>
    <n v="0"/>
    <n v="0"/>
    <n v="0"/>
    <d v="2024-03-01T00:00:00"/>
    <d v="2024-05-01T00:00:00"/>
  </r>
  <r>
    <n v="38911"/>
    <x v="1"/>
    <x v="1"/>
    <d v="2024-01-19T00:00:00"/>
    <s v="2. Up-sell / X-sell"/>
    <s v="St James Place of Baton Rouge"/>
    <s v="MPX LA - Cisco Catalyst Switch SMARTnet renewal"/>
    <n v="0"/>
    <n v="0"/>
    <n v="0"/>
    <n v="1"/>
    <n v="0"/>
    <n v="0"/>
    <n v="9.6688000000000009"/>
    <n v="0"/>
    <d v="2024-03-01T00:00:00"/>
    <d v="2024-05-01T00:00:00"/>
  </r>
  <r>
    <n v="38910"/>
    <x v="1"/>
    <x v="1"/>
    <d v="2024-01-18T00:00:00"/>
    <s v="3. NRR - Renewal"/>
    <s v="18th JDC District Attorney?s Office"/>
    <s v="MPX LA - Fortinet FortiCare renewal"/>
    <n v="0"/>
    <n v="0"/>
    <n v="0"/>
    <n v="1"/>
    <n v="0"/>
    <n v="0"/>
    <n v="7.120000000000001"/>
    <n v="0"/>
    <d v="2024-03-01T00:00:00"/>
    <d v="2024-05-01T00:00:00"/>
  </r>
  <r>
    <n v="38908"/>
    <x v="5"/>
    <x v="2"/>
    <d v="2024-01-22T00:00:00"/>
    <s v="3. NRR - Renewal"/>
    <s v="BCER Group"/>
    <s v="10405235 - Renew Warranty on Lenovo SR250 Server BCERMLB S/N# J100VWNN"/>
    <n v="0"/>
    <n v="0"/>
    <n v="0"/>
    <n v="1"/>
    <n v="0"/>
    <n v="0"/>
    <n v="8.64"/>
    <n v="0"/>
    <d v="2024-03-01T00:00:00"/>
    <d v="2024-05-01T00:00:00"/>
  </r>
  <r>
    <n v="39117"/>
    <x v="0"/>
    <x v="0"/>
    <d v="2024-01-18T00:00:00"/>
    <s v="2. Up-sell / X-sell"/>
    <s v="Overhead Door Corporation"/>
    <s v="SR 248496 Latitude 5540 Bundle PO 962702"/>
    <n v="0"/>
    <n v="0"/>
    <n v="0"/>
    <n v="1"/>
    <n v="0"/>
    <n v="0"/>
    <n v="0"/>
    <n v="0"/>
    <d v="2024-03-01T00:00:00"/>
    <d v="2024-05-01T00:00:00"/>
  </r>
  <r>
    <n v="39118"/>
    <x v="0"/>
    <x v="0"/>
    <d v="2024-01-18T00:00:00"/>
    <s v="2. Up-sell / X-sell"/>
    <s v="Overhead Door Corporation"/>
    <s v="SR 248494 Precision 7780 Bundle PO 50168764"/>
    <n v="0"/>
    <n v="0"/>
    <n v="0"/>
    <n v="1"/>
    <n v="0"/>
    <n v="0"/>
    <n v="0"/>
    <n v="0"/>
    <d v="2024-03-01T00:00:00"/>
    <d v="2024-05-01T00:00:00"/>
  </r>
  <r>
    <n v="39120"/>
    <x v="0"/>
    <x v="0"/>
    <d v="2024-01-18T00:00:00"/>
    <s v="2. Up-sell / X-sell"/>
    <s v="Overhead Door Corporation"/>
    <s v="SR 248581 Precision 7780 Bundle Monitors Desk Phone Acrobat Std PO 20066245"/>
    <n v="0"/>
    <n v="0"/>
    <n v="0"/>
    <n v="1"/>
    <n v="0"/>
    <n v="0"/>
    <n v="0"/>
    <n v="0"/>
    <d v="2024-03-01T00:00:00"/>
    <d v="2024-05-01T00:00:00"/>
  </r>
  <r>
    <n v="38899"/>
    <x v="5"/>
    <x v="2"/>
    <d v="2024-01-19T00:00:00"/>
    <s v="2. Up-sell / X-sell"/>
    <s v="Colt Midstream LLC"/>
    <s v="10419785 - SFPs and Fiber Cables - Ship to Weatherford"/>
    <n v="0"/>
    <n v="0"/>
    <n v="0"/>
    <n v="1"/>
    <n v="0"/>
    <n v="0"/>
    <n v="8.9079999999999995"/>
    <n v="0"/>
    <d v="2024-03-01T00:00:00"/>
    <d v="2024-05-01T00:00:00"/>
  </r>
  <r>
    <n v="39121"/>
    <x v="0"/>
    <x v="0"/>
    <d v="2024-01-18T00:00:00"/>
    <s v="2. Up-sell / X-sell"/>
    <s v="Overhead Door Corporation"/>
    <s v="SR 248587 Precision 7780 Bundle PO 20066246"/>
    <n v="0"/>
    <n v="0"/>
    <n v="0"/>
    <n v="1"/>
    <n v="0"/>
    <n v="0"/>
    <n v="0"/>
    <n v="0"/>
    <d v="2024-03-01T00:00:00"/>
    <d v="2024-05-01T00:00:00"/>
  </r>
  <r>
    <n v="39122"/>
    <x v="16"/>
    <x v="0"/>
    <d v="2024-01-19T00:00:00"/>
    <s v="2. Up-sell / X-sell"/>
    <s v="Town Hall Arts Center"/>
    <s v="10489822 - New Computer for Programming Director - Matthew Kepler"/>
    <n v="0"/>
    <n v="0"/>
    <n v="0"/>
    <n v="1"/>
    <n v="0"/>
    <n v="0"/>
    <n v="25.835750000000004"/>
    <n v="0"/>
    <d v="2024-03-01T00:00:00"/>
    <d v="2024-05-01T00:00:00"/>
  </r>
  <r>
    <n v="38894"/>
    <x v="5"/>
    <x v="2"/>
    <d v="2024-01-30T00:00:00"/>
    <s v="3. NRR - Renewal"/>
    <s v="Colt Midstream LLC"/>
    <s v="10424729 - 1-Year 24/7 UTM Coterminous Renewal for Multiple Firewalls"/>
    <n v="0"/>
    <n v="0"/>
    <n v="0"/>
    <n v="1"/>
    <n v="0"/>
    <n v="0"/>
    <n v="95.451200000000028"/>
    <n v="0"/>
    <d v="2024-03-01T00:00:00"/>
    <d v="2024-05-01T00:00:00"/>
  </r>
  <r>
    <n v="39124"/>
    <x v="0"/>
    <x v="0"/>
    <d v="2024-01-18T00:00:00"/>
    <s v="2. Up-sell / X-sell"/>
    <s v="Overhead Door Corporation"/>
    <s v="SR 248589 Precisiojn 7780 Bundle PO 20066249"/>
    <n v="0"/>
    <n v="0"/>
    <n v="0"/>
    <n v="1"/>
    <n v="0"/>
    <n v="0"/>
    <n v="0"/>
    <n v="0"/>
    <d v="2024-03-01T00:00:00"/>
    <d v="2024-05-01T00:00:00"/>
  </r>
  <r>
    <n v="39126"/>
    <x v="0"/>
    <x v="0"/>
    <d v="2024-01-18T00:00:00"/>
    <s v="2. Up-sell / X-sell"/>
    <s v="Overhead Door Corporation"/>
    <s v="SR 248588 Precision 7780 Bundle PO 20066247"/>
    <n v="0"/>
    <n v="0"/>
    <n v="0"/>
    <n v="1"/>
    <n v="0"/>
    <n v="0"/>
    <n v="0"/>
    <n v="0"/>
    <d v="2024-03-01T00:00:00"/>
    <d v="2024-05-01T00:00:00"/>
  </r>
  <r>
    <n v="38888"/>
    <x v="5"/>
    <x v="2"/>
    <d v="2024-01-12T00:00:00"/>
    <s v="3. NRR - Renewal"/>
    <s v="Colt Midstream LLC"/>
    <s v="10437521 - 1-Year SSL Certificate Renewal for remote.coltmidstream.com"/>
    <n v="0"/>
    <n v="0"/>
    <n v="0"/>
    <n v="1"/>
    <n v="0"/>
    <n v="0"/>
    <n v="7.1608000000000001"/>
    <n v="0"/>
    <d v="2024-03-01T00:00:00"/>
    <d v="2024-05-01T00:00:00"/>
  </r>
  <r>
    <n v="39127"/>
    <x v="0"/>
    <x v="0"/>
    <d v="2024-01-18T00:00:00"/>
    <s v="2. Up-sell / X-sell"/>
    <s v="Overhead Door Corporation"/>
    <s v="SR 248634 Latitude 5540 Bundle PO 20066250"/>
    <n v="0"/>
    <n v="0"/>
    <n v="0"/>
    <n v="1"/>
    <n v="0"/>
    <n v="0"/>
    <n v="0"/>
    <n v="0"/>
    <d v="2024-03-01T00:00:00"/>
    <d v="2024-05-01T00:00:00"/>
  </r>
  <r>
    <n v="39129"/>
    <x v="16"/>
    <x v="0"/>
    <d v="2024-01-18T00:00:00"/>
    <s v="2. Up-sell / X-sell"/>
    <s v="Big City Mountaineers"/>
    <s v="10486554 - Prep Three Computers for Deployment"/>
    <n v="0"/>
    <n v="0"/>
    <n v="0"/>
    <n v="1"/>
    <n v="0"/>
    <n v="0"/>
    <n v="25.245000000000001"/>
    <n v="0"/>
    <d v="2024-03-01T00:00:00"/>
    <d v="2024-05-01T00:00:00"/>
  </r>
  <r>
    <n v="38881"/>
    <x v="5"/>
    <x v="2"/>
    <d v="2024-01-30T00:00:00"/>
    <s v="3. NRR - Renewal"/>
    <s v="Lakewood Country Club"/>
    <s v="10456804 - UCC SSL Renwal For mail.lakewoodcountryclub.net"/>
    <n v="0"/>
    <n v="0"/>
    <n v="0"/>
    <n v="1"/>
    <n v="0"/>
    <n v="0"/>
    <n v="7.7208000000000006"/>
    <n v="0"/>
    <d v="2024-03-01T00:00:00"/>
    <d v="2024-05-01T00:00:00"/>
  </r>
  <r>
    <n v="39130"/>
    <x v="0"/>
    <x v="0"/>
    <d v="2024-01-18T00:00:00"/>
    <s v="2. Up-sell / X-sell"/>
    <s v="Overhead Door Corporation"/>
    <s v="SR 248645 Latitude 5540 Bundle Monitors Desk Phone PO 50168784"/>
    <n v="0"/>
    <n v="0"/>
    <n v="0"/>
    <n v="1"/>
    <n v="0"/>
    <n v="0"/>
    <n v="0"/>
    <n v="0"/>
    <d v="2024-03-01T00:00:00"/>
    <d v="2024-05-01T00:00:00"/>
  </r>
  <r>
    <n v="39132"/>
    <x v="0"/>
    <x v="0"/>
    <d v="2024-01-18T00:00:00"/>
    <s v="2. Up-sell / X-sell"/>
    <s v="Overhead Door Corporation"/>
    <s v="SR 248651 Latitude 5540 Bundle PO 3003869"/>
    <n v="0"/>
    <n v="0"/>
    <n v="0"/>
    <n v="1"/>
    <n v="0"/>
    <n v="0"/>
    <n v="0"/>
    <n v="0"/>
    <d v="2024-03-01T00:00:00"/>
    <d v="2024-05-01T00:00:00"/>
  </r>
  <r>
    <n v="39134"/>
    <x v="0"/>
    <x v="0"/>
    <d v="2024-01-18T00:00:00"/>
    <s v="2. Up-sell / X-sell"/>
    <s v="Overhead Door Corporation"/>
    <s v="SR 248988 Latitude 5540 Bundle PO 13964518"/>
    <n v="0"/>
    <n v="0"/>
    <n v="0"/>
    <n v="1"/>
    <n v="0"/>
    <n v="0"/>
    <n v="0"/>
    <n v="0"/>
    <d v="2024-03-01T00:00:00"/>
    <d v="2024-05-01T00:00:00"/>
  </r>
  <r>
    <n v="39135"/>
    <x v="0"/>
    <x v="0"/>
    <d v="2024-01-19T00:00:00"/>
    <s v="2. Up-sell / X-sell"/>
    <s v="Overhead Door Corporation"/>
    <s v="SR 248976 Precision 7780 Bundle PO 50168767"/>
    <n v="0"/>
    <n v="0"/>
    <n v="0"/>
    <n v="1"/>
    <n v="0"/>
    <n v="0"/>
    <n v="0"/>
    <n v="0"/>
    <d v="2024-03-01T00:00:00"/>
    <d v="2024-05-01T00:00:00"/>
  </r>
  <r>
    <n v="39140"/>
    <x v="11"/>
    <x v="3"/>
    <d v="2024-01-30T00:00:00"/>
    <s v="2. Up-sell / X-sell"/>
    <s v="OrthoSouth"/>
    <s v="POTS line for Atoka PT Clinic"/>
    <n v="0"/>
    <n v="35"/>
    <n v="0"/>
    <n v="36"/>
    <n v="0.5"/>
    <n v="0"/>
    <n v="1.4000000000000001"/>
    <n v="17.5"/>
    <d v="2024-03-01T00:00:00"/>
    <d v="2024-05-01T00:00:00"/>
  </r>
  <r>
    <n v="38850"/>
    <x v="5"/>
    <x v="2"/>
    <d v="2024-01-12T00:00:00"/>
    <s v="2. Up-sell / X-sell"/>
    <s v="Estrella Home Health Care Inc"/>
    <s v="10465508 - New Touchscreen Laptop for Existing Employee Christie Hooper"/>
    <n v="0"/>
    <n v="0"/>
    <n v="0"/>
    <n v="1"/>
    <n v="0"/>
    <n v="0"/>
    <n v="26.367199999999997"/>
    <n v="0"/>
    <d v="2024-03-01T00:00:00"/>
    <d v="2024-05-01T00:00:00"/>
  </r>
  <r>
    <n v="38828"/>
    <x v="5"/>
    <x v="2"/>
    <d v="2024-01-17T00:00:00"/>
    <s v="2. Up-sell / X-sell"/>
    <s v="Senior Housing Options"/>
    <s v="10467281 - Laptop and Two Docking Stations - Client Will Call"/>
    <n v="0"/>
    <n v="0"/>
    <n v="0"/>
    <n v="1"/>
    <n v="0"/>
    <n v="0"/>
    <n v="14.159999999999995"/>
    <n v="0"/>
    <d v="2024-03-01T00:00:00"/>
    <d v="2024-05-01T00:00:00"/>
  </r>
  <r>
    <n v="38827"/>
    <x v="10"/>
    <x v="2"/>
    <d v="2024-01-11T00:00:00"/>
    <s v="2. Up-sell / X-sell"/>
    <s v="De Groote Financial"/>
    <s v="Quote #MPS122723 Per Service Ticket # 10454171 - Laptop for Sara"/>
    <n v="0"/>
    <n v="0"/>
    <n v="0"/>
    <n v="1"/>
    <n v="0"/>
    <n v="0"/>
    <n v="0"/>
    <n v="0"/>
    <d v="2024-03-01T00:00:00"/>
    <d v="2024-05-01T00:00:00"/>
  </r>
  <r>
    <n v="38823"/>
    <x v="3"/>
    <x v="2"/>
    <d v="2024-01-12T00:00:00"/>
    <s v="2. Up-sell / X-sell"/>
    <s v="Miyamoto International"/>
    <s v="SJ + Ont Firewall renewals"/>
    <n v="0"/>
    <n v="0"/>
    <n v="0"/>
    <n v="1"/>
    <n v="0"/>
    <n v="0"/>
    <n v="13.497600000000002"/>
    <n v="0"/>
    <d v="2024-03-01T00:00:00"/>
    <d v="2024-05-01T00:00:00"/>
  </r>
  <r>
    <n v="38818"/>
    <x v="10"/>
    <x v="2"/>
    <d v="2024-01-15T00:00:00"/>
    <s v="2. Up-sell / X-sell"/>
    <s v="Freska Produce"/>
    <s v="Quote #MPS122768 Per Service Ticket # 10427413 - Replacement Server Drive"/>
    <n v="0"/>
    <n v="0"/>
    <n v="0"/>
    <n v="1"/>
    <n v="0"/>
    <n v="0"/>
    <n v="0"/>
    <n v="0"/>
    <d v="2024-03-01T00:00:00"/>
    <d v="2024-05-01T00:00:00"/>
  </r>
  <r>
    <n v="39144"/>
    <x v="9"/>
    <x v="0"/>
    <d v="2024-01-31T00:00:00"/>
    <s v="3. NRR - Renewal"/>
    <s v="Bowen Miclette and Britt"/>
    <s v="10486782 - Fortinet Renewal 1-Year 24x7 UTM Renewal For multiple firewalls and devices"/>
    <n v="0"/>
    <n v="0"/>
    <n v="0"/>
    <n v="1"/>
    <n v="0"/>
    <n v="0"/>
    <n v="131.58425000000003"/>
    <n v="0"/>
    <d v="2024-03-01T00:00:00"/>
    <d v="2024-05-01T00:00:00"/>
  </r>
  <r>
    <n v="39152"/>
    <x v="11"/>
    <x v="0"/>
    <d v="2024-01-23T00:00:00"/>
    <s v="2. Up-sell / X-sell"/>
    <s v="OCC MSO, LLC"/>
    <s v="Parker PT Workstation"/>
    <n v="0"/>
    <n v="0"/>
    <n v="0"/>
    <n v="1"/>
    <n v="0"/>
    <n v="0"/>
    <n v="12.160100000000002"/>
    <n v="0"/>
    <d v="2024-03-01T00:00:00"/>
    <d v="2024-05-01T00:00:00"/>
  </r>
  <r>
    <n v="38809"/>
    <x v="5"/>
    <x v="2"/>
    <d v="2024-01-16T00:00:00"/>
    <s v="2. Up-sell / X-sell"/>
    <s v="The Challenger Group"/>
    <s v="4 New Adobe Pro Licenses"/>
    <n v="0"/>
    <n v="0"/>
    <n v="0"/>
    <n v="1"/>
    <n v="0"/>
    <n v="0"/>
    <n v="7.1328000000000022"/>
    <n v="0"/>
    <d v="2024-03-01T00:00:00"/>
    <d v="2024-05-01T00:00:00"/>
  </r>
  <r>
    <n v="38803"/>
    <x v="3"/>
    <x v="2"/>
    <d v="2024-01-16T00:00:00"/>
    <s v="2. Up-sell / X-sell"/>
    <s v="Cook Engineering, Inc."/>
    <s v="SonicWall Upgrade TZ370"/>
    <n v="0"/>
    <n v="0"/>
    <n v="0"/>
    <n v="1"/>
    <n v="0"/>
    <n v="0"/>
    <n v="38.516800000000003"/>
    <n v="0"/>
    <d v="2024-03-01T00:00:00"/>
    <d v="2024-05-01T00:00:00"/>
  </r>
  <r>
    <n v="38793"/>
    <x v="10"/>
    <x v="2"/>
    <d v="2024-01-12T00:00:00"/>
    <s v="2. Up-sell / X-sell"/>
    <s v="Sunroad Enterprises"/>
    <s v="Quote #MPS122747 Per Service Ticket # 10445556 - SASSI - Monitor"/>
    <n v="0"/>
    <n v="0"/>
    <n v="0"/>
    <n v="1"/>
    <n v="0"/>
    <n v="0"/>
    <n v="0"/>
    <n v="0"/>
    <d v="2024-03-01T00:00:00"/>
    <d v="2024-05-01T00:00:00"/>
  </r>
  <r>
    <n v="39157"/>
    <x v="11"/>
    <x v="0"/>
    <d v="2024-01-26T00:00:00"/>
    <s v="2. Up-sell / X-sell"/>
    <s v="Tulsa Bone &amp; Joint Associates"/>
    <s v="20 Dell monitors for Epic Deployment"/>
    <n v="0"/>
    <n v="0"/>
    <n v="0"/>
    <n v="1"/>
    <n v="0"/>
    <n v="0"/>
    <n v="59.125999999999998"/>
    <n v="0"/>
    <d v="2024-03-01T00:00:00"/>
    <d v="2024-05-01T00:00:00"/>
  </r>
  <r>
    <n v="39165"/>
    <x v="11"/>
    <x v="3"/>
    <d v="2024-01-22T00:00:00"/>
    <s v="2. Up-sell / X-sell"/>
    <s v="MedVanta"/>
    <s v="Jan 19 Microsoft licensing"/>
    <n v="0"/>
    <n v="6.35"/>
    <n v="0"/>
    <n v="12"/>
    <n v="0.125"/>
    <n v="0"/>
    <s v="N/A"/>
    <n v="0.79374999999999996"/>
    <d v="2024-03-01T00:00:00"/>
    <d v="2024-05-01T00:00:00"/>
  </r>
  <r>
    <n v="39183"/>
    <x v="11"/>
    <x v="0"/>
    <d v="2024-01-30T00:00:00"/>
    <s v="3. NRR - Renewal"/>
    <s v="OrthoSouth"/>
    <s v="Aruba - OrthoSouth"/>
    <n v="0"/>
    <n v="0"/>
    <n v="0"/>
    <n v="1"/>
    <n v="0"/>
    <n v="0"/>
    <n v="103.72125000000001"/>
    <n v="0"/>
    <d v="2024-03-01T00:00:00"/>
    <d v="2024-05-01T00:00:00"/>
  </r>
  <r>
    <n v="38779"/>
    <x v="5"/>
    <x v="2"/>
    <d v="2024-01-11T00:00:00"/>
    <s v="2. Up-sell / X-sell"/>
    <s v="Slawson Companies"/>
    <s v="Service Ticket #10462666 APC Smart UPS 1500"/>
    <n v="0"/>
    <n v="0"/>
    <n v="0"/>
    <n v="1"/>
    <n v="0"/>
    <n v="0"/>
    <n v="43.884"/>
    <n v="0"/>
    <d v="2024-03-01T00:00:00"/>
    <d v="2024-05-01T00:00:00"/>
  </r>
  <r>
    <n v="38775"/>
    <x v="3"/>
    <x v="2"/>
    <d v="2024-01-18T00:00:00"/>
    <s v="2. Up-sell / X-sell"/>
    <s v="Metropolitan Pediatrics"/>
    <s v="#10455457 - GR: Kevin Hudson / Procure Wireless headset (for Samantha Godair)"/>
    <n v="0"/>
    <n v="0"/>
    <n v="0"/>
    <n v="1"/>
    <n v="0"/>
    <n v="0"/>
    <n v="2.4383999999999992"/>
    <n v="0"/>
    <d v="2024-03-01T00:00:00"/>
    <d v="2024-05-01T00:00:00"/>
  </r>
  <r>
    <n v="38773"/>
    <x v="10"/>
    <x v="2"/>
    <d v="2024-01-11T00:00:00"/>
    <s v="2. Up-sell / X-sell"/>
    <s v="ProDoc - Kytel"/>
    <s v="Quote #MPS122713 Per Service Ticket # 10262762 - Meraki Cloud License Renewal"/>
    <n v="0"/>
    <n v="0"/>
    <n v="0"/>
    <n v="1"/>
    <n v="0"/>
    <n v="0"/>
    <n v="0"/>
    <n v="0"/>
    <d v="2024-03-01T00:00:00"/>
    <d v="2024-05-01T00:00:00"/>
  </r>
  <r>
    <n v="38771"/>
    <x v="3"/>
    <x v="2"/>
    <d v="2024-01-16T00:00:00"/>
    <s v="2. Up-sell / X-sell"/>
    <s v="Kraft Masonry"/>
    <s v="10453200 - SonicWall Firewall Annual Support Renewal TZ350 SN: 2CB8ED3E4078"/>
    <n v="0"/>
    <n v="0"/>
    <n v="0"/>
    <n v="1"/>
    <n v="0"/>
    <n v="0"/>
    <n v="9.5839999999999961"/>
    <n v="0"/>
    <d v="2024-03-01T00:00:00"/>
    <d v="2024-05-01T00:00:00"/>
  </r>
  <r>
    <n v="39185"/>
    <x v="12"/>
    <x v="0"/>
    <d v="2024-01-22T00:00:00"/>
    <s v="3. NRR - Renewal"/>
    <s v="174 Power Global Corp"/>
    <s v="FortiAP231F 1YR - 174 Power Global Corp"/>
    <n v="0"/>
    <n v="0"/>
    <n v="0"/>
    <n v="1"/>
    <n v="0"/>
    <n v="0"/>
    <n v="1.1577"/>
    <n v="0"/>
    <d v="2024-03-01T00:00:00"/>
    <d v="2024-05-01T00:00:00"/>
  </r>
  <r>
    <n v="38761"/>
    <x v="1"/>
    <x v="1"/>
    <d v="2024-01-11T00:00:00"/>
    <s v="3. NRR - Renewal"/>
    <s v="Brian Harris Auto Group"/>
    <s v="MPX LA - Domain renewals"/>
    <n v="0"/>
    <n v="0"/>
    <n v="0"/>
    <n v="1"/>
    <n v="0"/>
    <n v="0"/>
    <n v="1.3712"/>
    <n v="0"/>
    <d v="2024-03-01T00:00:00"/>
    <d v="2024-05-01T00:00:00"/>
  </r>
  <r>
    <n v="38759"/>
    <x v="1"/>
    <x v="1"/>
    <d v="2024-01-11T00:00:00"/>
    <s v="2. Up-sell / X-sell"/>
    <s v="Treads &amp; Care Tire Company"/>
    <s v="MPX LA - Replacement APC UPS"/>
    <n v="0"/>
    <n v="0"/>
    <n v="0"/>
    <n v="1"/>
    <n v="0"/>
    <n v="0"/>
    <n v="15.6052"/>
    <n v="0"/>
    <d v="2024-03-01T00:00:00"/>
    <d v="2024-05-01T00:00:00"/>
  </r>
  <r>
    <n v="38758"/>
    <x v="3"/>
    <x v="2"/>
    <d v="2024-01-10T00:00:00"/>
    <s v="2. Up-sell / X-sell"/>
    <s v="Intech Mechanical"/>
    <s v="Install 2nd hard drives - Phase 1"/>
    <n v="0"/>
    <n v="0"/>
    <n v="0"/>
    <n v="1"/>
    <n v="0"/>
    <n v="0"/>
    <n v="8.4040000000000017"/>
    <n v="0"/>
    <d v="2024-03-01T00:00:00"/>
    <d v="2024-05-01T00:00:00"/>
  </r>
  <r>
    <n v="38756"/>
    <x v="1"/>
    <x v="1"/>
    <d v="2024-01-23T00:00:00"/>
    <s v="3. NRR - Renewal"/>
    <s v="Manchac Consulting Group Inc"/>
    <s v="MPX LA - Veeam Renewal"/>
    <n v="0"/>
    <n v="0"/>
    <n v="0"/>
    <n v="1"/>
    <n v="0"/>
    <n v="0"/>
    <n v="5.9040000000000008"/>
    <n v="0"/>
    <d v="2024-03-01T00:00:00"/>
    <d v="2024-05-01T00:00:00"/>
  </r>
  <r>
    <n v="38755"/>
    <x v="13"/>
    <x v="3"/>
    <d v="2024-01-23T00:00:00"/>
    <s v="3. NRR - Renewal"/>
    <s v="Grady Crawford Construction Company"/>
    <s v="MPX LA - SSL Renewal"/>
    <n v="0"/>
    <n v="0"/>
    <n v="0"/>
    <n v="1"/>
    <n v="0"/>
    <n v="0"/>
    <n v="0"/>
    <n v="0"/>
    <d v="2024-03-01T00:00:00"/>
    <d v="2024-05-01T00:00:00"/>
  </r>
  <r>
    <n v="38753"/>
    <x v="10"/>
    <x v="2"/>
    <d v="2024-01-11T00:00:00"/>
    <s v="2. Up-sell / X-sell"/>
    <s v="Johanson Technology"/>
    <s v="Quote #MPS122683 Per Service Ticket # 10459817 - Fortinet Switch"/>
    <n v="0"/>
    <n v="0"/>
    <n v="0"/>
    <n v="1"/>
    <n v="0"/>
    <n v="0"/>
    <n v="0"/>
    <n v="0"/>
    <d v="2024-03-01T00:00:00"/>
    <d v="2024-05-01T00:00:00"/>
  </r>
  <r>
    <n v="38751"/>
    <x v="2"/>
    <x v="2"/>
    <d v="2024-01-10T00:00:00"/>
    <s v="2. Up-sell / X-sell"/>
    <s v="Global Trim Sales Inc."/>
    <s v="Adobe Renewal"/>
    <n v="0"/>
    <n v="0"/>
    <n v="0"/>
    <n v="1"/>
    <n v="0"/>
    <n v="0"/>
    <n v="22.42"/>
    <n v="0"/>
    <d v="2024-03-01T00:00:00"/>
    <d v="2024-05-01T00:00:00"/>
  </r>
  <r>
    <n v="38745"/>
    <x v="13"/>
    <x v="3"/>
    <d v="2024-01-10T00:00:00"/>
    <s v="2. Up-sell / X-sell"/>
    <s v="JH Operating Company LLC"/>
    <s v="MPX LA - Justin Vestal new user setup"/>
    <n v="0"/>
    <n v="0"/>
    <n v="0"/>
    <n v="1"/>
    <n v="0"/>
    <n v="0"/>
    <n v="0"/>
    <n v="0"/>
    <d v="2024-03-01T00:00:00"/>
    <d v="2024-05-01T00:00:00"/>
  </r>
  <r>
    <n v="39191"/>
    <x v="9"/>
    <x v="2"/>
    <d v="2024-01-22T00:00:00"/>
    <s v="5. Change Order"/>
    <s v="Agility Bank N.A."/>
    <s v="Zorus and Deslock licenses"/>
    <n v="0"/>
    <n v="-107.9"/>
    <n v="0"/>
    <n v="36"/>
    <n v="0.5"/>
    <n v="0"/>
    <s v="N/A"/>
    <n v="-53.95"/>
    <d v="2024-03-01T00:00:00"/>
    <d v="2024-05-01T00:00:00"/>
  </r>
  <r>
    <n v="39207"/>
    <x v="9"/>
    <x v="0"/>
    <d v="2024-01-25T00:00:00"/>
    <s v="2. Up-sell / X-sell"/>
    <s v="AIV, L.P."/>
    <s v="Windows 2022 Server License"/>
    <n v="0"/>
    <n v="0"/>
    <n v="0"/>
    <n v="1"/>
    <n v="0"/>
    <n v="0"/>
    <n v="13.741099999999998"/>
    <n v="0"/>
    <d v="2024-03-01T00:00:00"/>
    <d v="2024-05-01T00:00:00"/>
  </r>
  <r>
    <n v="39258"/>
    <x v="9"/>
    <x v="0"/>
    <d v="2024-01-30T00:00:00"/>
    <s v="2. Up-sell / X-sell"/>
    <s v="Blue Bell Creameries LP"/>
    <s v="Block Time"/>
    <n v="0"/>
    <n v="0"/>
    <n v="0"/>
    <n v="0"/>
    <n v="0"/>
    <n v="0"/>
    <n v="481"/>
    <n v="0"/>
    <d v="2024-03-01T00:00:00"/>
    <d v="2024-05-01T00:00:00"/>
  </r>
  <r>
    <n v="39266"/>
    <x v="16"/>
    <x v="0"/>
    <d v="2024-01-23T00:00:00"/>
    <s v="2. Up-sell / X-sell"/>
    <s v="State Bank of Lizton"/>
    <s v="12ft (3.7m) Cat6a Snagless Unshielded (UTP) Ethernet Network Patch Cable - Blue"/>
    <n v="0"/>
    <n v="0"/>
    <n v="0"/>
    <n v="1"/>
    <n v="0"/>
    <n v="0"/>
    <n v="5.0184000000000024"/>
    <n v="0"/>
    <d v="2024-03-01T00:00:00"/>
    <d v="2024-05-01T00:00:00"/>
  </r>
  <r>
    <n v="38731"/>
    <x v="10"/>
    <x v="2"/>
    <d v="2024-01-10T00:00:00"/>
    <s v="2. Up-sell / X-sell"/>
    <s v="Search Dog Foundation"/>
    <s v="Quote #MPS122677 Per Service Ticket #10449390 - Teams Conference Room Solution"/>
    <n v="0"/>
    <n v="0"/>
    <n v="0"/>
    <n v="1"/>
    <n v="0"/>
    <n v="0"/>
    <n v="0"/>
    <n v="0"/>
    <d v="2024-03-01T00:00:00"/>
    <d v="2024-05-01T00:00:00"/>
  </r>
  <r>
    <n v="38730"/>
    <x v="8"/>
    <x v="1"/>
    <d v="2024-01-16T00:00:00"/>
    <s v="2. Up-sell / X-sell"/>
    <s v="FB Financial Holdings"/>
    <s v="FB Azure Project Planning Services Block of Hours"/>
    <n v="0"/>
    <n v="0"/>
    <n v="0"/>
    <n v="0"/>
    <n v="0"/>
    <n v="0"/>
    <n v="585"/>
    <n v="0"/>
    <d v="2024-03-01T00:00:00"/>
    <d v="2024-05-01T00:00:00"/>
  </r>
  <r>
    <n v="38728"/>
    <x v="6"/>
    <x v="2"/>
    <d v="2024-01-10T00:00:00"/>
    <s v="2. Up-sell / X-sell"/>
    <s v="Lebco Industries, LP"/>
    <s v="Patch Cables and Switch for Katy store"/>
    <n v="0"/>
    <n v="0"/>
    <n v="0"/>
    <n v="1"/>
    <n v="0"/>
    <n v="0"/>
    <n v="1.4104000000000001"/>
    <n v="0"/>
    <d v="2024-03-01T00:00:00"/>
    <d v="2024-05-01T00:00:00"/>
  </r>
  <r>
    <n v="38725"/>
    <x v="10"/>
    <x v="2"/>
    <d v="2024-01-10T00:00:00"/>
    <s v="2. Up-sell / X-sell"/>
    <s v="Vortech Engineering LLC"/>
    <s v="Quote #MPS122664 Per Service Ticket #10457761 - Meraki Cloud License Renewal"/>
    <n v="0"/>
    <n v="0"/>
    <n v="0"/>
    <n v="1"/>
    <n v="0"/>
    <n v="0"/>
    <n v="0"/>
    <n v="0"/>
    <d v="2024-03-01T00:00:00"/>
    <d v="2024-05-01T00:00:00"/>
  </r>
  <r>
    <n v="38723"/>
    <x v="6"/>
    <x v="2"/>
    <d v="2024-01-09T00:00:00"/>
    <s v="2. Up-sell / X-sell"/>
    <s v="Community Medical Services - CMS"/>
    <s v="30 hour block"/>
    <n v="0"/>
    <n v="0"/>
    <n v="0"/>
    <n v="0"/>
    <n v="0"/>
    <n v="0"/>
    <n v="246"/>
    <n v="0"/>
    <d v="2024-03-01T00:00:00"/>
    <d v="2024-05-01T00:00:00"/>
  </r>
  <r>
    <n v="38717"/>
    <x v="10"/>
    <x v="2"/>
    <d v="2024-01-18T00:00:00"/>
    <s v="2. Up-sell / X-sell"/>
    <s v="Oaks Christian School"/>
    <s v="Quote #MPS122631 Per Service Ticket #10455670 - Additional Switches"/>
    <n v="0"/>
    <n v="0"/>
    <n v="0"/>
    <n v="1"/>
    <n v="0"/>
    <n v="0"/>
    <n v="0"/>
    <n v="0"/>
    <d v="2024-03-01T00:00:00"/>
    <d v="2024-05-01T00:00:00"/>
  </r>
  <r>
    <n v="38712"/>
    <x v="7"/>
    <x v="3"/>
    <d v="2024-01-09T00:00:00"/>
    <s v="2. Up-sell / X-sell"/>
    <s v="Alianza of New Mexico"/>
    <s v="- Returned to sales - No Quote attached. 1 - Desktop with 2 monitors"/>
    <n v="0"/>
    <n v="0"/>
    <n v="0"/>
    <n v="1"/>
    <n v="0"/>
    <n v="0"/>
    <n v="17.778400000000005"/>
    <n v="0"/>
    <d v="2024-03-01T00:00:00"/>
    <d v="2024-05-01T00:00:00"/>
  </r>
  <r>
    <n v="38711"/>
    <x v="3"/>
    <x v="2"/>
    <d v="2024-01-16T00:00:00"/>
    <s v="2. Up-sell / X-sell"/>
    <s v="City of Warrenton"/>
    <s v="#10442768 - Brian Crouter\ Quote for Adobe Standard license"/>
    <n v="0"/>
    <n v="0"/>
    <n v="0"/>
    <n v="1"/>
    <n v="0"/>
    <n v="0"/>
    <n v="2.1800000000000002"/>
    <n v="0"/>
    <d v="2024-03-01T00:00:00"/>
    <d v="2024-05-01T00:00:00"/>
  </r>
  <r>
    <n v="38708"/>
    <x v="13"/>
    <x v="3"/>
    <d v="2024-01-10T00:00:00"/>
    <s v="3. NRR - Renewal"/>
    <s v="Brian Harris Porsche"/>
    <s v="MPX LA - Porsche Fortinet Renewals"/>
    <n v="0"/>
    <n v="0"/>
    <n v="0"/>
    <n v="1"/>
    <n v="0"/>
    <n v="0"/>
    <n v="0"/>
    <n v="0"/>
    <d v="2024-03-01T00:00:00"/>
    <d v="2024-05-01T00:00:00"/>
  </r>
  <r>
    <n v="38707"/>
    <x v="1"/>
    <x v="1"/>
    <d v="2024-01-30T00:00:00"/>
    <s v="3. NRR - Renewal"/>
    <s v="Owen Biosciences Inc"/>
    <s v="MPX LA - Forti AP Renewal"/>
    <n v="0"/>
    <n v="0"/>
    <n v="0"/>
    <n v="1"/>
    <n v="0"/>
    <n v="0"/>
    <n v="0.85839999999999972"/>
    <n v="0"/>
    <d v="2024-03-01T00:00:00"/>
    <d v="2024-05-01T00:00:00"/>
  </r>
  <r>
    <n v="39272"/>
    <x v="11"/>
    <x v="2"/>
    <d v="2024-01-23T00:00:00"/>
    <s v="2. Up-sell / X-sell"/>
    <s v="Regenexx"/>
    <s v="Microsoft Licensing"/>
    <n v="0"/>
    <n v="7.92"/>
    <n v="0"/>
    <n v="12"/>
    <n v="0.125"/>
    <n v="0"/>
    <s v="N/A"/>
    <n v="0.99"/>
    <d v="2024-03-01T00:00:00"/>
    <d v="2024-05-01T00:00:00"/>
  </r>
  <r>
    <n v="38695"/>
    <x v="2"/>
    <x v="2"/>
    <d v="2024-01-22T00:00:00"/>
    <s v="3. NRR - Renewal"/>
    <s v="SPC Retail Display Group (Sam Pievac)"/>
    <s v="HPE 1YR SN:MXQ44302KK - SPC Retail Display Group (Sam Pievac)"/>
    <n v="0"/>
    <n v="0"/>
    <n v="0"/>
    <n v="1"/>
    <n v="0"/>
    <n v="0"/>
    <n v="30.680800000000001"/>
    <n v="0"/>
    <d v="2024-03-01T00:00:00"/>
    <d v="2024-05-01T00:00:00"/>
  </r>
  <r>
    <n v="38694"/>
    <x v="5"/>
    <x v="2"/>
    <d v="2024-01-12T00:00:00"/>
    <s v="2. Up-sell / X-sell"/>
    <s v="Ascentris"/>
    <s v="New High Speed Laptop"/>
    <n v="0"/>
    <n v="0"/>
    <n v="0"/>
    <n v="1"/>
    <n v="0"/>
    <n v="0"/>
    <n v="45.479199999999999"/>
    <n v="0"/>
    <d v="2024-03-01T00:00:00"/>
    <d v="2024-05-01T00:00:00"/>
  </r>
  <r>
    <n v="38693"/>
    <x v="5"/>
    <x v="2"/>
    <d v="2024-01-10T00:00:00"/>
    <s v="2. Up-sell / X-sell"/>
    <s v="Lifescape"/>
    <s v="Two Surface Pros, two Basic Laptops"/>
    <n v="0"/>
    <n v="0"/>
    <n v="0"/>
    <n v="1"/>
    <n v="0"/>
    <n v="0"/>
    <n v="58.51639999999999"/>
    <n v="0"/>
    <d v="2024-03-01T00:00:00"/>
    <d v="2024-05-01T00:00:00"/>
  </r>
  <r>
    <n v="38691"/>
    <x v="3"/>
    <x v="2"/>
    <d v="2024-01-08T00:00:00"/>
    <s v="2. Up-sell / X-sell"/>
    <s v="Wildlands"/>
    <s v="New tower computer"/>
    <n v="0"/>
    <n v="0"/>
    <n v="0"/>
    <n v="1"/>
    <n v="0"/>
    <n v="0"/>
    <n v="38.281599999999997"/>
    <n v="0"/>
    <d v="2024-03-01T00:00:00"/>
    <d v="2024-05-01T00:00:00"/>
  </r>
  <r>
    <n v="38689"/>
    <x v="3"/>
    <x v="2"/>
    <d v="2024-01-12T00:00:00"/>
    <s v="2. Up-sell / X-sell"/>
    <s v="Columbia Gorge Family Medicine"/>
    <s v="Dr. Gay Replacement Desktop"/>
    <n v="0"/>
    <n v="0"/>
    <n v="0"/>
    <n v="1"/>
    <n v="0"/>
    <n v="0"/>
    <n v="28.095199999999998"/>
    <n v="0"/>
    <d v="2024-03-01T00:00:00"/>
    <d v="2024-05-01T00:00:00"/>
  </r>
  <r>
    <n v="38685"/>
    <x v="5"/>
    <x v="2"/>
    <d v="2024-01-10T00:00:00"/>
    <s v="2. Up-sell / X-sell"/>
    <s v="ValueTronics International Inc"/>
    <s v="New PC for Harley Stavis"/>
    <n v="0"/>
    <n v="0"/>
    <n v="0"/>
    <n v="1"/>
    <n v="0"/>
    <n v="0"/>
    <n v="36.171199999999992"/>
    <n v="0"/>
    <d v="2024-03-01T00:00:00"/>
    <d v="2024-05-01T00:00:00"/>
  </r>
  <r>
    <n v="38682"/>
    <x v="1"/>
    <x v="1"/>
    <d v="2024-01-22T00:00:00"/>
    <s v="2. Up-sell / X-sell"/>
    <s v="Industrial Parts Specialties LLC"/>
    <s v="MPX LA - Phone, GPU, and CLoud project"/>
    <n v="0"/>
    <n v="0"/>
    <n v="0"/>
    <n v="1"/>
    <n v="0"/>
    <n v="0"/>
    <n v="119.19720000000002"/>
    <n v="0"/>
    <d v="2024-03-01T00:00:00"/>
    <d v="2024-05-01T00:00:00"/>
  </r>
  <r>
    <n v="38681"/>
    <x v="3"/>
    <x v="2"/>
    <d v="2024-01-18T00:00:00"/>
    <s v="2. Up-sell / X-sell"/>
    <s v="Cascadia Women's Clinic"/>
    <s v="Firewall Security Suite Renewal 1 yr"/>
    <n v="0"/>
    <n v="0"/>
    <n v="0"/>
    <n v="1"/>
    <n v="0"/>
    <n v="0"/>
    <n v="3.5424000000000002"/>
    <n v="0"/>
    <d v="2024-03-01T00:00:00"/>
    <d v="2024-05-01T00:00:00"/>
  </r>
  <r>
    <n v="38678"/>
    <x v="10"/>
    <x v="2"/>
    <d v="2024-01-08T00:00:00"/>
    <s v="2. Up-sell / X-sell"/>
    <s v="Oaks Christian School"/>
    <s v="Quote #MPS122612 Per Service Ticket #10454745 - Cisco SFP"/>
    <n v="0"/>
    <n v="0"/>
    <n v="0"/>
    <n v="1"/>
    <n v="0"/>
    <n v="0"/>
    <n v="0"/>
    <n v="0"/>
    <d v="2024-03-01T00:00:00"/>
    <d v="2024-05-01T00:00:00"/>
  </r>
  <r>
    <n v="38675"/>
    <x v="18"/>
    <x v="6"/>
    <d v="2024-01-11T00:00:00"/>
    <s v="3. NRR - Renewal"/>
    <s v="Bank of Houston"/>
    <s v="Cisco Meraki Addl QX9286 - Bank of Houston"/>
    <n v="0"/>
    <n v="0"/>
    <n v="0"/>
    <n v="1"/>
    <n v="0"/>
    <n v="0"/>
    <n v="0"/>
    <n v="0"/>
    <d v="2024-03-01T00:00:00"/>
    <d v="2024-05-01T00:00:00"/>
  </r>
  <r>
    <n v="39275"/>
    <x v="12"/>
    <x v="0"/>
    <d v="2024-01-24T00:00:00"/>
    <s v="2. Up-sell / X-sell"/>
    <s v="Nucor Building Systems - Yamato Steel"/>
    <s v="DINION IP starlight 7000 1080p INTELLIGE"/>
    <n v="0"/>
    <n v="0"/>
    <n v="0"/>
    <n v="1"/>
    <n v="0"/>
    <n v="0"/>
    <n v="7.9636500000000048"/>
    <n v="0"/>
    <d v="2024-03-01T00:00:00"/>
    <d v="2024-05-01T00:00:00"/>
  </r>
  <r>
    <n v="38663"/>
    <x v="3"/>
    <x v="2"/>
    <d v="2024-01-08T00:00:00"/>
    <s v="2. Up-sell / X-sell"/>
    <s v="Intech Mechanical"/>
    <s v="3 laptops and docks"/>
    <n v="0"/>
    <n v="0"/>
    <n v="0"/>
    <n v="1"/>
    <n v="0"/>
    <n v="0"/>
    <n v="100.78800000000001"/>
    <n v="0"/>
    <d v="2024-03-01T00:00:00"/>
    <d v="2024-05-01T00:00:00"/>
  </r>
  <r>
    <n v="38660"/>
    <x v="3"/>
    <x v="2"/>
    <d v="2024-01-11T00:00:00"/>
    <s v="2. Up-sell / X-sell"/>
    <s v="Metropolitan Pediatrics"/>
    <s v="#10451179 - AD: Amy Krieger / Procurement Ergonomic Keyboard for Jennifer Sandoval"/>
    <n v="0"/>
    <n v="0"/>
    <n v="0"/>
    <n v="1"/>
    <n v="0"/>
    <n v="0"/>
    <n v="0.89360000000000017"/>
    <n v="0"/>
    <d v="2024-03-01T00:00:00"/>
    <d v="2024-05-01T00:00:00"/>
  </r>
  <r>
    <n v="38657"/>
    <x v="6"/>
    <x v="2"/>
    <d v="2024-01-08T00:00:00"/>
    <s v="2. Up-sell / X-sell"/>
    <s v="The Warren Center"/>
    <s v="Desktop PC"/>
    <n v="0"/>
    <n v="0"/>
    <n v="0"/>
    <n v="1"/>
    <n v="0"/>
    <n v="0"/>
    <n v="12.800000000000004"/>
    <n v="0"/>
    <d v="2024-03-01T00:00:00"/>
    <d v="2024-05-01T00:00:00"/>
  </r>
  <r>
    <n v="38651"/>
    <x v="3"/>
    <x v="2"/>
    <d v="2024-01-09T00:00:00"/>
    <s v="2. Up-sell / X-sell"/>
    <s v="Huggins Insurance"/>
    <s v="PC Replacement for Gini"/>
    <n v="0"/>
    <n v="0"/>
    <n v="0"/>
    <n v="1"/>
    <n v="0"/>
    <n v="0"/>
    <n v="34.641600000000004"/>
    <n v="0"/>
    <d v="2024-03-01T00:00:00"/>
    <d v="2024-05-01T00:00:00"/>
  </r>
  <r>
    <n v="38646"/>
    <x v="5"/>
    <x v="2"/>
    <d v="2024-01-08T00:00:00"/>
    <s v="2. Up-sell / X-sell"/>
    <s v="Archdiocese of Denver Mgmt Corp"/>
    <s v="Block of Hours"/>
    <n v="0"/>
    <n v="0"/>
    <n v="0"/>
    <n v="0"/>
    <n v="0"/>
    <n v="0"/>
    <n v="88"/>
    <n v="0"/>
    <d v="2024-03-01T00:00:00"/>
    <d v="2024-05-01T00:00:00"/>
  </r>
  <r>
    <n v="39307"/>
    <x v="11"/>
    <x v="0"/>
    <d v="2024-01-30T00:00:00"/>
    <s v="2. Up-sell / X-sell"/>
    <s v="Boulder Comm Musculoskeletal Surgery"/>
    <s v="Rackmount 1500 VA UPS"/>
    <n v="0"/>
    <n v="0"/>
    <n v="0"/>
    <n v="1"/>
    <n v="0"/>
    <n v="0"/>
    <n v="22.529250000000005"/>
    <n v="0"/>
    <d v="2024-03-01T00:00:00"/>
    <d v="2024-05-01T00:00:00"/>
  </r>
  <r>
    <n v="39309"/>
    <x v="16"/>
    <x v="0"/>
    <d v="2024-01-30T00:00:00"/>
    <s v="3. NRR - Renewal"/>
    <s v="Blackford"/>
    <s v="10502061 - Veeam Data Platform Essentials Universal - Annual Support Renewal Contract # 02989954"/>
    <n v="0"/>
    <n v="0"/>
    <n v="0"/>
    <n v="1"/>
    <n v="0"/>
    <n v="0"/>
    <n v="3.0022000000000046"/>
    <n v="0"/>
    <d v="2024-03-01T00:00:00"/>
    <d v="2024-05-01T00:00:00"/>
  </r>
  <r>
    <n v="38641"/>
    <x v="10"/>
    <x v="2"/>
    <d v="2024-01-11T00:00:00"/>
    <s v="2. Up-sell / X-sell"/>
    <s v="Sunroad Enterprises"/>
    <s v="Quote #MPS122566 Per Service Ticket # 10396670 - PH - USB Flash Drives"/>
    <n v="0"/>
    <n v="0"/>
    <n v="0"/>
    <n v="1"/>
    <n v="0"/>
    <n v="0"/>
    <n v="0"/>
    <n v="0"/>
    <d v="2024-03-01T00:00:00"/>
    <d v="2024-05-01T00:00:00"/>
  </r>
  <r>
    <n v="38640"/>
    <x v="3"/>
    <x v="2"/>
    <d v="2024-01-18T00:00:00"/>
    <s v="2. Up-sell / X-sell"/>
    <s v="Northside Capital Management"/>
    <s v="NCM: 10308476 - Intune Deployment Project"/>
    <n v="0"/>
    <n v="0"/>
    <n v="0"/>
    <n v="1"/>
    <n v="0"/>
    <n v="0"/>
    <n v="108"/>
    <n v="0"/>
    <d v="2024-03-01T00:00:00"/>
    <d v="2024-05-01T00:00:00"/>
  </r>
  <r>
    <n v="38639"/>
    <x v="13"/>
    <x v="3"/>
    <d v="2024-01-05T00:00:00"/>
    <s v="2. Up-sell / X-sell"/>
    <s v="Blackbuck Petroleum LLC"/>
    <s v="MPX LA - Replacement Laptop for Beau"/>
    <n v="0"/>
    <n v="0"/>
    <n v="0"/>
    <n v="1"/>
    <n v="0"/>
    <n v="0"/>
    <n v="0"/>
    <n v="0"/>
    <d v="2024-03-01T00:00:00"/>
    <d v="2024-05-01T00:00:00"/>
  </r>
  <r>
    <n v="38638"/>
    <x v="2"/>
    <x v="2"/>
    <d v="2024-01-17T00:00:00"/>
    <s v="2. Up-sell / X-sell"/>
    <s v="Signature Party Rentals"/>
    <s v="NoteBook for Corey Martinez"/>
    <n v="0"/>
    <n v="0"/>
    <n v="0"/>
    <n v="1"/>
    <n v="0"/>
    <n v="0"/>
    <n v="12.096000000000004"/>
    <n v="0"/>
    <d v="2024-03-01T00:00:00"/>
    <d v="2024-05-01T00:00:00"/>
  </r>
  <r>
    <n v="38632"/>
    <x v="19"/>
    <x v="6"/>
    <d v="2024-01-08T00:00:00"/>
    <s v="3. NRR - Renewal"/>
    <s v="Nucor Building Systems - Yamato Steel"/>
    <s v="Milestone Renewal"/>
    <n v="0"/>
    <n v="0"/>
    <n v="0"/>
    <n v="1"/>
    <n v="0"/>
    <n v="0"/>
    <n v="0"/>
    <n v="0"/>
    <d v="2024-03-01T00:00:00"/>
    <d v="2024-05-01T00:00:00"/>
  </r>
  <r>
    <n v="39348"/>
    <x v="12"/>
    <x v="0"/>
    <d v="2024-01-30T00:00:00"/>
    <s v="2. Up-sell / X-sell"/>
    <s v="Mission Bank"/>
    <s v="SQL License"/>
    <n v="0"/>
    <n v="0"/>
    <n v="0"/>
    <n v="1"/>
    <n v="0"/>
    <n v="0"/>
    <n v="11.575299999999997"/>
    <n v="0"/>
    <d v="2024-03-01T00:00:00"/>
    <d v="2024-05-01T00:00:00"/>
  </r>
  <r>
    <n v="38624"/>
    <x v="5"/>
    <x v="2"/>
    <d v="2024-01-08T00:00:00"/>
    <s v="5. Change Order"/>
    <s v="Colt Midstream LLC"/>
    <s v="Change Order Opportunity 36949 - Laptops and Surface Pros"/>
    <n v="0"/>
    <n v="0"/>
    <n v="0"/>
    <n v="1"/>
    <n v="0"/>
    <n v="0"/>
    <n v="-17.88"/>
    <n v="0"/>
    <d v="2024-03-01T00:00:00"/>
    <d v="2024-05-01T00:00:00"/>
  </r>
  <r>
    <n v="38620"/>
    <x v="3"/>
    <x v="2"/>
    <d v="2024-01-05T00:00:00"/>
    <s v="2. Up-sell / X-sell"/>
    <s v="Far Western"/>
    <s v="#10382301 Optiplex"/>
    <n v="0"/>
    <n v="0"/>
    <n v="0"/>
    <n v="1"/>
    <n v="0"/>
    <n v="0"/>
    <n v="14.298399999999992"/>
    <n v="0"/>
    <d v="2024-03-01T00:00:00"/>
    <d v="2024-05-01T00:00:00"/>
  </r>
  <r>
    <n v="38619"/>
    <x v="5"/>
    <x v="2"/>
    <d v="2024-01-09T00:00:00"/>
    <s v="2. Up-sell / X-sell"/>
    <s v="Lakewood Country Club"/>
    <s v="Service Ticket #10444914 - Replacement computer for CARTBARN"/>
    <n v="0"/>
    <n v="0"/>
    <n v="0"/>
    <n v="1"/>
    <n v="0"/>
    <n v="0"/>
    <n v="16.978400000000004"/>
    <n v="0"/>
    <d v="2024-03-01T00:00:00"/>
    <d v="2024-05-01T00:00:00"/>
  </r>
  <r>
    <n v="38617"/>
    <x v="5"/>
    <x v="2"/>
    <d v="2024-01-04T00:00:00"/>
    <s v="2. Up-sell / X-sell"/>
    <s v="Bethesda Holdings"/>
    <s v="Quote In-Stock computer RUSH"/>
    <n v="0"/>
    <n v="0"/>
    <n v="0"/>
    <n v="1"/>
    <n v="0"/>
    <n v="0"/>
    <n v="28.009999999999998"/>
    <n v="0"/>
    <d v="2024-03-01T00:00:00"/>
    <d v="2024-05-01T00:00:00"/>
  </r>
  <r>
    <n v="38616"/>
    <x v="2"/>
    <x v="2"/>
    <d v="2024-01-08T00:00:00"/>
    <s v="2. Up-sell / X-sell"/>
    <s v="DC Architects"/>
    <s v="UPS Replacement"/>
    <n v="0"/>
    <n v="0"/>
    <n v="0"/>
    <n v="1"/>
    <n v="0"/>
    <n v="0"/>
    <n v="9.6992000000000012"/>
    <n v="0"/>
    <d v="2024-03-01T00:00:00"/>
    <d v="2024-05-01T00:00:00"/>
  </r>
  <r>
    <n v="38610"/>
    <x v="13"/>
    <x v="3"/>
    <d v="2024-01-09T00:00:00"/>
    <s v="3. NRR - Renewal"/>
    <s v="Brian Harris Audi"/>
    <s v="MPX LA - Audi Fortinet Renewals"/>
    <n v="0"/>
    <n v="0"/>
    <n v="0"/>
    <n v="1"/>
    <n v="0"/>
    <n v="0"/>
    <n v="0"/>
    <n v="0"/>
    <d v="2024-03-01T00:00:00"/>
    <d v="2024-05-01T00:00:00"/>
  </r>
  <r>
    <n v="38609"/>
    <x v="13"/>
    <x v="3"/>
    <d v="2024-01-09T00:00:00"/>
    <s v="3. NRR - Renewal"/>
    <s v="Brian Harris BMW"/>
    <s v="MPX LA - BMW Fortinet Renewals"/>
    <n v="0"/>
    <n v="0"/>
    <n v="0"/>
    <n v="1"/>
    <n v="0"/>
    <n v="0"/>
    <n v="0"/>
    <n v="0"/>
    <d v="2024-03-01T00:00:00"/>
    <d v="2024-05-01T00:00:00"/>
  </r>
  <r>
    <n v="38597"/>
    <x v="5"/>
    <x v="2"/>
    <d v="2024-01-12T00:00:00"/>
    <s v="2. Up-sell / X-sell"/>
    <s v="Colt Midstream LLC"/>
    <s v="10458817 - New Workstation Class Draftsmen Computer for AutoCad for Andy Smith"/>
    <n v="0"/>
    <n v="0"/>
    <n v="0"/>
    <n v="1"/>
    <n v="0"/>
    <n v="0"/>
    <n v="45.86480000000001"/>
    <n v="0"/>
    <d v="2024-03-01T00:00:00"/>
    <d v="2024-05-01T00:00:00"/>
  </r>
  <r>
    <n v="38595"/>
    <x v="3"/>
    <x v="2"/>
    <d v="2024-01-05T00:00:00"/>
    <s v="2. Up-sell / X-sell"/>
    <s v="AGR Partners"/>
    <s v="#10381550 - Latitude"/>
    <n v="0"/>
    <n v="0"/>
    <n v="0"/>
    <n v="1"/>
    <n v="0"/>
    <n v="0"/>
    <n v="48.300000000000004"/>
    <n v="0"/>
    <d v="2024-03-01T00:00:00"/>
    <d v="2024-05-01T00:00:00"/>
  </r>
  <r>
    <n v="38594"/>
    <x v="5"/>
    <x v="2"/>
    <d v="2024-01-18T00:00:00"/>
    <s v="2. Up-sell / X-sell"/>
    <s v="International Assn for the Study of Lung Cancer"/>
    <s v="Two 48 Port POE Switches"/>
    <n v="0"/>
    <n v="0"/>
    <n v="0"/>
    <n v="1"/>
    <n v="0"/>
    <n v="0"/>
    <n v="35.985599999999998"/>
    <n v="0"/>
    <d v="2024-03-01T00:00:00"/>
    <d v="2024-05-01T00:00:00"/>
  </r>
  <r>
    <n v="38592"/>
    <x v="10"/>
    <x v="2"/>
    <d v="2024-01-12T00:00:00"/>
    <s v="2. Up-sell / X-sell"/>
    <s v="Sunroad Enterprises"/>
    <s v="Quote #MPS122529 Per Service Ticket # 10428443 - KMF - Vertical Monitor Stand"/>
    <n v="0"/>
    <n v="0"/>
    <n v="0"/>
    <n v="1"/>
    <n v="0"/>
    <n v="0"/>
    <n v="0"/>
    <n v="0"/>
    <d v="2024-03-01T00:00:00"/>
    <d v="2024-05-01T00:00:00"/>
  </r>
  <r>
    <n v="38591"/>
    <x v="1"/>
    <x v="1"/>
    <d v="2024-01-08T00:00:00"/>
    <s v="2. Up-sell / X-sell"/>
    <s v="Brian Harris Auto Group"/>
    <s v="MPX LA - Wireless Keyboard and Mouse Combo"/>
    <n v="0"/>
    <n v="0"/>
    <n v="0"/>
    <n v="1"/>
    <n v="0"/>
    <n v="0"/>
    <n v="0.95000000000000007"/>
    <n v="0"/>
    <d v="2024-03-01T00:00:00"/>
    <d v="2024-05-01T00:00:00"/>
  </r>
  <r>
    <n v="38590"/>
    <x v="2"/>
    <x v="2"/>
    <d v="2024-01-05T00:00:00"/>
    <s v="2. Up-sell / X-sell"/>
    <s v="Global Trim Sales Inc."/>
    <s v="Laptops"/>
    <n v="0"/>
    <n v="0"/>
    <n v="0"/>
    <n v="1"/>
    <n v="0"/>
    <n v="0"/>
    <n v="128.50399999999993"/>
    <n v="0"/>
    <d v="2024-03-01T00:00:00"/>
    <d v="2024-05-01T00:00:00"/>
  </r>
  <r>
    <n v="38588"/>
    <x v="3"/>
    <x v="2"/>
    <d v="2024-01-09T00:00:00"/>
    <s v="2. Up-sell / X-sell"/>
    <s v="Radiology Specialists of the Northwest"/>
    <s v="Laptop for President"/>
    <n v="0"/>
    <n v="0"/>
    <n v="0"/>
    <n v="1"/>
    <n v="0"/>
    <n v="0"/>
    <n v="18.046400000000002"/>
    <n v="0"/>
    <d v="2024-03-01T00:00:00"/>
    <d v="2024-05-01T00:00:00"/>
  </r>
  <r>
    <n v="38587"/>
    <x v="1"/>
    <x v="1"/>
    <d v="2024-01-05T00:00:00"/>
    <s v="3. NRR - Renewal"/>
    <s v="Envoc - Hammond"/>
    <s v="MPX LA - Quote for Cisco SMARTnet renewal"/>
    <n v="0"/>
    <n v="0"/>
    <n v="0"/>
    <n v="1"/>
    <n v="0"/>
    <n v="0"/>
    <n v="8.2140000000000004"/>
    <n v="0"/>
    <d v="2024-03-01T00:00:00"/>
    <d v="2024-05-01T00:00:00"/>
  </r>
  <r>
    <n v="38586"/>
    <x v="10"/>
    <x v="2"/>
    <d v="2024-01-04T00:00:00"/>
    <s v="2. Up-sell / X-sell"/>
    <s v="Sunroad Enterprises"/>
    <s v="Quote #MPS122499 Per Service Ticket # 10442864 - CORP - Laptop for Jessica Skudlarek"/>
    <n v="0"/>
    <n v="0"/>
    <n v="0"/>
    <n v="1"/>
    <n v="0"/>
    <n v="0"/>
    <n v="0"/>
    <n v="0"/>
    <d v="2024-03-01T00:00:00"/>
    <d v="2024-05-01T00:00:00"/>
  </r>
  <r>
    <n v="38582"/>
    <x v="1"/>
    <x v="1"/>
    <d v="2024-01-05T00:00:00"/>
    <s v="3. NRR - Renewal"/>
    <s v="John Kennedy for US Senate"/>
    <s v="MPX LA - Quote for Fortinet FortiCare renewal"/>
    <n v="0"/>
    <n v="0"/>
    <n v="0"/>
    <n v="1"/>
    <n v="0"/>
    <n v="0"/>
    <n v="0.54479999999999995"/>
    <n v="0"/>
    <d v="2024-03-01T00:00:00"/>
    <d v="2024-05-01T00:00:00"/>
  </r>
  <r>
    <n v="38581"/>
    <x v="4"/>
    <x v="2"/>
    <d v="2024-01-29T00:00:00"/>
    <s v="2. Up-sell / X-sell"/>
    <s v="Texas Roof Management Inc"/>
    <s v="HPE Support Renewal Aruba 2530 SN: TW95FP4F62"/>
    <n v="0"/>
    <n v="0"/>
    <n v="0"/>
    <n v="1"/>
    <n v="0"/>
    <n v="0"/>
    <n v="1.3064"/>
    <n v="0"/>
    <d v="2024-03-01T00:00:00"/>
    <d v="2024-05-01T00:00:00"/>
  </r>
  <r>
    <n v="38577"/>
    <x v="1"/>
    <x v="1"/>
    <d v="2024-01-05T00:00:00"/>
    <s v="3. NRR - Renewal"/>
    <s v="Methods Technology Solutions Inc"/>
    <s v="MPX LA - Quote for Cisco SMARTnet renewal"/>
    <n v="0"/>
    <n v="0"/>
    <n v="0"/>
    <n v="1"/>
    <n v="0"/>
    <n v="0"/>
    <n v="6.9512000000000009"/>
    <n v="0"/>
    <d v="2024-03-01T00:00:00"/>
    <d v="2024-05-01T00:00:00"/>
  </r>
  <r>
    <n v="39357"/>
    <x v="0"/>
    <x v="0"/>
    <d v="2024-01-25T00:00:00"/>
    <s v="2. Up-sell / X-sell"/>
    <s v="Overhead Door Corporation"/>
    <s v="SR 250659 Adobe CC Teams PO 962937"/>
    <n v="0"/>
    <n v="0"/>
    <n v="0"/>
    <n v="1"/>
    <n v="0"/>
    <n v="0"/>
    <n v="0"/>
    <n v="0"/>
    <d v="2024-03-01T00:00:00"/>
    <d v="2024-05-01T00:00:00"/>
  </r>
  <r>
    <n v="39361"/>
    <x v="16"/>
    <x v="0"/>
    <d v="2024-01-26T00:00:00"/>
    <s v="2. Up-sell / X-sell"/>
    <s v="Weaver Popcorn"/>
    <s v="Network Module Credit and Block of Hours"/>
    <n v="0"/>
    <n v="0"/>
    <n v="0"/>
    <n v="1"/>
    <n v="0"/>
    <n v="0"/>
    <n v="1904.2371000000003"/>
    <n v="0"/>
    <d v="2024-03-01T00:00:00"/>
    <d v="2024-05-01T00:00:00"/>
  </r>
  <r>
    <n v="38571"/>
    <x v="5"/>
    <x v="2"/>
    <d v="2024-01-05T00:00:00"/>
    <s v="2. Up-sell / X-sell"/>
    <s v="Thunder Basin Resources LLC"/>
    <s v="Updated Server Decommission Block of Hours."/>
    <n v="0"/>
    <n v="0"/>
    <n v="0"/>
    <n v="0"/>
    <n v="0"/>
    <n v="0"/>
    <n v="70.400000000000006"/>
    <n v="0"/>
    <d v="2024-03-01T00:00:00"/>
    <d v="2024-05-01T00:00:00"/>
  </r>
  <r>
    <n v="39375"/>
    <x v="0"/>
    <x v="0"/>
    <d v="2024-01-26T00:00:00"/>
    <s v="2. Up-sell / X-sell"/>
    <s v="Overhead Door Corporation"/>
    <s v="SR 239973 OptiPlex 7010 Micro PO 50171015"/>
    <n v="0"/>
    <n v="0"/>
    <n v="0"/>
    <n v="1"/>
    <n v="0"/>
    <n v="0"/>
    <n v="0"/>
    <n v="0"/>
    <d v="2024-03-01T00:00:00"/>
    <d v="2024-05-01T00:00:00"/>
  </r>
  <r>
    <n v="38563"/>
    <x v="3"/>
    <x v="2"/>
    <d v="2024-01-04T00:00:00"/>
    <s v="2. Up-sell / X-sell"/>
    <s v="Project Access NOW"/>
    <s v="#10442783 - Joseph Nicoletti / Procure 1 Lenovo dock for Carly"/>
    <n v="0"/>
    <n v="0"/>
    <n v="0"/>
    <n v="1"/>
    <n v="0"/>
    <n v="0"/>
    <n v="3.1831999999999994"/>
    <n v="0"/>
    <d v="2024-03-01T00:00:00"/>
    <d v="2024-05-01T00:00:00"/>
  </r>
  <r>
    <n v="38562"/>
    <x v="2"/>
    <x v="2"/>
    <d v="2024-01-04T00:00:00"/>
    <s v="2. Up-sell / X-sell"/>
    <s v="Global Trim Sales Inc."/>
    <s v="1 additional Acrobat Standard license for Mohamma Mirza"/>
    <n v="0"/>
    <n v="0"/>
    <n v="0"/>
    <n v="1"/>
    <n v="0"/>
    <n v="0"/>
    <n v="8.7199999999999986E-2"/>
    <n v="0"/>
    <d v="2024-03-01T00:00:00"/>
    <d v="2024-05-01T00:00:00"/>
  </r>
  <r>
    <n v="39377"/>
    <x v="0"/>
    <x v="0"/>
    <d v="2024-01-26T00:00:00"/>
    <s v="2. Up-sell / X-sell"/>
    <s v="Overhead Door Corporation"/>
    <s v="SR 247786 Latitude 5540 Bundle Monitors PO 50171014"/>
    <n v="0"/>
    <n v="0"/>
    <n v="0"/>
    <n v="1"/>
    <n v="0"/>
    <n v="0"/>
    <n v="0"/>
    <n v="0"/>
    <d v="2024-03-01T00:00:00"/>
    <d v="2024-05-01T00:00:00"/>
  </r>
  <r>
    <n v="38557"/>
    <x v="10"/>
    <x v="2"/>
    <d v="2024-01-22T00:00:00"/>
    <s v="2. Up-sell / X-sell"/>
    <s v="Aurora Behavioral Health Care"/>
    <s v="Quote #MPS122486 Per Service Ticket #10442433 - Cisco SmartNet Renewal - Compton"/>
    <n v="0"/>
    <n v="0"/>
    <n v="0"/>
    <n v="1"/>
    <n v="0"/>
    <n v="0"/>
    <n v="0"/>
    <n v="0"/>
    <d v="2024-03-01T00:00:00"/>
    <d v="2024-05-01T00:00:00"/>
  </r>
  <r>
    <n v="38554"/>
    <x v="5"/>
    <x v="2"/>
    <d v="2024-01-05T00:00:00"/>
    <s v="2. Up-sell / X-sell"/>
    <s v="It's Never 2 Late"/>
    <s v="Scale Renewal"/>
    <n v="0"/>
    <n v="0"/>
    <n v="0"/>
    <n v="1"/>
    <n v="0"/>
    <n v="0"/>
    <n v="56.672799999999988"/>
    <n v="0"/>
    <d v="2024-03-01T00:00:00"/>
    <d v="2024-05-01T00:00:00"/>
  </r>
  <r>
    <n v="38551"/>
    <x v="2"/>
    <x v="2"/>
    <d v="2024-01-15T00:00:00"/>
    <s v="2. Up-sell / X-sell"/>
    <s v="Arden Engineering Constructors, LLC"/>
    <s v="3 HP Prodesk 600 16GB and 6 HP Elitebook 650 16GB"/>
    <n v="0"/>
    <n v="0"/>
    <n v="0"/>
    <n v="1"/>
    <n v="0"/>
    <n v="0"/>
    <n v="118.68"/>
    <n v="0"/>
    <d v="2024-03-01T00:00:00"/>
    <d v="2024-05-01T00:00:00"/>
  </r>
  <r>
    <n v="38550"/>
    <x v="5"/>
    <x v="2"/>
    <d v="2024-01-05T00:00:00"/>
    <s v="2. Up-sell / X-sell"/>
    <s v="Rocky Mountain Air"/>
    <s v="HP LaserJet M480f Laser Multifunction Printer-Color"/>
    <n v="0"/>
    <n v="0"/>
    <n v="0"/>
    <n v="1"/>
    <n v="0"/>
    <n v="0"/>
    <n v="5.6127999999999973"/>
    <n v="0"/>
    <d v="2024-03-01T00:00:00"/>
    <d v="2024-05-01T00:00:00"/>
  </r>
  <r>
    <n v="38547"/>
    <x v="10"/>
    <x v="2"/>
    <d v="2024-01-22T00:00:00"/>
    <s v="2. Up-sell / X-sell"/>
    <s v="Aurora Behavioral Health Care"/>
    <s v="Quote #MPS122484 Per Service Ticket #10442397 - Cisco SmartNet Renewal - San Diego"/>
    <n v="0"/>
    <n v="0"/>
    <n v="0"/>
    <n v="1"/>
    <n v="0"/>
    <n v="0"/>
    <n v="0"/>
    <n v="0"/>
    <d v="2024-03-01T00:00:00"/>
    <d v="2024-05-01T00:00:00"/>
  </r>
  <r>
    <n v="39378"/>
    <x v="0"/>
    <x v="0"/>
    <d v="2024-01-26T00:00:00"/>
    <s v="2. Up-sell / X-sell"/>
    <s v="Overhead Door Corporation"/>
    <s v="SR 244176 OptiPlex 3000 Thin Client PO 2469867"/>
    <n v="0"/>
    <n v="0"/>
    <n v="0"/>
    <n v="1"/>
    <n v="0"/>
    <n v="0"/>
    <n v="0"/>
    <n v="0"/>
    <d v="2024-03-01T00:00:00"/>
    <d v="2024-05-01T00:00:00"/>
  </r>
  <r>
    <n v="38545"/>
    <x v="10"/>
    <x v="2"/>
    <d v="2024-01-22T00:00:00"/>
    <s v="2. Up-sell / X-sell"/>
    <s v="Aurora Behavioral Health Care"/>
    <s v="Quote #MPS122480 Per Service Ticket #10442266 - Cisco SmartNet Renewal - Las Vegas"/>
    <n v="0"/>
    <n v="0"/>
    <n v="0"/>
    <n v="1"/>
    <n v="0"/>
    <n v="0"/>
    <n v="0"/>
    <n v="0"/>
    <d v="2024-03-01T00:00:00"/>
    <d v="2024-05-01T00:00:00"/>
  </r>
  <r>
    <n v="38535"/>
    <x v="10"/>
    <x v="2"/>
    <d v="2024-01-22T00:00:00"/>
    <s v="2. Up-sell / X-sell"/>
    <s v="Aurora Behavioral Health Care"/>
    <s v="Quote #MPS122467 Per Service Ticket #10441768 - Cisco SmartNet Renewal - Glendale"/>
    <n v="0"/>
    <n v="0"/>
    <n v="0"/>
    <n v="1"/>
    <n v="0"/>
    <n v="0"/>
    <n v="0"/>
    <n v="0"/>
    <d v="2024-03-01T00:00:00"/>
    <d v="2024-05-01T00:00:00"/>
  </r>
  <r>
    <n v="38534"/>
    <x v="13"/>
    <x v="3"/>
    <d v="2024-01-03T00:00:00"/>
    <s v="3. NRR - Renewal"/>
    <s v="GridSource, Inc"/>
    <s v="MPX LA - Cisco Umbrella Renewal"/>
    <n v="0"/>
    <n v="0"/>
    <n v="0"/>
    <n v="1"/>
    <n v="0"/>
    <n v="0"/>
    <n v="0"/>
    <n v="0"/>
    <d v="2024-03-01T00:00:00"/>
    <d v="2024-05-01T00:00:00"/>
  </r>
  <r>
    <n v="38533"/>
    <x v="2"/>
    <x v="2"/>
    <d v="2024-01-22T00:00:00"/>
    <s v="3. NRR - Renewal"/>
    <s v="Newport Harbor Pathology Medical Group"/>
    <s v="FortiGate 81E - Newport Harbor Pathology Medical Group"/>
    <n v="0"/>
    <n v="0"/>
    <n v="0"/>
    <n v="1"/>
    <n v="0"/>
    <n v="0"/>
    <n v="48.759199999999986"/>
    <n v="0"/>
    <d v="2024-03-01T00:00:00"/>
    <d v="2024-05-01T00:00:00"/>
  </r>
  <r>
    <n v="38532"/>
    <x v="10"/>
    <x v="2"/>
    <d v="2024-01-22T00:00:00"/>
    <s v="2. Up-sell / X-sell"/>
    <s v="Aurora Behavioral Health Care"/>
    <s v="Quote #MPS122463 Per Service Ticket #10441712 - Cisco SmartNet Renewal - Bakersfield"/>
    <n v="0"/>
    <n v="0"/>
    <n v="0"/>
    <n v="1"/>
    <n v="0"/>
    <n v="0"/>
    <n v="0"/>
    <n v="0"/>
    <d v="2024-03-01T00:00:00"/>
    <d v="2024-05-01T00:00:00"/>
  </r>
  <r>
    <n v="38531"/>
    <x v="3"/>
    <x v="2"/>
    <d v="2024-01-22T00:00:00"/>
    <s v="2. Up-sell / X-sell"/>
    <s v="Metropolitan Pediatrics"/>
    <s v="#10439533 - HVJC: Krystal DeMartino / Headsets - Johnson Creek"/>
    <n v="0"/>
    <n v="0"/>
    <n v="0"/>
    <n v="1"/>
    <n v="0"/>
    <n v="0"/>
    <n v="3.1055999999999995"/>
    <n v="0"/>
    <d v="2024-03-01T00:00:00"/>
    <d v="2024-05-01T00:00:00"/>
  </r>
  <r>
    <n v="38530"/>
    <x v="10"/>
    <x v="2"/>
    <d v="2024-01-22T00:00:00"/>
    <s v="2. Up-sell / X-sell"/>
    <s v="Aurora Behavioral Health Care"/>
    <s v="Quote #MPS122460 Per Service Ticket # 10441635 - Cisco SmartNet - Reno Renewal"/>
    <n v="0"/>
    <n v="0"/>
    <n v="0"/>
    <n v="1"/>
    <n v="0"/>
    <n v="0"/>
    <n v="0"/>
    <n v="0"/>
    <d v="2024-03-01T00:00:00"/>
    <d v="2024-05-01T00:00:00"/>
  </r>
  <r>
    <n v="38529"/>
    <x v="5"/>
    <x v="2"/>
    <d v="2024-01-04T00:00:00"/>
    <s v="2. Up-sell / X-sell"/>
    <s v="The Challenger Group"/>
    <s v="Adobe Acrobat license for user Connie Brisnehan"/>
    <n v="0"/>
    <n v="0"/>
    <n v="0"/>
    <n v="1"/>
    <n v="0"/>
    <n v="0"/>
    <n v="5.2192000000000007"/>
    <n v="0"/>
    <d v="2024-03-01T00:00:00"/>
    <d v="2024-05-01T00:00:00"/>
  </r>
  <r>
    <n v="38528"/>
    <x v="6"/>
    <x v="2"/>
    <d v="2024-01-04T00:00:00"/>
    <s v="2. Up-sell / X-sell"/>
    <s v="Sterling Roof Systems"/>
    <s v="Replacement Computer for Megan"/>
    <n v="0"/>
    <n v="0"/>
    <n v="0"/>
    <n v="1"/>
    <n v="0"/>
    <n v="0"/>
    <n v="50.537600000000005"/>
    <n v="0"/>
    <d v="2024-03-01T00:00:00"/>
    <d v="2024-05-01T00:00:00"/>
  </r>
  <r>
    <n v="39380"/>
    <x v="0"/>
    <x v="0"/>
    <d v="2024-01-26T00:00:00"/>
    <s v="2. Up-sell / X-sell"/>
    <s v="Overhead Door Corporation"/>
    <s v="SR 247928 Latitude 5540 Bundle PO 13983180"/>
    <n v="0"/>
    <n v="0"/>
    <n v="0"/>
    <n v="1"/>
    <n v="0"/>
    <n v="0"/>
    <n v="0"/>
    <n v="0"/>
    <d v="2024-03-01T00:00:00"/>
    <d v="2024-05-01T00:00:00"/>
  </r>
  <r>
    <n v="38524"/>
    <x v="5"/>
    <x v="2"/>
    <d v="2024-01-12T00:00:00"/>
    <s v="3. NRR - Renewal"/>
    <s v="Dominion Water and Sanitation"/>
    <s v="10439064 - Adobe Annual Renewal Quote"/>
    <n v="0"/>
    <n v="0"/>
    <n v="0"/>
    <n v="1"/>
    <n v="0"/>
    <n v="0"/>
    <n v="31.268799999999999"/>
    <n v="0"/>
    <d v="2024-03-01T00:00:00"/>
    <d v="2024-05-01T00:00:00"/>
  </r>
  <r>
    <n v="38522"/>
    <x v="5"/>
    <x v="2"/>
    <d v="2024-01-16T00:00:00"/>
    <s v="2. Up-sell / X-sell"/>
    <s v="Winn Marion Companies"/>
    <s v="New Terminal Server with 5 RDS CAL's"/>
    <n v="0"/>
    <n v="0"/>
    <n v="0"/>
    <n v="1"/>
    <n v="0"/>
    <n v="0"/>
    <n v="76.42"/>
    <n v="0"/>
    <d v="2024-03-01T00:00:00"/>
    <d v="2024-05-01T00:00:00"/>
  </r>
  <r>
    <n v="38518"/>
    <x v="3"/>
    <x v="2"/>
    <d v="2024-01-08T00:00:00"/>
    <s v="2. Up-sell / X-sell"/>
    <s v="Southwest Accountable Comm of Health"/>
    <s v="#10430545 - Eddie Gallagher / Two i7 laptop quote request"/>
    <n v="0"/>
    <n v="0"/>
    <n v="0"/>
    <n v="1"/>
    <n v="0"/>
    <n v="0"/>
    <n v="57.7744"/>
    <n v="0"/>
    <d v="2024-03-01T00:00:00"/>
    <d v="2024-05-01T00:00:00"/>
  </r>
  <r>
    <n v="38516"/>
    <x v="3"/>
    <x v="2"/>
    <d v="2024-01-04T00:00:00"/>
    <s v="2. Up-sell / X-sell"/>
    <s v="Steve Clark &amp; Associates"/>
    <s v="New Computers for Ryan and Jeff - 10439703"/>
    <n v="0"/>
    <n v="0"/>
    <n v="0"/>
    <n v="1"/>
    <n v="0"/>
    <n v="0"/>
    <n v="79.260799999999989"/>
    <n v="0"/>
    <d v="2024-03-01T00:00:00"/>
    <d v="2024-05-01T00:00:00"/>
  </r>
  <r>
    <n v="38515"/>
    <x v="5"/>
    <x v="2"/>
    <d v="2024-01-04T00:00:00"/>
    <s v="2. Up-sell / X-sell"/>
    <s v="Lifescape"/>
    <s v="Two Surface Pro Laptops"/>
    <n v="0"/>
    <n v="0"/>
    <n v="0"/>
    <n v="1"/>
    <n v="0"/>
    <n v="0"/>
    <n v="35.780799999999999"/>
    <n v="0"/>
    <d v="2024-03-01T00:00:00"/>
    <d v="2024-05-01T00:00:00"/>
  </r>
  <r>
    <n v="38503"/>
    <x v="3"/>
    <x v="2"/>
    <d v="2024-01-16T00:00:00"/>
    <s v="2. Up-sell / X-sell"/>
    <s v="City of Warrenton"/>
    <s v="#10378347 - City of Warrenton / Propose Camera and DVR Overhaul at Community Center"/>
    <n v="0"/>
    <n v="0"/>
    <n v="0"/>
    <n v="1"/>
    <n v="0"/>
    <n v="0"/>
    <n v="310.61840000000001"/>
    <n v="0"/>
    <d v="2024-03-01T00:00:00"/>
    <d v="2024-05-01T00:00:00"/>
  </r>
  <r>
    <n v="38496"/>
    <x v="10"/>
    <x v="2"/>
    <d v="2024-01-02T00:00:00"/>
    <s v="2. Up-sell / X-sell"/>
    <s v="Interface Children Family Services"/>
    <s v="Quote #MPS122441 Per Service Ticket #10438999 - New Laptops"/>
    <n v="0"/>
    <n v="0"/>
    <n v="0"/>
    <n v="1"/>
    <n v="0"/>
    <n v="0"/>
    <n v="0"/>
    <n v="0"/>
    <d v="2024-03-01T00:00:00"/>
    <d v="2024-05-01T00:00:00"/>
  </r>
  <r>
    <n v="38494"/>
    <x v="3"/>
    <x v="2"/>
    <d v="2024-01-06T00:00:00"/>
    <s v="2. Up-sell / X-sell"/>
    <s v="Pediatric Associates of Gresham"/>
    <s v="10406558 - VMware Support Renewal"/>
    <n v="0"/>
    <n v="0"/>
    <n v="0"/>
    <n v="1"/>
    <n v="0"/>
    <n v="0"/>
    <n v="1.3503999999999996"/>
    <n v="0"/>
    <d v="2024-03-01T00:00:00"/>
    <d v="2024-05-01T00:00:00"/>
  </r>
  <r>
    <n v="39381"/>
    <x v="9"/>
    <x v="3"/>
    <d v="2024-01-26T00:00:00"/>
    <s v="2. Up-sell / X-sell"/>
    <s v="AIV, L.P."/>
    <s v="Quote #MPS123287 Business Premium Licenses"/>
    <n v="0"/>
    <n v="19.8"/>
    <n v="0"/>
    <n v="36"/>
    <n v="0.5"/>
    <n v="0"/>
    <s v="N/A"/>
    <n v="9.9"/>
    <d v="2024-03-01T00:00:00"/>
    <d v="2024-05-01T00:00:00"/>
  </r>
  <r>
    <n v="38488"/>
    <x v="5"/>
    <x v="2"/>
    <d v="2024-01-04T00:00:00"/>
    <s v="2. Up-sell / X-sell"/>
    <s v="Excess Telecom"/>
    <s v="New Computer Jada Jane Pearl Swendsen"/>
    <n v="0"/>
    <n v="0"/>
    <n v="0"/>
    <n v="1"/>
    <n v="0"/>
    <n v="0"/>
    <n v="19.623200000000008"/>
    <n v="0"/>
    <d v="2024-03-01T00:00:00"/>
    <d v="2024-05-01T00:00:00"/>
  </r>
  <r>
    <n v="38485"/>
    <x v="3"/>
    <x v="2"/>
    <d v="2024-01-02T00:00:00"/>
    <s v="2. Up-sell / X-sell"/>
    <s v="Intech Mechanical"/>
    <s v="Docking Station - Dan Baughman"/>
    <n v="0"/>
    <n v="0"/>
    <n v="0"/>
    <n v="1"/>
    <n v="0"/>
    <n v="0"/>
    <n v="5.2040000000000006"/>
    <n v="0"/>
    <d v="2024-03-01T00:00:00"/>
    <d v="2024-05-01T00:00:00"/>
  </r>
  <r>
    <n v="39382"/>
    <x v="0"/>
    <x v="0"/>
    <d v="2024-01-26T00:00:00"/>
    <s v="2. Up-sell / X-sell"/>
    <s v="Overhead Door Corporation"/>
    <s v="SR 247921 Latitude 5540 Bundle PO 30061357"/>
    <n v="0"/>
    <n v="0"/>
    <n v="0"/>
    <n v="1"/>
    <n v="0"/>
    <n v="0"/>
    <n v="0"/>
    <n v="0"/>
    <d v="2024-03-01T00:00:00"/>
    <d v="2024-05-01T00:00:00"/>
  </r>
  <r>
    <n v="39383"/>
    <x v="0"/>
    <x v="0"/>
    <d v="2024-01-26T00:00:00"/>
    <s v="2. Up-sell / X-sell"/>
    <s v="Overhead Door Corporation"/>
    <s v="SR 245733 Poly S7210 Headset PO 13983178"/>
    <n v="0"/>
    <n v="0"/>
    <n v="0"/>
    <n v="1"/>
    <n v="0"/>
    <n v="0"/>
    <n v="0"/>
    <n v="0"/>
    <d v="2024-03-01T00:00:00"/>
    <d v="2024-05-01T00:00:00"/>
  </r>
  <r>
    <n v="38479"/>
    <x v="13"/>
    <x v="3"/>
    <d v="2024-01-03T00:00:00"/>
    <s v="3. NRR - Renewal"/>
    <s v="Industrial Consulting &amp; Supply Corp"/>
    <s v="MPX LA - SSL Renewal"/>
    <n v="0"/>
    <n v="0"/>
    <n v="0"/>
    <n v="1"/>
    <n v="0"/>
    <n v="0"/>
    <n v="0"/>
    <n v="0"/>
    <d v="2024-03-01T00:00:00"/>
    <d v="2024-05-01T00:00:00"/>
  </r>
  <r>
    <n v="38477"/>
    <x v="13"/>
    <x v="3"/>
    <d v="2024-01-02T00:00:00"/>
    <s v="2. Up-sell / X-sell"/>
    <s v="Blackbuck Petroleum LLC"/>
    <s v="MPX LA - New Laptop for Beau"/>
    <n v="0"/>
    <n v="0"/>
    <n v="0"/>
    <n v="1"/>
    <n v="0"/>
    <n v="0"/>
    <n v="0"/>
    <n v="0"/>
    <d v="2024-03-01T00:00:00"/>
    <d v="2024-05-01T00:00:00"/>
  </r>
  <r>
    <n v="38474"/>
    <x v="2"/>
    <x v="2"/>
    <d v="2024-01-02T00:00:00"/>
    <s v="2. Up-sell / X-sell"/>
    <s v="DKB Household USA Corp."/>
    <s v="Monitors"/>
    <n v="0"/>
    <n v="0"/>
    <n v="0"/>
    <n v="1"/>
    <n v="0"/>
    <n v="0"/>
    <n v="26.240000000000002"/>
    <n v="0"/>
    <d v="2024-03-01T00:00:00"/>
    <d v="2024-05-01T00:00:00"/>
  </r>
  <r>
    <n v="38473"/>
    <x v="5"/>
    <x v="2"/>
    <d v="2024-01-16T00:00:00"/>
    <s v="2. Up-sell / X-sell"/>
    <s v="EverWest Real Estate Investors LLC"/>
    <s v="Three New Laptops"/>
    <n v="0"/>
    <n v="0"/>
    <n v="0"/>
    <n v="1"/>
    <n v="0"/>
    <n v="0"/>
    <n v="90.455999999999989"/>
    <n v="0"/>
    <d v="2024-03-01T00:00:00"/>
    <d v="2024-05-01T00:00:00"/>
  </r>
  <r>
    <n v="38463"/>
    <x v="3"/>
    <x v="2"/>
    <d v="2024-01-02T00:00:00"/>
    <s v="2. Up-sell / X-sell"/>
    <s v="Metropolitan Pediatrics"/>
    <s v="10401491 - New Business Class Laptop for New Foster Care Coordinator - Julie - Starting 1/16"/>
    <n v="0"/>
    <n v="0"/>
    <n v="0"/>
    <n v="1"/>
    <n v="0"/>
    <n v="0"/>
    <n v="8.3552000000000053"/>
    <n v="0"/>
    <d v="2024-03-01T00:00:00"/>
    <d v="2024-05-01T00:00:00"/>
  </r>
  <r>
    <n v="38455"/>
    <x v="3"/>
    <x v="2"/>
    <d v="2024-01-25T00:00:00"/>
    <s v="2. Up-sell / X-sell"/>
    <s v="All Valley Washer Service Inc"/>
    <s v="Quote #MPS122400 Per Service Ticket #10430285 - Dell Post Warranty Renewal"/>
    <n v="0"/>
    <n v="0"/>
    <n v="0"/>
    <n v="1"/>
    <n v="0"/>
    <n v="0"/>
    <n v="50.5608"/>
    <n v="0"/>
    <d v="2024-03-01T00:00:00"/>
    <d v="2024-05-01T00:00:00"/>
  </r>
  <r>
    <n v="38447"/>
    <x v="13"/>
    <x v="3"/>
    <d v="2024-01-05T00:00:00"/>
    <s v="2. Up-sell / X-sell"/>
    <s v="Quality Management Resources Inc"/>
    <s v="MPX LA - New computer"/>
    <n v="0"/>
    <n v="0"/>
    <n v="0"/>
    <n v="1"/>
    <n v="0"/>
    <n v="0"/>
    <n v="0"/>
    <n v="0"/>
    <d v="2024-03-01T00:00:00"/>
    <d v="2024-05-01T00:00:00"/>
  </r>
  <r>
    <n v="38421"/>
    <x v="10"/>
    <x v="2"/>
    <d v="2024-01-04T00:00:00"/>
    <s v="2. Up-sell / X-sell"/>
    <s v="The Thornhill Companies"/>
    <s v="Quote #MPS122355 Per Service Ticket #10419786 - BNV Switch"/>
    <n v="0"/>
    <n v="0"/>
    <n v="0"/>
    <n v="1"/>
    <n v="0"/>
    <n v="0"/>
    <n v="0"/>
    <n v="0"/>
    <d v="2024-03-01T00:00:00"/>
    <d v="2024-05-01T00:00:00"/>
  </r>
  <r>
    <n v="38415"/>
    <x v="3"/>
    <x v="2"/>
    <d v="2024-01-02T00:00:00"/>
    <s v="2. Up-sell / X-sell"/>
    <s v="Metropolitan Pediatrics"/>
    <s v="10401394 - Upgrade to DS687 Duplex A6 ID Card Scanners (3 units) for Front desk reception"/>
    <n v="0"/>
    <n v="0"/>
    <n v="0"/>
    <n v="1"/>
    <n v="0"/>
    <n v="0"/>
    <n v="16.274400000000007"/>
    <n v="0"/>
    <d v="2024-03-01T00:00:00"/>
    <d v="2024-05-01T00:00:00"/>
  </r>
  <r>
    <n v="38396"/>
    <x v="10"/>
    <x v="2"/>
    <d v="2024-01-04T00:00:00"/>
    <s v="2. Up-sell / X-sell"/>
    <s v="Sunroad Enterprises"/>
    <s v="Quote #MPS122335 Per Service Ticket # 10417154 - SASSI Laptops &amp; Docks"/>
    <n v="0"/>
    <n v="0"/>
    <n v="0"/>
    <n v="1"/>
    <n v="0"/>
    <n v="0"/>
    <n v="0"/>
    <n v="0"/>
    <d v="2024-03-01T00:00:00"/>
    <d v="2024-05-01T00:00:00"/>
  </r>
  <r>
    <n v="38380"/>
    <x v="2"/>
    <x v="2"/>
    <d v="2024-01-24T00:00:00"/>
    <s v="3. NRR - Renewal"/>
    <s v="Action Property Management, Inc."/>
    <s v="HP Server Support Renewals"/>
    <n v="0"/>
    <n v="0"/>
    <n v="0"/>
    <n v="1"/>
    <n v="0"/>
    <n v="0"/>
    <n v="73.972799999999992"/>
    <n v="0"/>
    <d v="2024-03-01T00:00:00"/>
    <d v="2024-05-01T00:00:00"/>
  </r>
  <r>
    <n v="38377"/>
    <x v="6"/>
    <x v="2"/>
    <d v="2024-01-09T00:00:00"/>
    <s v="2. Up-sell / X-sell"/>
    <s v="Lebco Industries, LP"/>
    <s v="1 Wireless Access Point for Shreveport Store"/>
    <n v="0"/>
    <n v="0"/>
    <n v="0"/>
    <n v="1"/>
    <n v="0"/>
    <n v="0"/>
    <n v="4.3488000000000016"/>
    <n v="0"/>
    <d v="2024-03-01T00:00:00"/>
    <d v="2024-05-01T00:00:00"/>
  </r>
  <r>
    <n v="38334"/>
    <x v="10"/>
    <x v="2"/>
    <d v="2024-01-08T00:00:00"/>
    <s v="2. Up-sell / X-sell"/>
    <s v="First Auto Group"/>
    <s v="Quote #MPS122251 Per Service Ticket # 10410891 - Dell AC Adapter - 130 W"/>
    <n v="0"/>
    <n v="0"/>
    <n v="0"/>
    <n v="1"/>
    <n v="0"/>
    <n v="0"/>
    <n v="0"/>
    <n v="0"/>
    <d v="2024-03-01T00:00:00"/>
    <d v="2024-05-01T00:00:00"/>
  </r>
  <r>
    <n v="38331"/>
    <x v="5"/>
    <x v="2"/>
    <d v="2024-01-04T00:00:00"/>
    <s v="2. Up-sell / X-sell"/>
    <s v="Asphalt Coatings Company"/>
    <s v="OS Upgrade and Computer Build"/>
    <n v="0"/>
    <n v="0"/>
    <n v="0"/>
    <n v="1"/>
    <n v="0"/>
    <n v="0"/>
    <n v="24.908799999999999"/>
    <n v="0"/>
    <d v="2024-03-01T00:00:00"/>
    <d v="2024-05-01T00:00:00"/>
  </r>
  <r>
    <n v="39386"/>
    <x v="0"/>
    <x v="0"/>
    <d v="2024-01-26T00:00:00"/>
    <s v="2. Up-sell / X-sell"/>
    <s v="Overhead Door Corporation"/>
    <s v="SR 248655 Latitude 5540 Bundle PO 50169504"/>
    <n v="0"/>
    <n v="0"/>
    <n v="0"/>
    <n v="1"/>
    <n v="0"/>
    <n v="0"/>
    <n v="0"/>
    <n v="0"/>
    <d v="2024-03-01T00:00:00"/>
    <d v="2024-05-01T00:00:00"/>
  </r>
  <r>
    <n v="39387"/>
    <x v="0"/>
    <x v="0"/>
    <d v="2024-01-26T00:00:00"/>
    <s v="2. Up-sell / X-sell"/>
    <s v="Overhead Door Corporation"/>
    <s v="SR 248560 Engineering Dock PO 50169503"/>
    <n v="0"/>
    <n v="0"/>
    <n v="0"/>
    <n v="1"/>
    <n v="0"/>
    <n v="0"/>
    <n v="0"/>
    <n v="0"/>
    <d v="2024-03-01T00:00:00"/>
    <d v="2024-05-01T00:00:00"/>
  </r>
  <r>
    <n v="39388"/>
    <x v="0"/>
    <x v="0"/>
    <d v="2024-01-26T00:00:00"/>
    <s v="2. Up-sell / X-sell"/>
    <s v="Overhead Door Corporation"/>
    <s v="SR 248557 Monitors Desk Phone PO 50169502"/>
    <n v="0"/>
    <n v="0"/>
    <n v="0"/>
    <n v="1"/>
    <n v="0"/>
    <n v="0"/>
    <n v="0"/>
    <n v="0"/>
    <d v="2024-03-01T00:00:00"/>
    <d v="2024-05-01T00:00:00"/>
  </r>
  <r>
    <n v="38292"/>
    <x v="3"/>
    <x v="2"/>
    <d v="2024-01-15T00:00:00"/>
    <s v="2. Up-sell / X-sell"/>
    <s v="Jensen Design &amp; Survey Inc"/>
    <s v="Quote #MPS122173 Per Service Ticket #10406131 - Microsoft Agreement V9482970 Year 3 Payment"/>
    <n v="0"/>
    <n v="0"/>
    <n v="0"/>
    <n v="1"/>
    <n v="0"/>
    <n v="0"/>
    <n v="52.193599999999989"/>
    <n v="0"/>
    <d v="2024-03-01T00:00:00"/>
    <d v="2024-05-01T00:00:00"/>
  </r>
  <r>
    <n v="38291"/>
    <x v="10"/>
    <x v="2"/>
    <d v="2024-01-09T00:00:00"/>
    <s v="2. Up-sell / X-sell"/>
    <s v="SHANLEY, a Professional Corporation"/>
    <s v="Quote #MPS122206 Per Service Ticket #10292623 - Meraki License Renewal"/>
    <n v="0"/>
    <n v="0"/>
    <n v="0"/>
    <n v="1"/>
    <n v="0"/>
    <n v="0"/>
    <n v="0"/>
    <n v="0"/>
    <d v="2024-03-01T00:00:00"/>
    <d v="2024-05-01T00:00:00"/>
  </r>
  <r>
    <n v="38284"/>
    <x v="3"/>
    <x v="2"/>
    <d v="2024-01-15T00:00:00"/>
    <s v="2. Up-sell / X-sell"/>
    <s v="Jewish Community Foundation"/>
    <s v="Quote #MPS122177 Per Service Ticket # 10406255 - Palo Alto PA-440 Firewall"/>
    <n v="0"/>
    <n v="0"/>
    <n v="0"/>
    <n v="1"/>
    <n v="0"/>
    <n v="0"/>
    <n v="111.78959999999999"/>
    <n v="0"/>
    <d v="2024-03-01T00:00:00"/>
    <d v="2024-05-01T00:00:00"/>
  </r>
  <r>
    <n v="38272"/>
    <x v="5"/>
    <x v="2"/>
    <d v="2024-01-05T00:00:00"/>
    <s v="2. Up-sell / X-sell"/>
    <s v="Excess Telecom"/>
    <s v="Service Ticket #10406659 - New Hire EQUIPMENT - JENNIFER TSAO"/>
    <n v="0"/>
    <n v="0"/>
    <n v="0"/>
    <n v="1"/>
    <n v="0"/>
    <n v="0"/>
    <n v="23.491199999999996"/>
    <n v="0"/>
    <d v="2024-03-01T00:00:00"/>
    <d v="2024-05-01T00:00:00"/>
  </r>
  <r>
    <n v="39389"/>
    <x v="0"/>
    <x v="0"/>
    <d v="2024-01-26T00:00:00"/>
    <s v="2. Up-sell / X-sell"/>
    <s v="Overhead Door Corporation"/>
    <s v="SR 248040 Precision 7780 Bundle PO 962789"/>
    <n v="0"/>
    <n v="0"/>
    <n v="0"/>
    <n v="1"/>
    <n v="0"/>
    <n v="0"/>
    <n v="0"/>
    <n v="0"/>
    <d v="2024-03-01T00:00:00"/>
    <d v="2024-05-01T00:00:00"/>
  </r>
  <r>
    <n v="38254"/>
    <x v="1"/>
    <x v="1"/>
    <d v="2024-01-15T00:00:00"/>
    <s v="3. NRR - Renewal"/>
    <s v="Louisiana Sugar Refining, LLC"/>
    <s v="MPX LA - Quote for Fortinet FortiCare renewal"/>
    <n v="0"/>
    <n v="0"/>
    <n v="0"/>
    <n v="1"/>
    <n v="0"/>
    <n v="0"/>
    <n v="32.548000000000002"/>
    <n v="0"/>
    <d v="2024-03-01T00:00:00"/>
    <d v="2024-05-01T00:00:00"/>
  </r>
  <r>
    <n v="38229"/>
    <x v="3"/>
    <x v="2"/>
    <d v="2024-01-12T00:00:00"/>
    <s v="2. Up-sell / X-sell"/>
    <s v="Architectural Heritage Center"/>
    <s v="Managed Services Offboarding/Transition Proposal"/>
    <n v="0"/>
    <n v="0"/>
    <n v="0"/>
    <n v="1"/>
    <n v="0"/>
    <n v="0"/>
    <n v="12"/>
    <n v="0"/>
    <d v="2024-03-01T00:00:00"/>
    <d v="2024-05-01T00:00:00"/>
  </r>
  <r>
    <n v="38217"/>
    <x v="10"/>
    <x v="2"/>
    <d v="2024-01-10T00:00:00"/>
    <s v="2. Up-sell / X-sell"/>
    <s v="Southern California Orthopedic Institute"/>
    <s v="Quote #MPS122137 Per Service Ticket #10400733 - SFP Modules"/>
    <n v="0"/>
    <n v="0"/>
    <n v="0"/>
    <n v="1"/>
    <n v="0"/>
    <n v="0"/>
    <n v="0"/>
    <n v="0"/>
    <d v="2024-03-01T00:00:00"/>
    <d v="2024-05-01T00:00:00"/>
  </r>
  <r>
    <n v="38171"/>
    <x v="8"/>
    <x v="1"/>
    <d v="2024-01-08T00:00:00"/>
    <s v="2. Up-sell / X-sell"/>
    <s v="DII Industries, LLC Asbestos PI Trust"/>
    <s v="Addendum to MPS120730 - Additional ForensIT Licenses for Server and SharePoint Migration Phase 2"/>
    <n v="0"/>
    <n v="0"/>
    <n v="0"/>
    <n v="1"/>
    <n v="0"/>
    <n v="0"/>
    <n v="4"/>
    <n v="0"/>
    <d v="2024-03-01T00:00:00"/>
    <d v="2024-05-01T00:00:00"/>
  </r>
  <r>
    <n v="38140"/>
    <x v="2"/>
    <x v="2"/>
    <d v="2024-01-25T00:00:00"/>
    <s v="2. Up-sell / X-sell"/>
    <s v="Talsco Manufacturing"/>
    <s v="3 MR36, 1MR70 from Meraki"/>
    <n v="0"/>
    <n v="0"/>
    <n v="0"/>
    <n v="1"/>
    <n v="0"/>
    <n v="0"/>
    <n v="35.945600000000006"/>
    <n v="0"/>
    <d v="2024-03-01T00:00:00"/>
    <d v="2024-05-01T00:00:00"/>
  </r>
  <r>
    <n v="38116"/>
    <x v="3"/>
    <x v="2"/>
    <d v="2024-01-10T00:00:00"/>
    <s v="2. Up-sell / X-sell"/>
    <s v="Asher Community Health Center"/>
    <s v="#10393065 - Christmas Valley Clinic Setup"/>
    <n v="0"/>
    <n v="0"/>
    <n v="0"/>
    <n v="1"/>
    <n v="0"/>
    <n v="0"/>
    <n v="467.92960000000005"/>
    <n v="0"/>
    <d v="2024-03-01T00:00:00"/>
    <d v="2024-05-01T00:00:00"/>
  </r>
  <r>
    <n v="39390"/>
    <x v="0"/>
    <x v="0"/>
    <d v="2024-01-26T00:00:00"/>
    <s v="2. Up-sell / X-sell"/>
    <s v="Overhead Door Corporation"/>
    <s v="SR 250319 Backwire 5220 Headset PO 3003882"/>
    <n v="0"/>
    <n v="0"/>
    <n v="0"/>
    <n v="1"/>
    <n v="0"/>
    <n v="0"/>
    <n v="0"/>
    <n v="0"/>
    <d v="2024-03-01T00:00:00"/>
    <d v="2024-05-01T00:00:00"/>
  </r>
  <r>
    <n v="38085"/>
    <x v="3"/>
    <x v="2"/>
    <d v="2024-01-11T00:00:00"/>
    <s v="2. Up-sell / X-sell"/>
    <s v="Huggins Insurance"/>
    <s v="#10311030 - T20220907.0090 - Proactive / Propose server replacement"/>
    <n v="0"/>
    <n v="0"/>
    <n v="0"/>
    <n v="1"/>
    <n v="0"/>
    <n v="0"/>
    <n v="708"/>
    <n v="0"/>
    <d v="2024-03-01T00:00:00"/>
    <d v="2024-05-01T00:00:00"/>
  </r>
  <r>
    <n v="38074"/>
    <x v="10"/>
    <x v="2"/>
    <d v="2024-01-03T00:00:00"/>
    <s v="2. Up-sell / X-sell"/>
    <s v="Epirium Bio"/>
    <s v="Quote #MPS121986 Per Service Ticket # 10387794 - 4K Laptop for Alex Casdin"/>
    <n v="0"/>
    <n v="0"/>
    <n v="0"/>
    <n v="1"/>
    <n v="0"/>
    <n v="0"/>
    <n v="0"/>
    <n v="0"/>
    <d v="2024-03-01T00:00:00"/>
    <d v="2024-05-01T00:00:00"/>
  </r>
  <r>
    <n v="38066"/>
    <x v="5"/>
    <x v="2"/>
    <d v="2024-01-09T00:00:00"/>
    <s v="2. Up-sell / X-sell"/>
    <s v="Rocky Mountain Recycling Inc"/>
    <s v="UPS Eaton Power Backups"/>
    <n v="0"/>
    <n v="0"/>
    <n v="0"/>
    <n v="1"/>
    <n v="0"/>
    <n v="0"/>
    <n v="19.929600000000001"/>
    <n v="0"/>
    <d v="2024-03-01T00:00:00"/>
    <d v="2024-05-01T00:00:00"/>
  </r>
  <r>
    <n v="38045"/>
    <x v="3"/>
    <x v="2"/>
    <d v="2024-01-12T00:00:00"/>
    <s v="2. Up-sell / X-sell"/>
    <s v="Radiology Specialists of the Northwest"/>
    <s v="#10308500 - T20231016.0227 - Solution Upgrade/Replacement of RSN-DC1"/>
    <n v="0"/>
    <n v="0"/>
    <n v="0"/>
    <n v="1"/>
    <n v="0"/>
    <n v="0"/>
    <n v="328.8"/>
    <n v="0"/>
    <d v="2024-03-01T00:00:00"/>
    <d v="2024-05-01T00:00:00"/>
  </r>
  <r>
    <n v="37992"/>
    <x v="10"/>
    <x v="2"/>
    <d v="2024-01-04T00:00:00"/>
    <s v="2. Up-sell / X-sell"/>
    <s v="Alliance Inspection Management"/>
    <s v="APC Replacement Battery"/>
    <n v="0"/>
    <n v="0"/>
    <n v="0"/>
    <n v="1"/>
    <n v="0"/>
    <n v="0"/>
    <n v="0"/>
    <n v="0"/>
    <d v="2024-03-01T00:00:00"/>
    <d v="2024-05-01T00:00:00"/>
  </r>
  <r>
    <n v="37983"/>
    <x v="5"/>
    <x v="2"/>
    <d v="2024-01-15T00:00:00"/>
    <s v="2. Up-sell / X-sell"/>
    <s v="Sterling Ranch Development Company"/>
    <s v="Lenovo ThinkPad X1 Yoga Charger Cord"/>
    <n v="0"/>
    <n v="0"/>
    <n v="0"/>
    <n v="1"/>
    <n v="0"/>
    <n v="0"/>
    <n v="0.88879999999999992"/>
    <n v="0"/>
    <d v="2024-03-01T00:00:00"/>
    <d v="2024-05-01T00:00:00"/>
  </r>
  <r>
    <n v="37950"/>
    <x v="3"/>
    <x v="2"/>
    <d v="2024-01-09T00:00:00"/>
    <s v="2. Up-sell / X-sell"/>
    <s v="Innovative Sleep Centers"/>
    <s v="Ticket #10379533 - Wendi Eden / Provide quote for replacement switch for Yuba City"/>
    <n v="0"/>
    <n v="0"/>
    <n v="0"/>
    <n v="1"/>
    <n v="0"/>
    <n v="0"/>
    <n v="9.788000000000002"/>
    <n v="0"/>
    <d v="2024-03-01T00:00:00"/>
    <d v="2024-05-01T00:00:00"/>
  </r>
  <r>
    <n v="37915"/>
    <x v="3"/>
    <x v="2"/>
    <d v="2024-01-04T00:00:00"/>
    <s v="2. Up-sell / X-sell"/>
    <s v="Laser &amp; Skin Surgery Center"/>
    <s v="Meraki Licenses - 9395432"/>
    <n v="0"/>
    <n v="0"/>
    <n v="0"/>
    <n v="1"/>
    <n v="0"/>
    <n v="0"/>
    <n v="6.7423999999999982"/>
    <n v="0"/>
    <d v="2024-03-01T00:00:00"/>
    <d v="2024-05-01T00:00:00"/>
  </r>
  <r>
    <n v="37914"/>
    <x v="2"/>
    <x v="2"/>
    <d v="2024-01-02T00:00:00"/>
    <s v="2. Up-sell / X-sell"/>
    <s v="Global Trim Sales Inc."/>
    <s v="(BF) Adobe Illustrator license"/>
    <n v="0"/>
    <n v="0"/>
    <n v="0"/>
    <n v="1"/>
    <n v="0"/>
    <n v="0"/>
    <n v="7.0399999999999643E-2"/>
    <n v="0"/>
    <d v="2024-03-01T00:00:00"/>
    <d v="2024-05-01T00:00:00"/>
  </r>
  <r>
    <n v="37894"/>
    <x v="2"/>
    <x v="2"/>
    <d v="2024-01-03T00:00:00"/>
    <s v="2. Up-sell / X-sell"/>
    <s v="MK Battery"/>
    <s v="(BC) SMA and 25 VPN Users"/>
    <n v="0"/>
    <n v="0"/>
    <n v="0"/>
    <n v="1"/>
    <n v="0"/>
    <n v="0"/>
    <n v="41.8"/>
    <n v="0"/>
    <d v="2024-03-01T00:00:00"/>
    <d v="2024-05-01T00:00:00"/>
  </r>
  <r>
    <n v="37888"/>
    <x v="3"/>
    <x v="2"/>
    <d v="2024-01-09T00:00:00"/>
    <s v="2. Up-sell / X-sell"/>
    <s v="Cascade Health Alliance LLC"/>
    <s v="#10376048 - Cascade Health Alliance / Solution Redundant ISP Circuit Implementation"/>
    <n v="0"/>
    <n v="0"/>
    <n v="0"/>
    <n v="1"/>
    <n v="0"/>
    <n v="0"/>
    <n v="60.2"/>
    <n v="0"/>
    <d v="2024-03-01T00:00:00"/>
    <d v="2024-05-01T00:00:00"/>
  </r>
  <r>
    <n v="39401"/>
    <x v="0"/>
    <x v="0"/>
    <d v="2024-01-26T00:00:00"/>
    <s v="2. Up-sell / X-sell"/>
    <s v="Overhead Door Corporation"/>
    <s v="SR 249445 HP Color LaserJet Pro PO 13983258"/>
    <n v="0"/>
    <n v="0"/>
    <n v="0"/>
    <n v="1"/>
    <n v="0"/>
    <n v="0"/>
    <n v="0"/>
    <n v="0"/>
    <d v="2024-03-01T00:00:00"/>
    <d v="2024-05-01T00:00:00"/>
  </r>
  <r>
    <n v="37835"/>
    <x v="3"/>
    <x v="2"/>
    <d v="2024-01-15T00:00:00"/>
    <s v="2. Up-sell / X-sell"/>
    <s v="Ronald McDonald House Charities"/>
    <s v="Ordering a New Laptop + Dock"/>
    <n v="0"/>
    <n v="0"/>
    <n v="0"/>
    <n v="1"/>
    <n v="0"/>
    <n v="0"/>
    <n v="36.215200000000003"/>
    <n v="0"/>
    <d v="2024-03-01T00:00:00"/>
    <d v="2024-05-01T00:00:00"/>
  </r>
  <r>
    <n v="37770"/>
    <x v="13"/>
    <x v="3"/>
    <d v="2024-01-02T00:00:00"/>
    <s v="3. NRR - Renewal"/>
    <s v="Industrial Parts Specialties LLC"/>
    <s v="MPX LA - Fortigate &amp; FortiSwitch Renewals"/>
    <n v="0"/>
    <n v="0"/>
    <n v="0"/>
    <n v="1"/>
    <n v="0"/>
    <n v="0"/>
    <n v="0"/>
    <n v="0"/>
    <d v="2024-03-01T00:00:00"/>
    <d v="2024-05-01T00:00:00"/>
  </r>
  <r>
    <n v="39403"/>
    <x v="11"/>
    <x v="0"/>
    <d v="2024-01-29T00:00:00"/>
    <s v="2. Up-sell / X-sell"/>
    <s v="OCC MSO, LLC"/>
    <s v="OCC Cornerstone Laptops and Workstation quote"/>
    <n v="0"/>
    <n v="0"/>
    <n v="0"/>
    <n v="1"/>
    <n v="0"/>
    <n v="0"/>
    <n v="63.797600000000024"/>
    <n v="0"/>
    <d v="2024-03-01T00:00:00"/>
    <d v="2024-05-01T00:00:00"/>
  </r>
  <r>
    <n v="37744"/>
    <x v="13"/>
    <x v="3"/>
    <d v="2024-01-02T00:00:00"/>
    <s v="3. NRR - Renewal"/>
    <s v="Allied Power"/>
    <s v="MPX LA - Fortigate 80F"/>
    <n v="0"/>
    <n v="0"/>
    <n v="0"/>
    <n v="1"/>
    <n v="0"/>
    <n v="0"/>
    <n v="0"/>
    <n v="0"/>
    <d v="2024-03-01T00:00:00"/>
    <d v="2024-05-01T00:00:00"/>
  </r>
  <r>
    <n v="37673"/>
    <x v="3"/>
    <x v="2"/>
    <d v="2024-01-19T00:00:00"/>
    <s v="2. Up-sell / X-sell"/>
    <s v="Logix Federal Credit Union"/>
    <s v="Quote #MPS121611 Per Service Ticket #10302906 - Cisco SmartNet Renewal"/>
    <n v="0"/>
    <n v="0"/>
    <n v="0"/>
    <n v="1"/>
    <n v="0"/>
    <n v="0"/>
    <n v="210.87199999999999"/>
    <n v="0"/>
    <d v="2024-03-01T00:00:00"/>
    <d v="2024-05-01T00:00:00"/>
  </r>
  <r>
    <n v="39408"/>
    <x v="11"/>
    <x v="3"/>
    <d v="2024-01-30T00:00:00"/>
    <s v="2. Up-sell / X-sell"/>
    <s v="Centers for Advanced Orthopaedics"/>
    <s v="Jan 26 Microsoft Licensing"/>
    <n v="0"/>
    <n v="11.25"/>
    <n v="0"/>
    <n v="12"/>
    <n v="0.125"/>
    <n v="0"/>
    <s v="N/A"/>
    <n v="1.40625"/>
    <d v="2024-03-01T00:00:00"/>
    <d v="2024-05-01T00:00:00"/>
  </r>
  <r>
    <n v="37614"/>
    <x v="10"/>
    <x v="2"/>
    <d v="2024-01-11T00:00:00"/>
    <s v="2. Up-sell / X-sell"/>
    <s v="McKenna Motor Company, Inc."/>
    <s v="Quote #MPS121553 Per Service Ticket #10295789 - UPS Battery Replacement"/>
    <n v="0"/>
    <n v="0"/>
    <n v="0"/>
    <n v="1"/>
    <n v="0"/>
    <n v="0"/>
    <n v="0"/>
    <n v="0"/>
    <d v="2024-03-01T00:00:00"/>
    <d v="2024-05-01T00:00:00"/>
  </r>
  <r>
    <n v="37591"/>
    <x v="10"/>
    <x v="2"/>
    <d v="2024-01-09T00:00:00"/>
    <s v="2. Up-sell / X-sell"/>
    <s v="McKenna Motor Company, Inc."/>
    <s v="Quote #MPS121521 Per Service Ticket # 10271102 - Receptionist Headset"/>
    <n v="0"/>
    <n v="0"/>
    <n v="0"/>
    <n v="1"/>
    <n v="0"/>
    <n v="0"/>
    <n v="0"/>
    <n v="0"/>
    <d v="2024-03-01T00:00:00"/>
    <d v="2024-05-01T00:00:00"/>
  </r>
  <r>
    <n v="37574"/>
    <x v="5"/>
    <x v="2"/>
    <d v="2024-01-16T00:00:00"/>
    <s v="3. NRR - Renewal"/>
    <s v="Calcon Constructors Inc"/>
    <s v="10277799 - Adobe Annual Renewal Licenses"/>
    <n v="0"/>
    <n v="0"/>
    <n v="0"/>
    <n v="1"/>
    <n v="0"/>
    <n v="0"/>
    <n v="21.515200000000007"/>
    <n v="0"/>
    <d v="2024-03-01T00:00:00"/>
    <d v="2024-05-01T00:00:00"/>
  </r>
  <r>
    <n v="37552"/>
    <x v="5"/>
    <x v="2"/>
    <d v="2024-01-31T00:00:00"/>
    <s v="2. Up-sell / X-sell"/>
    <s v="Dana Kepner"/>
    <s v="Azure IPSec Redesign and NPS for WiFi"/>
    <n v="0"/>
    <n v="0"/>
    <n v="0"/>
    <n v="1"/>
    <n v="0"/>
    <n v="0"/>
    <n v="490.8"/>
    <n v="0"/>
    <d v="2024-03-01T00:00:00"/>
    <d v="2024-05-01T00:00:00"/>
  </r>
  <r>
    <n v="37445"/>
    <x v="10"/>
    <x v="2"/>
    <d v="2024-01-12T00:00:00"/>
    <s v="2. Up-sell / X-sell"/>
    <s v="Rusnak Auto Group"/>
    <s v="Quote #MPS121356 Per Service Ticket # 10275430 - Network Infrastructure - Ontario Genesis - Rusnak -"/>
    <n v="0"/>
    <n v="0"/>
    <n v="0"/>
    <n v="1"/>
    <n v="0"/>
    <n v="0"/>
    <n v="0"/>
    <n v="0"/>
    <d v="2024-03-01T00:00:00"/>
    <d v="2024-05-01T00:00:00"/>
  </r>
  <r>
    <n v="37414"/>
    <x v="3"/>
    <x v="2"/>
    <d v="2024-01-31T00:00:00"/>
    <s v="2. Up-sell / X-sell"/>
    <s v="HALO Centers"/>
    <s v="Quote #MPS121303 Per Service Ticket #10271717 - Reading Station for Dr. Wadood"/>
    <n v="0"/>
    <n v="0"/>
    <n v="0"/>
    <n v="1"/>
    <n v="0"/>
    <n v="0"/>
    <n v="31.716000000000005"/>
    <n v="0"/>
    <d v="2024-03-01T00:00:00"/>
    <d v="2024-05-01T00:00:00"/>
  </r>
  <r>
    <n v="37412"/>
    <x v="5"/>
    <x v="2"/>
    <d v="2024-01-25T00:00:00"/>
    <s v="2. Up-sell / X-sell"/>
    <s v="PropFlow"/>
    <s v="Complete M365 Setup and Intune Enrollment for Computers"/>
    <n v="0"/>
    <n v="0"/>
    <n v="0"/>
    <n v="1"/>
    <n v="0"/>
    <n v="0"/>
    <n v="109.2"/>
    <n v="0"/>
    <d v="2024-03-01T00:00:00"/>
    <d v="2024-05-01T00:00:00"/>
  </r>
  <r>
    <n v="37381"/>
    <x v="5"/>
    <x v="2"/>
    <d v="2024-01-22T00:00:00"/>
    <s v="3. NRR - Renewal"/>
    <s v="BCER Group"/>
    <s v="10271203 - Standard SSL Certificate For vpncloud.bcer.com"/>
    <n v="0"/>
    <n v="0"/>
    <n v="0"/>
    <n v="1"/>
    <n v="0"/>
    <n v="0"/>
    <n v="7.1608000000000001"/>
    <n v="0"/>
    <d v="2024-03-01T00:00:00"/>
    <d v="2024-05-01T00:00:00"/>
  </r>
  <r>
    <n v="37367"/>
    <x v="5"/>
    <x v="2"/>
    <d v="2024-01-15T00:00:00"/>
    <s v="3. NRR - Renewal"/>
    <s v="Umpqua"/>
    <s v="10270978 - Standard UCC SSL Certificate For mail.umpqua.com"/>
    <n v="0"/>
    <n v="0"/>
    <n v="0"/>
    <n v="1"/>
    <n v="0"/>
    <n v="0"/>
    <n v="7.7208000000000006"/>
    <n v="0"/>
    <d v="2024-03-01T00:00:00"/>
    <d v="2024-05-01T00:00:00"/>
  </r>
  <r>
    <n v="37260"/>
    <x v="5"/>
    <x v="2"/>
    <d v="2024-01-10T00:00:00"/>
    <s v="3. NRR - Renewal"/>
    <s v="Sterling Ranch Community Authority Board"/>
    <s v="10264262 - Adobe Annual License Renewal"/>
    <n v="0"/>
    <n v="0"/>
    <n v="0"/>
    <n v="1"/>
    <n v="0"/>
    <n v="0"/>
    <n v="59.857600000000005"/>
    <n v="0"/>
    <d v="2024-03-01T00:00:00"/>
    <d v="2024-05-01T00:00:00"/>
  </r>
  <r>
    <n v="37235"/>
    <x v="3"/>
    <x v="2"/>
    <d v="2024-01-23T00:00:00"/>
    <s v="2. Up-sell / X-sell"/>
    <s v="BLT Enterprises Inc."/>
    <s v="Quote #MPS121149 Per Service Ticket # 10257049 - Switch for Fremont"/>
    <n v="0"/>
    <n v="0"/>
    <n v="0"/>
    <n v="1"/>
    <n v="0"/>
    <n v="0"/>
    <n v="17.330400000000001"/>
    <n v="0"/>
    <d v="2024-03-01T00:00:00"/>
    <d v="2024-05-01T00:00:00"/>
  </r>
  <r>
    <n v="36995"/>
    <x v="5"/>
    <x v="2"/>
    <d v="2024-01-15T00:00:00"/>
    <s v="2. Up-sell / X-sell"/>
    <s v="Modern Mortgage, LLC"/>
    <s v="Reconfigure Firewall for New Office Location and ISP"/>
    <n v="0"/>
    <n v="0"/>
    <n v="0"/>
    <n v="1"/>
    <n v="0"/>
    <n v="0"/>
    <n v="31.5"/>
    <n v="0"/>
    <d v="2024-03-01T00:00:00"/>
    <d v="2024-05-01T00:00:00"/>
  </r>
  <r>
    <n v="36869"/>
    <x v="5"/>
    <x v="2"/>
    <d v="2024-01-15T00:00:00"/>
    <s v="3. NRR - Renewal"/>
    <s v="Slawson Companies"/>
    <s v="10212111 - Standard SSL Certificate For view2.pelicanpipeline.com"/>
    <n v="0"/>
    <n v="0"/>
    <n v="0"/>
    <n v="1"/>
    <n v="0"/>
    <n v="0"/>
    <n v="7.1608000000000001"/>
    <n v="0"/>
    <d v="2024-03-01T00:00:00"/>
    <d v="2024-05-01T00:00:00"/>
  </r>
  <r>
    <n v="36853"/>
    <x v="4"/>
    <x v="2"/>
    <d v="2024-01-29T00:00:00"/>
    <s v="2. Up-sell / X-sell"/>
    <s v="Texas Roof Management Inc"/>
    <s v="Hourly Block / 25 hours"/>
    <n v="0"/>
    <n v="0"/>
    <n v="0"/>
    <n v="0"/>
    <n v="0"/>
    <n v="0"/>
    <n v="215"/>
    <n v="0"/>
    <d v="2024-03-01T00:00:00"/>
    <d v="2024-05-01T00:00:00"/>
  </r>
  <r>
    <n v="36795"/>
    <x v="5"/>
    <x v="2"/>
    <d v="2024-01-26T00:00:00"/>
    <s v="3. NRR - Renewal"/>
    <s v="EverWest Real Estate Investors LLC"/>
    <s v="10203489 - Fortinet Renewal 1-Year 24x7 UTM Renewal For FGT60ETK18063787"/>
    <n v="0"/>
    <n v="0"/>
    <n v="0"/>
    <n v="1"/>
    <n v="0"/>
    <n v="0"/>
    <n v="7.6959999999999988"/>
    <n v="0"/>
    <d v="2024-03-01T00:00:00"/>
    <d v="2024-05-01T00:00:00"/>
  </r>
  <r>
    <n v="36783"/>
    <x v="5"/>
    <x v="2"/>
    <d v="2024-01-17T00:00:00"/>
    <s v="3. NRR - Renewal"/>
    <s v="Town Hall Arts Center"/>
    <s v="10203245 - Fortinet Renewal 1-Year 24x7 UTM Renewal For FGT60ETK19061907"/>
    <n v="0"/>
    <n v="0"/>
    <n v="0"/>
    <n v="1"/>
    <n v="0"/>
    <n v="0"/>
    <n v="7.6959999999999988"/>
    <n v="0"/>
    <d v="2024-03-01T00:00:00"/>
    <d v="2024-05-01T00:00:00"/>
  </r>
  <r>
    <n v="36781"/>
    <x v="5"/>
    <x v="2"/>
    <d v="2024-01-11T00:00:00"/>
    <s v="3. NRR - Renewal"/>
    <s v="Rocky Mountain Recycling Inc"/>
    <s v="10203212 - Fortinet Renewal 1-Year 24x7 UTM Renewal For FGT60FTK20049808"/>
    <n v="0"/>
    <n v="0"/>
    <n v="0"/>
    <n v="1"/>
    <n v="0"/>
    <n v="0"/>
    <n v="8.7776000000000032"/>
    <n v="0"/>
    <d v="2024-03-01T00:00:00"/>
    <d v="2024-05-01T00:00:00"/>
  </r>
  <r>
    <n v="36780"/>
    <x v="5"/>
    <x v="2"/>
    <d v="2024-01-10T00:00:00"/>
    <s v="3. NRR - Renewal"/>
    <s v="ValueTronics International Inc"/>
    <s v="10203187 - Adobe License Annual Renewal"/>
    <n v="0"/>
    <n v="0"/>
    <n v="0"/>
    <n v="1"/>
    <n v="0"/>
    <n v="0"/>
    <n v="14.162399999999998"/>
    <n v="0"/>
    <d v="2024-03-01T00:00:00"/>
    <d v="2024-05-01T00:00:00"/>
  </r>
  <r>
    <n v="36636"/>
    <x v="10"/>
    <x v="2"/>
    <d v="2024-01-10T00:00:00"/>
    <s v="3. NRR - Renewal"/>
    <s v="Decision Logic"/>
    <s v="Meraki Renewal"/>
    <n v="0"/>
    <n v="0"/>
    <n v="0"/>
    <n v="1"/>
    <n v="0"/>
    <n v="0"/>
    <n v="0"/>
    <n v="0"/>
    <d v="2024-03-01T00:00:00"/>
    <d v="2024-05-01T00:00:00"/>
  </r>
  <r>
    <n v="36507"/>
    <x v="5"/>
    <x v="2"/>
    <d v="2024-01-16T00:00:00"/>
    <s v="3. NRR - Renewal"/>
    <s v="Denver Athletic Club"/>
    <s v="10175286 - Standard SSL Certificate For sslvpn.denverathleticclub.org"/>
    <n v="0"/>
    <n v="0"/>
    <n v="0"/>
    <n v="1"/>
    <n v="0"/>
    <n v="0"/>
    <n v="7.1608000000000001"/>
    <n v="0"/>
    <d v="2024-03-01T00:00:00"/>
    <d v="2024-05-01T00:00:00"/>
  </r>
  <r>
    <n v="36417"/>
    <x v="5"/>
    <x v="2"/>
    <d v="2024-01-03T00:00:00"/>
    <s v="3. NRR - Renewal"/>
    <s v="International Assn for the Study of Lung Cancer"/>
    <s v="10162811 - Adobe Annual Nonprofit Subscription License Renewal"/>
    <n v="0"/>
    <n v="0"/>
    <n v="0"/>
    <n v="1"/>
    <n v="0"/>
    <n v="0"/>
    <n v="73.214400000000026"/>
    <n v="0"/>
    <d v="2024-03-01T00:00:00"/>
    <d v="2024-05-01T00:00:00"/>
  </r>
  <r>
    <n v="36364"/>
    <x v="7"/>
    <x v="3"/>
    <d v="2024-01-09T00:00:00"/>
    <s v="3. NRR - Renewal"/>
    <s v="The Health Foundation of Greater Indianapolis"/>
    <s v="Renewal Palo Alto - Feb 2024 expiration"/>
    <n v="0"/>
    <n v="0"/>
    <n v="0"/>
    <n v="1"/>
    <n v="0"/>
    <n v="0"/>
    <n v="22.847999999999995"/>
    <n v="0"/>
    <d v="2024-03-01T00:00:00"/>
    <d v="2024-05-01T00:00:00"/>
  </r>
  <r>
    <n v="36335"/>
    <x v="7"/>
    <x v="3"/>
    <d v="2024-01-05T00:00:00"/>
    <s v="3. NRR - Renewal"/>
    <s v="DGP Intelsius"/>
    <s v="Veeam Renewal 2023 EXP 11/30/23"/>
    <n v="0"/>
    <n v="0"/>
    <n v="0"/>
    <n v="1"/>
    <n v="0"/>
    <n v="0"/>
    <n v="13.536000000000003"/>
    <n v="0"/>
    <d v="2024-03-01T00:00:00"/>
    <d v="2024-05-01T00:00:00"/>
  </r>
  <r>
    <n v="36314"/>
    <x v="5"/>
    <x v="2"/>
    <d v="2024-01-24T00:00:00"/>
    <s v="2. Up-sell / X-sell"/>
    <s v="Slawson Companies"/>
    <s v="Server Refresh and OS Upgrades"/>
    <n v="0"/>
    <n v="0"/>
    <n v="0"/>
    <n v="1"/>
    <n v="0"/>
    <n v="0"/>
    <n v="565.5551999999999"/>
    <n v="0"/>
    <d v="2024-03-01T00:00:00"/>
    <d v="2024-05-01T00:00:00"/>
  </r>
  <r>
    <n v="35605"/>
    <x v="3"/>
    <x v="2"/>
    <d v="2024-01-15T00:00:00"/>
    <s v="2. Up-sell / X-sell"/>
    <s v="Sherman-Loehr Custom Tile Inc"/>
    <s v="New Server Host Replacement"/>
    <n v="0"/>
    <n v="0"/>
    <n v="0"/>
    <n v="1"/>
    <n v="0"/>
    <n v="0"/>
    <n v="477.98079999999987"/>
    <n v="0"/>
    <d v="2024-03-01T00:00:00"/>
    <d v="2024-05-01T00:00:00"/>
  </r>
  <r>
    <n v="34973"/>
    <x v="5"/>
    <x v="2"/>
    <d v="2024-01-30T00:00:00"/>
    <s v="3. NRR - Renewal"/>
    <s v="Rocky Mountain Air"/>
    <s v="9179867 - Adobe License Annual Renewal"/>
    <n v="0"/>
    <n v="0"/>
    <n v="0"/>
    <n v="1"/>
    <n v="0"/>
    <n v="0"/>
    <n v="17.495200000000004"/>
    <n v="0"/>
    <d v="2024-03-01T00:00:00"/>
    <d v="2024-05-01T00:00:00"/>
  </r>
  <r>
    <n v="39420"/>
    <x v="20"/>
    <x v="3"/>
    <d v="2024-01-29T00:00:00"/>
    <s v="2. Up-sell / X-sell"/>
    <s v="Yedla Management Company"/>
    <s v="Ticket #10519027 Quote Business Premium and Audio conferencing license"/>
    <n v="0"/>
    <n v="2.09"/>
    <n v="0"/>
    <n v="1"/>
    <n v="0"/>
    <n v="0"/>
    <n v="0"/>
    <n v="0"/>
    <d v="2024-03-01T00:00:00"/>
    <d v="2024-05-01T00:00:00"/>
  </r>
  <r>
    <n v="39423"/>
    <x v="9"/>
    <x v="0"/>
    <d v="2024-01-29T00:00:00"/>
    <s v="1. New Logo"/>
    <s v="Driving Safety Services"/>
    <s v="Block Hours"/>
    <n v="0"/>
    <n v="0"/>
    <n v="0"/>
    <n v="0"/>
    <n v="0"/>
    <n v="0"/>
    <n v="222"/>
    <n v="0"/>
    <d v="2024-03-01T00:00:00"/>
    <d v="2024-05-01T00:00:00"/>
  </r>
  <r>
    <n v="39425"/>
    <x v="0"/>
    <x v="0"/>
    <d v="2024-01-29T00:00:00"/>
    <s v="5. Change Order"/>
    <s v="Legacy Senior Communities"/>
    <s v="CO - MPS122903"/>
    <n v="0"/>
    <n v="0"/>
    <n v="0"/>
    <n v="1"/>
    <n v="0"/>
    <n v="0"/>
    <n v="0"/>
    <n v="0"/>
    <d v="2024-03-01T00:00:00"/>
    <d v="2024-05-01T00:00:00"/>
  </r>
  <r>
    <n v="39434"/>
    <x v="16"/>
    <x v="0"/>
    <d v="2024-01-29T00:00:00"/>
    <s v="3. NRR - Renewal"/>
    <s v="Prime West"/>
    <s v="10505228 - Fortinet Renewal 1-Year 24x7 UTM for FGT40FTK20024359 - Layton St Location"/>
    <n v="0"/>
    <n v="0"/>
    <n v="0"/>
    <n v="1"/>
    <n v="0"/>
    <n v="0"/>
    <n v="6.0350000000000001"/>
    <n v="0"/>
    <d v="2024-03-01T00:00:00"/>
    <d v="2024-05-01T00:00:00"/>
  </r>
  <r>
    <n v="28676"/>
    <x v="7"/>
    <x v="3"/>
    <d v="2024-01-30T00:00:00"/>
    <s v="3. NRR - Renewal"/>
    <s v="Spectrum Management Group, Inc."/>
    <s v="Renewal - All Meraki Devices - 2024 EXP 1/8/2024"/>
    <n v="0"/>
    <n v="0"/>
    <n v="0"/>
    <n v="1"/>
    <n v="0"/>
    <n v="0"/>
    <n v="17.440800000000007"/>
    <n v="0"/>
    <d v="2024-03-01T00:00:00"/>
    <d v="2024-05-01T00:00:00"/>
  </r>
  <r>
    <n v="39437"/>
    <x v="16"/>
    <x v="0"/>
    <d v="2024-01-30T00:00:00"/>
    <s v="3. NRR - Renewal"/>
    <s v="Commonwealth Engineers, Inc."/>
    <s v="10519118 - Renewal - Palo Alto Networks Service and Support - SAP IDs 0022631132 and 0022631136"/>
    <n v="0"/>
    <n v="0"/>
    <n v="0"/>
    <n v="1"/>
    <n v="0"/>
    <n v="0"/>
    <n v="414.92495000000008"/>
    <n v="0"/>
    <d v="2024-03-01T00:00:00"/>
    <d v="2024-05-01T00:00:00"/>
  </r>
  <r>
    <n v="37489"/>
    <x v="5"/>
    <x v="2"/>
    <d v="2024-01-23T00:00:00"/>
    <s v="5. Change Order"/>
    <s v="Pure Cycle Corporation"/>
    <s v="10280944 - Change Order 9123536 - New Server Room Setup and Circuit Install - Fiber Optic Cabling"/>
    <n v="0"/>
    <n v="0"/>
    <n v="0"/>
    <n v="0"/>
    <n v="0"/>
    <n v="0"/>
    <n v="-35.000000000000007"/>
    <n v="0"/>
    <d v="2024-03-01T00:00:00"/>
    <d v="2024-05-01T00:00:00"/>
  </r>
  <r>
    <n v="38979"/>
    <x v="3"/>
    <x v="2"/>
    <d v="2024-01-17T00:00:00"/>
    <s v="4. Renewal - MRR"/>
    <s v="Kraft Masonry"/>
    <s v="#10433765 - Kraft Masonry - Other Stellr Microsoft NCE Subscriptions Various will exp"/>
    <s v="Yes"/>
    <n v="0"/>
    <n v="29.5"/>
    <n v="12"/>
    <n v="0"/>
    <n v="0"/>
    <s v="N/A"/>
    <n v="0"/>
    <d v="2024-03-01T00:00:00"/>
    <d v="2024-05-01T00:00:00"/>
  </r>
  <r>
    <n v="39447"/>
    <x v="11"/>
    <x v="0"/>
    <d v="2024-01-31T00:00:00"/>
    <s v="2. Up-sell / X-sell"/>
    <s v="American Orthopedic Partners, LLC"/>
    <s v="24&quot; Monitor for My Spine Cocs"/>
    <n v="0"/>
    <n v="0"/>
    <n v="0"/>
    <n v="1"/>
    <n v="0"/>
    <n v="0"/>
    <n v="2.1972499999999995"/>
    <n v="0"/>
    <d v="2024-03-01T00:00:00"/>
    <d v="2024-05-01T00:00:00"/>
  </r>
  <r>
    <n v="39282"/>
    <x v="21"/>
    <x v="7"/>
    <d v="2024-01-24T00:00:00"/>
    <s v="1. New Logo"/>
    <s v="C.I. Partners Direct"/>
    <s v="Quote #MPS123185 Per Service Ticket # 10489008 - Desktop"/>
    <n v="0"/>
    <n v="0"/>
    <n v="0"/>
    <n v="1"/>
    <n v="0"/>
    <n v="0"/>
    <n v="19.905600000000003"/>
    <n v="0"/>
    <d v="2024-03-01T00:00:00"/>
    <d v="2024-05-01T00:00:00"/>
  </r>
  <r>
    <n v="38724"/>
    <x v="8"/>
    <x v="1"/>
    <d v="2024-01-25T00:00:00"/>
    <s v="1. New Logo"/>
    <s v="FB Financial Holdings"/>
    <s v="FB Financial Holdings | UPS Change Order for Meriplex Sales Order # MPS119272"/>
    <n v="0"/>
    <n v="0"/>
    <n v="0"/>
    <n v="1"/>
    <n v="0"/>
    <n v="0"/>
    <n v="7.6567999999999845"/>
    <n v="0"/>
    <d v="2024-03-01T00:00:00"/>
    <d v="2024-05-01T00:00:00"/>
  </r>
  <r>
    <n v="38629"/>
    <x v="3"/>
    <x v="2"/>
    <d v="2024-01-08T00:00:00"/>
    <s v="1. New Logo"/>
    <s v="Somnique Health Center"/>
    <s v="10447820 - Single Domain SSL Certificate for VPN for vpn.somnique.com"/>
    <n v="0"/>
    <n v="0"/>
    <n v="0"/>
    <n v="1"/>
    <n v="0"/>
    <n v="0"/>
    <n v="7.1608000000000001"/>
    <n v="0"/>
    <d v="2024-03-01T00:00:00"/>
    <d v="2024-05-01T00:00:00"/>
  </r>
  <r>
    <n v="38510"/>
    <x v="22"/>
    <x v="1"/>
    <d v="2024-01-09T00:00:00"/>
    <s v="1. New Logo"/>
    <s v="Stockmens National Bank"/>
    <s v="Stockmen National Bank of Cotulla Penetration testing"/>
    <n v="0"/>
    <n v="0"/>
    <n v="0"/>
    <n v="1"/>
    <n v="0"/>
    <n v="0"/>
    <n v="128"/>
    <n v="0"/>
    <d v="2024-03-01T00:00:00"/>
    <d v="2024-05-01T00:00:00"/>
  </r>
  <r>
    <n v="38350"/>
    <x v="23"/>
    <x v="7"/>
    <d v="2024-01-18T00:00:00"/>
    <s v="1. New Logo"/>
    <s v="The Office of James Burnett"/>
    <s v="10413148 - Network Infrastructure and Security Assessment"/>
    <n v="0"/>
    <n v="0"/>
    <n v="0"/>
    <n v="1"/>
    <n v="0"/>
    <n v="0"/>
    <n v="1096"/>
    <n v="0"/>
    <d v="2024-03-01T00:00:00"/>
    <d v="2024-05-01T00:00:00"/>
  </r>
  <r>
    <n v="38314"/>
    <x v="1"/>
    <x v="1"/>
    <d v="2024-01-04T00:00:00"/>
    <s v="1. New Logo"/>
    <s v="Wheatley Immigration Law LLC"/>
    <s v="MPX LA - Ethernet Port Setup"/>
    <n v="0"/>
    <n v="0"/>
    <n v="0"/>
    <n v="1"/>
    <n v="0"/>
    <n v="0"/>
    <n v="27.715200000000003"/>
    <n v="0"/>
    <d v="2024-03-01T00:00:00"/>
    <d v="2024-05-01T00:00:00"/>
  </r>
  <r>
    <n v="37562"/>
    <x v="1"/>
    <x v="1"/>
    <d v="2024-01-30T00:00:00"/>
    <s v="1. New Logo"/>
    <s v="ADCO Companies Ltd"/>
    <s v="MPX LA - New WAP &amp; Switch"/>
    <n v="0"/>
    <n v="0"/>
    <n v="0"/>
    <n v="1"/>
    <n v="0"/>
    <n v="0"/>
    <n v="76.799199999999999"/>
    <n v="0"/>
    <d v="2024-03-01T00:00:00"/>
    <d v="2024-05-01T00:00:00"/>
  </r>
  <r>
    <n v="37478"/>
    <x v="22"/>
    <x v="1"/>
    <d v="2024-01-25T00:00:00"/>
    <s v="1. New Logo"/>
    <s v="Lexicon"/>
    <s v="Lexicon Bank Assessment"/>
    <n v="0"/>
    <n v="0"/>
    <n v="0"/>
    <n v="1"/>
    <n v="0"/>
    <n v="0"/>
    <n v="300"/>
    <n v="0"/>
    <d v="2024-03-01T00:00:00"/>
    <d v="2024-05-01T00:00:00"/>
  </r>
  <r>
    <n v="36677"/>
    <x v="23"/>
    <x v="7"/>
    <d v="2024-01-05T00:00:00"/>
    <s v="1. New Logo"/>
    <s v="Thomas James Homes"/>
    <s v="Security Assessment"/>
    <n v="0"/>
    <n v="0"/>
    <n v="0"/>
    <n v="1"/>
    <n v="0"/>
    <n v="0"/>
    <n v="1128"/>
    <n v="0"/>
    <d v="2024-03-01T00:00:00"/>
    <d v="2024-05-01T00:00:00"/>
  </r>
  <r>
    <n v="39230"/>
    <x v="7"/>
    <x v="3"/>
    <d v="2024-01-24T00:00:00"/>
    <s v="4. Renewal - MRR"/>
    <s v="Nelson &amp; Frankenberger"/>
    <s v="CYB-Silver Package - Need an updated MSP Agreement - 12 month Agreement"/>
    <n v="0"/>
    <n v="0"/>
    <n v="2553"/>
    <n v="12"/>
    <n v="0"/>
    <n v="0"/>
    <s v="N/A"/>
    <n v="0"/>
    <d v="2024-03-01T00:00:00"/>
    <d v="2024-05-01T00:00:00"/>
  </r>
  <r>
    <n v="39078"/>
    <x v="1"/>
    <x v="1"/>
    <d v="2024-01-18T00:00:00"/>
    <s v="2. Up-sell / X-sell"/>
    <s v="Reliable Production Svc. (Livonia)"/>
    <s v="MPX LA - MS Business Standard License"/>
    <n v="0"/>
    <n v="4.75"/>
    <n v="0"/>
    <n v="12"/>
    <n v="0.35"/>
    <n v="0"/>
    <s v="N/A"/>
    <n v="1.6624999999999999"/>
    <d v="2024-03-01T00:00:00"/>
    <d v="2024-05-01T00:00:00"/>
  </r>
  <r>
    <n v="39449"/>
    <x v="0"/>
    <x v="0"/>
    <d v="2024-01-29T00:00:00"/>
    <s v="2. Up-sell / X-sell"/>
    <s v="Overhead Door Corporation"/>
    <s v="SRs 250909 250910 Precision 7780 Bundle Monitors Phones PO 20066398"/>
    <n v="0"/>
    <n v="0"/>
    <n v="0"/>
    <n v="1"/>
    <n v="0"/>
    <n v="0"/>
    <n v="0"/>
    <n v="0"/>
    <d v="2024-03-01T00:00:00"/>
    <d v="2024-05-01T00:00:00"/>
  </r>
  <r>
    <n v="38459"/>
    <x v="2"/>
    <x v="2"/>
    <d v="2024-01-12T00:00:00"/>
    <s v="4. Renewal - MRR"/>
    <s v="Incubator Finance"/>
    <s v="10430685 - Microsoft NCE Upgrade"/>
    <n v="0"/>
    <n v="48.9"/>
    <n v="133.82"/>
    <n v="12"/>
    <n v="0.15"/>
    <n v="0"/>
    <s v="N/A"/>
    <n v="7.3349999999999991"/>
    <d v="2024-03-01T00:00:00"/>
    <d v="2024-05-01T00:00:00"/>
  </r>
  <r>
    <n v="39451"/>
    <x v="11"/>
    <x v="2"/>
    <d v="2024-01-30T00:00:00"/>
    <s v="5. Change Order"/>
    <s v="OCC MSO, LLC"/>
    <s v="O365 Licenses true up"/>
    <n v="0"/>
    <n v="-1482.05"/>
    <n v="0"/>
    <n v="12"/>
    <n v="0.125"/>
    <n v="0"/>
    <s v="N/A"/>
    <n v="-185.25624999999999"/>
    <d v="2024-03-01T00:00:00"/>
    <d v="2024-05-01T00:00:00"/>
  </r>
  <r>
    <n v="39460"/>
    <x v="20"/>
    <x v="0"/>
    <d v="2024-01-31T00:00:00"/>
    <s v="2. Up-sell / X-sell"/>
    <s v="Sentar Incorporated"/>
    <s v="Veeam Backup for Office 365 1 Year Sub w/support"/>
    <n v="0"/>
    <n v="0"/>
    <n v="0"/>
    <n v="0"/>
    <n v="0"/>
    <n v="0"/>
    <n v="0"/>
    <n v="0"/>
    <d v="2024-03-01T00:00:00"/>
    <d v="2024-05-01T00:00:00"/>
  </r>
  <r>
    <n v="39445"/>
    <x v="5"/>
    <x v="2"/>
    <d v="2024-01-30T00:00:00"/>
    <s v="2. Up-sell / X-sell"/>
    <s v="Dominion Water and Sanitation"/>
    <s v="10527732 - New Staff Member Request(s) - Jacob Welk"/>
    <n v="0"/>
    <n v="0"/>
    <n v="0"/>
    <n v="1"/>
    <n v="0"/>
    <n v="0"/>
    <n v="27.304800000000007"/>
    <n v="0"/>
    <d v="2024-03-01T00:00:00"/>
    <d v="2024-05-01T00:00:00"/>
  </r>
  <r>
    <n v="39464"/>
    <x v="20"/>
    <x v="0"/>
    <d v="2024-01-31T00:00:00"/>
    <s v="2. Up-sell / X-sell"/>
    <s v="Melvin, Bibb, &amp; Segars CPA"/>
    <s v="Quote desktop PC for new MBS employee Candy Edwards"/>
    <n v="0"/>
    <n v="0"/>
    <n v="0"/>
    <n v="0"/>
    <n v="0"/>
    <n v="0"/>
    <n v="0"/>
    <n v="0"/>
    <d v="2024-03-01T00:00:00"/>
    <d v="2024-05-01T00:00:00"/>
  </r>
  <r>
    <n v="39465"/>
    <x v="20"/>
    <x v="0"/>
    <d v="2024-01-31T00:00:00"/>
    <s v="2. Up-sell / X-sell"/>
    <s v="Alesia Engineering, LLC"/>
    <s v="Upgrade GCC High E3 licenses to E5"/>
    <n v="0"/>
    <n v="0"/>
    <n v="0"/>
    <n v="12"/>
    <n v="0"/>
    <n v="0"/>
    <n v="0"/>
    <n v="0"/>
    <d v="2024-03-01T00:00:00"/>
    <d v="2024-05-01T00:00:00"/>
  </r>
  <r>
    <n v="39316"/>
    <x v="3"/>
    <x v="2"/>
    <d v="2024-01-30T00:00:00"/>
    <s v="2. Up-sell / X-sell"/>
    <s v="Metropolitan Pediatrics"/>
    <s v="Admin facility move"/>
    <n v="0"/>
    <n v="0"/>
    <n v="0"/>
    <n v="1"/>
    <n v="0"/>
    <n v="0"/>
    <n v="72"/>
    <n v="0"/>
    <d v="2024-03-01T00:00:00"/>
    <d v="2024-05-01T00:00:00"/>
  </r>
  <r>
    <n v="39270"/>
    <x v="5"/>
    <x v="2"/>
    <d v="2024-01-25T00:00:00"/>
    <s v="2. Up-sell / X-sell"/>
    <s v="Durango Investment Holdings LLC"/>
    <s v="Durango-Dell Rugged Laptops"/>
    <n v="0"/>
    <n v="0"/>
    <n v="0"/>
    <n v="1"/>
    <n v="0"/>
    <n v="0"/>
    <n v="127.59679999999997"/>
    <n v="0"/>
    <d v="2024-03-01T00:00:00"/>
    <d v="2024-05-01T00:00:00"/>
  </r>
  <r>
    <n v="39269"/>
    <x v="5"/>
    <x v="2"/>
    <d v="2024-01-25T00:00:00"/>
    <s v="2. Up-sell / X-sell"/>
    <s v="Durango Investment Holdings LLC"/>
    <s v="Durango Lenovo Laptops"/>
    <n v="0"/>
    <n v="0"/>
    <n v="0"/>
    <n v="1"/>
    <n v="0"/>
    <n v="0"/>
    <n v="92.128"/>
    <n v="0"/>
    <d v="2024-03-01T00:00:00"/>
    <d v="2024-05-01T00:00:00"/>
  </r>
  <r>
    <n v="39466"/>
    <x v="20"/>
    <x v="0"/>
    <d v="2024-01-30T00:00:00"/>
    <s v="2. Up-sell / X-sell"/>
    <s v="Align Precision Manufacturing"/>
    <s v="Add Teams Phone Standard Licenses"/>
    <n v="0"/>
    <n v="0"/>
    <n v="0"/>
    <n v="12"/>
    <n v="0"/>
    <n v="0"/>
    <n v="0"/>
    <n v="0"/>
    <d v="2024-03-01T00:00:00"/>
    <d v="2024-05-01T00:00:00"/>
  </r>
  <r>
    <n v="39255"/>
    <x v="5"/>
    <x v="2"/>
    <d v="2024-01-23T00:00:00"/>
    <s v="3. NRR - Renewal"/>
    <s v="Ascentris"/>
    <s v="10212010 - Annual VMware SnS Subscription Renewal - Contract # 382874199"/>
    <n v="0"/>
    <n v="0"/>
    <n v="0"/>
    <n v="1"/>
    <n v="0"/>
    <n v="0"/>
    <n v="1.0975999999999999"/>
    <n v="0"/>
    <d v="2024-03-01T00:00:00"/>
    <d v="2024-05-01T00:00:00"/>
  </r>
  <r>
    <n v="39248"/>
    <x v="5"/>
    <x v="2"/>
    <d v="2024-01-29T00:00:00"/>
    <s v="3. NRR - Renewal"/>
    <s v="Prime West"/>
    <s v="10526239 - Fortinet Renewal 1-Year 24x7 UTM for FGT60E4Q16043952 Prime West Denver 60E"/>
    <n v="0"/>
    <n v="0"/>
    <n v="0"/>
    <n v="1"/>
    <n v="0"/>
    <n v="0"/>
    <n v="13.375999999999998"/>
    <n v="0"/>
    <d v="2024-03-01T00:00:00"/>
    <d v="2024-05-01T00:00:00"/>
  </r>
  <r>
    <n v="38143"/>
    <x v="3"/>
    <x v="2"/>
    <d v="2024-01-31T00:00:00"/>
    <s v="5. Change Order"/>
    <s v="Bennett Engineering Services Inc."/>
    <s v="Dial2Teams Expansion for 3 offices"/>
    <n v="0"/>
    <n v="1.1000000000000001"/>
    <n v="0"/>
    <n v="36"/>
    <n v="0.5"/>
    <n v="0"/>
    <n v="38"/>
    <n v="0.55000000000000004"/>
    <d v="2024-03-01T00:00:00"/>
    <d v="2024-05-01T00:00:00"/>
  </r>
  <r>
    <n v="38690"/>
    <x v="1"/>
    <x v="1"/>
    <d v="2024-01-09T00:00:00"/>
    <s v="2. Up-sell / X-sell"/>
    <s v="Fletcher Technical Community College"/>
    <s v="MPX LA - Storage for BaaS with Ransomware Protection repository"/>
    <n v="0"/>
    <n v="94.56"/>
    <n v="0"/>
    <n v="36"/>
    <n v="1"/>
    <n v="0"/>
    <s v="N/A"/>
    <n v="94.56"/>
    <d v="2024-03-01T00:00:00"/>
    <d v="2024-05-01T00:00:00"/>
  </r>
  <r>
    <n v="38389"/>
    <x v="24"/>
    <x v="3"/>
    <d v="2024-01-18T00:00:00"/>
    <s v="2. Up-sell / X-sell"/>
    <s v="Bill Penney Motor Company Inc"/>
    <s v="Physical Security"/>
    <n v="0"/>
    <n v="60"/>
    <n v="0"/>
    <n v="1"/>
    <n v="0"/>
    <n v="0"/>
    <n v="673.17639999999994"/>
    <n v="0"/>
    <d v="2024-03-01T00:00:00"/>
    <d v="2024-05-01T00:00:00"/>
  </r>
  <r>
    <n v="39479"/>
    <x v="11"/>
    <x v="0"/>
    <d v="2024-01-30T00:00:00"/>
    <s v="2. Up-sell / X-sell"/>
    <s v="OrthoSouth"/>
    <s v="Ricoh Scanner"/>
    <n v="0"/>
    <n v="0"/>
    <n v="0"/>
    <n v="1"/>
    <n v="0"/>
    <n v="0"/>
    <n v="18.103300000000004"/>
    <n v="0"/>
    <d v="2024-03-01T00:00:00"/>
    <d v="2024-05-01T00:00:00"/>
  </r>
  <r>
    <n v="39224"/>
    <x v="3"/>
    <x v="2"/>
    <d v="2024-01-29T00:00:00"/>
    <s v="2. Up-sell / X-sell"/>
    <s v="Pediatric Associates of Gresham"/>
    <s v="Laptop battery for Dr. Emmerich"/>
    <n v="0"/>
    <n v="0"/>
    <n v="0"/>
    <n v="1"/>
    <n v="0"/>
    <n v="0"/>
    <n v="4.1432000000000002"/>
    <n v="0"/>
    <d v="2024-03-01T00:00:00"/>
    <d v="2024-05-01T00:00:00"/>
  </r>
  <r>
    <n v="39522"/>
    <x v="12"/>
    <x v="2"/>
    <d v="2024-01-31T00:00:00"/>
    <s v="2. Up-sell / X-sell"/>
    <s v="River Oaks Baptist School"/>
    <s v="Microsoft ATP"/>
    <n v="0"/>
    <n v="106.02"/>
    <n v="0"/>
    <n v="12"/>
    <n v="0.125"/>
    <n v="0"/>
    <s v="N/A"/>
    <n v="13.2525"/>
    <d v="2024-03-01T00:00:00"/>
    <d v="2024-05-01T00:00:00"/>
  </r>
  <r>
    <n v="39552"/>
    <x v="25"/>
    <x v="0"/>
    <d v="2024-01-31T00:00:00"/>
    <s v="3. NRR - Renewal"/>
    <s v="Cooper Machinery Services"/>
    <s v="10535055 - Cisco Meraki Renewal"/>
    <n v="0"/>
    <n v="0"/>
    <n v="0"/>
    <n v="1"/>
    <n v="0"/>
    <n v="0"/>
    <n v="0"/>
    <n v="0"/>
    <d v="2024-03-01T00:00:00"/>
    <d v="2024-05-01T00:00:00"/>
  </r>
  <r>
    <n v="39562"/>
    <x v="12"/>
    <x v="0"/>
    <d v="2024-01-31T00:00:00"/>
    <s v="2. Up-sell / X-sell"/>
    <s v="Plains State Bank"/>
    <s v="4 Monitors, 2 Speaker Bars"/>
    <n v="0"/>
    <n v="0"/>
    <n v="0"/>
    <n v="1"/>
    <n v="0"/>
    <n v="0"/>
    <n v="13.056000000000003"/>
    <n v="0"/>
    <d v="2024-03-01T00:00:00"/>
    <d v="2024-05-01T00:00:00"/>
  </r>
  <r>
    <n v="39089"/>
    <x v="5"/>
    <x v="2"/>
    <d v="2024-01-23T00:00:00"/>
    <s v="2. Up-sell / X-sell"/>
    <s v="WellBiz Brands, Inc."/>
    <s v="WellBiz-Five Dell Laptops"/>
    <n v="0"/>
    <n v="0"/>
    <n v="0"/>
    <n v="1"/>
    <n v="0"/>
    <n v="0"/>
    <n v="85.959999999999965"/>
    <n v="0"/>
    <d v="2024-03-01T00:00:00"/>
    <d v="2024-05-01T00:00:00"/>
  </r>
  <r>
    <n v="39037"/>
    <x v="2"/>
    <x v="2"/>
    <d v="2024-01-19T00:00:00"/>
    <s v="2. Up-sell / X-sell"/>
    <s v="Carlson Engineering and Manufacturing Inc"/>
    <s v="Computer Setups"/>
    <n v="0"/>
    <n v="0"/>
    <n v="0"/>
    <n v="12"/>
    <n v="0.15"/>
    <n v="0"/>
    <n v="359.04"/>
    <n v="0"/>
    <d v="2024-03-01T00:00:00"/>
    <d v="2024-05-01T00:00:00"/>
  </r>
  <r>
    <n v="39035"/>
    <x v="3"/>
    <x v="2"/>
    <d v="2024-01-23T00:00:00"/>
    <s v="2. Up-sell / X-sell"/>
    <s v="Peck and Hiller"/>
    <s v="Laptop and Monitors"/>
    <n v="0"/>
    <n v="0"/>
    <n v="0"/>
    <n v="1"/>
    <n v="0"/>
    <n v="0"/>
    <n v="19.025600000000015"/>
    <n v="0"/>
    <d v="2024-03-01T00:00:00"/>
    <d v="2024-05-01T00:00:00"/>
  </r>
  <r>
    <n v="39007"/>
    <x v="17"/>
    <x v="6"/>
    <d v="2024-01-16T00:00:00"/>
    <s v="3. NRR - Renewal"/>
    <s v="Kenney Manufacturing"/>
    <s v="Sophos - Kenney Mfg"/>
    <n v="0"/>
    <n v="0"/>
    <n v="0"/>
    <n v="1"/>
    <n v="0"/>
    <n v="0"/>
    <n v="0"/>
    <n v="0"/>
    <d v="2024-03-01T00:00:00"/>
    <d v="2024-05-01T00:00:00"/>
  </r>
  <r>
    <n v="38998"/>
    <x v="5"/>
    <x v="2"/>
    <d v="2024-01-30T00:00:00"/>
    <s v="2. Up-sell / X-sell"/>
    <s v="Colt Midstream LLC"/>
    <s v="Colt Midstream-Surface Pro"/>
    <n v="0"/>
    <n v="0"/>
    <n v="0"/>
    <n v="1"/>
    <n v="0"/>
    <n v="0"/>
    <n v="27.451999999999991"/>
    <n v="0"/>
    <d v="2024-03-01T00:00:00"/>
    <d v="2024-05-01T00:00:00"/>
  </r>
  <r>
    <n v="39576"/>
    <x v="11"/>
    <x v="0"/>
    <d v="2024-01-31T00:00:00"/>
    <s v="2. Up-sell / X-sell"/>
    <s v="Boulder Comm Musculoskeletal Surgery"/>
    <s v="Switch replacement"/>
    <n v="0"/>
    <n v="0"/>
    <n v="0"/>
    <n v="1"/>
    <n v="0"/>
    <n v="0"/>
    <n v="47.032199999999982"/>
    <n v="0"/>
    <d v="2024-03-01T00:00:00"/>
    <d v="2024-05-01T00:00:00"/>
  </r>
  <r>
    <n v="39665"/>
    <x v="20"/>
    <x v="0"/>
    <d v="2024-01-30T00:00:00"/>
    <s v="2. Up-sell / X-sell"/>
    <s v="Melvin, Bibb, &amp; Segars CPA"/>
    <s v="Quote #006696 2023 Q4 Vulnerability Scan Remediation Project"/>
    <n v="0"/>
    <n v="0"/>
    <n v="0"/>
    <n v="0"/>
    <n v="0"/>
    <n v="0"/>
    <n v="0"/>
    <n v="0"/>
    <d v="2024-03-01T00:00:00"/>
    <d v="2024-05-01T00:00:00"/>
  </r>
  <r>
    <n v="39695"/>
    <x v="20"/>
    <x v="0"/>
    <d v="2024-01-31T00:00:00"/>
    <s v="3. NRR - Renewal"/>
    <s v="Stratolaunch"/>
    <s v="GCC High Renewal"/>
    <n v="0"/>
    <n v="0"/>
    <n v="0"/>
    <n v="1"/>
    <n v="0"/>
    <n v="0"/>
    <n v="0"/>
    <n v="0"/>
    <d v="2024-03-01T00:00:00"/>
    <d v="2024-05-01T00:00:00"/>
  </r>
  <r>
    <n v="38722"/>
    <x v="5"/>
    <x v="2"/>
    <d v="2024-01-23T00:00:00"/>
    <s v="2. Up-sell / X-sell"/>
    <s v="Mountain States Commercial Credit"/>
    <s v="2012 Server Upgrade Project - Phase 1 - Server Builds"/>
    <n v="0"/>
    <n v="202"/>
    <n v="0"/>
    <n v="36"/>
    <n v="0.5"/>
    <n v="0"/>
    <n v="244.8"/>
    <n v="101"/>
    <d v="2024-03-01T00:00:00"/>
    <d v="2024-05-01T00:00:00"/>
  </r>
  <r>
    <s v="JUI-001"/>
    <x v="26"/>
    <x v="0"/>
    <d v="2024-01-02T00:00:00"/>
    <s v="(Non CW) Up-Sell / X-Sell"/>
    <s v="Luthercare"/>
    <s v="Stock Equipment Replenishment-Jan 2024"/>
    <n v="0"/>
    <n v="0"/>
    <n v="0"/>
    <n v="0"/>
    <n v="0"/>
    <n v="0"/>
    <n v="391.5992500000001"/>
    <n v="0"/>
    <d v="2024-03-01T00:00:00"/>
    <d v="2024-05-01T00:00:00"/>
  </r>
  <r>
    <s v="JUI-002"/>
    <x v="26"/>
    <x v="0"/>
    <d v="2024-01-04T00:00:00"/>
    <s v="(Non CW) Up-Sell / X-Sell"/>
    <s v="ActiveWorx, Inc."/>
    <s v="Docking Station for Crystal Alexander"/>
    <n v="0"/>
    <n v="0"/>
    <n v="0"/>
    <n v="0"/>
    <n v="0"/>
    <n v="0"/>
    <n v="2.8347499999999997"/>
    <n v="0"/>
    <d v="2024-03-01T00:00:00"/>
    <d v="2024-05-01T00:00:00"/>
  </r>
  <r>
    <s v="JUI-003"/>
    <x v="27"/>
    <x v="5"/>
    <d v="2024-01-05T00:00:00"/>
    <s v="(Non CW) New Logo"/>
    <s v="Homestead Village"/>
    <s v="Homestead Village-IT Services"/>
    <n v="0"/>
    <n v="5680"/>
    <n v="0"/>
    <n v="24"/>
    <n v="0.5"/>
    <n v="0"/>
    <n v="80"/>
    <n v="2840"/>
    <d v="2024-03-01T00:00:00"/>
    <d v="2024-05-01T00:00:00"/>
  </r>
  <r>
    <s v="JUI-004"/>
    <x v="26"/>
    <x v="0"/>
    <d v="2024-01-05T00:00:00"/>
    <s v="(Non CW) Up-Sell / X-Sell"/>
    <s v="Whitehall Township"/>
    <s v="HP Laptop for Tom Brobst - Public Works Dept"/>
    <n v="0"/>
    <n v="0"/>
    <n v="0"/>
    <n v="0"/>
    <n v="0"/>
    <n v="0"/>
    <n v="20.19854999999999"/>
    <n v="0"/>
    <d v="2024-03-01T00:00:00"/>
    <d v="2024-05-01T00:00:00"/>
  </r>
  <r>
    <s v="JUI-005"/>
    <x v="26"/>
    <x v="0"/>
    <d v="2024-01-05T00:00:00"/>
    <s v="(Non CW) Up-Sell / X-Sell"/>
    <s v="Auxilior Capital Partners"/>
    <s v="Wireless Access Point T&amp;M project"/>
    <n v="0"/>
    <n v="0"/>
    <n v="0"/>
    <n v="0"/>
    <n v="0"/>
    <n v="0"/>
    <n v="11.433350000000001"/>
    <n v="0"/>
    <d v="2024-03-01T00:00:00"/>
    <d v="2024-05-01T00:00:00"/>
  </r>
  <r>
    <s v="JUI-006"/>
    <x v="26"/>
    <x v="0"/>
    <d v="2024-01-08T00:00:00"/>
    <s v="(Non CW) Up-Sell / X-Sell"/>
    <s v="Dunwoody Village"/>
    <s v="Replacement UPS"/>
    <n v="0"/>
    <n v="0"/>
    <n v="0"/>
    <n v="0"/>
    <n v="0"/>
    <n v="0"/>
    <n v="20.874300000000016"/>
    <n v="0"/>
    <d v="2024-03-01T00:00:00"/>
    <d v="2024-05-01T00:00:00"/>
  </r>
  <r>
    <s v="JUI-007"/>
    <x v="26"/>
    <x v="0"/>
    <d v="2024-01-08T00:00:00"/>
    <s v="(Non CW) Up-Sell / X-Sell"/>
    <s v="Gelest Inc."/>
    <s v="15&quot; Laptops x 3"/>
    <n v="0"/>
    <n v="0"/>
    <n v="0"/>
    <n v="0"/>
    <n v="0"/>
    <n v="0"/>
    <n v="62.622900000000023"/>
    <n v="0"/>
    <d v="2024-03-01T00:00:00"/>
    <d v="2024-05-01T00:00:00"/>
  </r>
  <r>
    <s v="JUI-009"/>
    <x v="26"/>
    <x v="0"/>
    <d v="2024-01-10T00:00:00"/>
    <s v="(Non CW) Up-Sell / X-Sell"/>
    <s v="ActiveWorx, Inc."/>
    <s v="Docking Station for Crystal Alexander"/>
    <n v="0"/>
    <n v="0"/>
    <n v="0"/>
    <n v="0"/>
    <n v="0"/>
    <n v="0"/>
    <n v="2.8347499999999997"/>
    <n v="0"/>
    <d v="2024-03-01T00:00:00"/>
    <d v="2024-05-01T00:00:00"/>
  </r>
  <r>
    <s v="JUI-010"/>
    <x v="26"/>
    <x v="0"/>
    <d v="2024-01-10T00:00:00"/>
    <s v="(Non CW) Up-Sell / X-Sell"/>
    <s v="Whitehall Township"/>
    <s v="Bluetooth KBM for iPad"/>
    <n v="0"/>
    <n v="0"/>
    <n v="0"/>
    <n v="0"/>
    <n v="0"/>
    <n v="0"/>
    <n v="0.64855000000000029"/>
    <n v="0"/>
    <d v="2024-03-01T00:00:00"/>
    <d v="2024-05-01T00:00:00"/>
  </r>
  <r>
    <s v="JUI-011"/>
    <x v="26"/>
    <x v="0"/>
    <d v="2024-01-10T00:00:00"/>
    <s v="(Non CW) Up-Sell / X-Sell"/>
    <s v="Coordinated Services Management"/>
    <s v="New Workstation - Gloria Dubose"/>
    <n v="0"/>
    <n v="0"/>
    <n v="0"/>
    <n v="0"/>
    <n v="0"/>
    <n v="0"/>
    <n v="2.8168999999999991"/>
    <n v="0"/>
    <d v="2024-03-01T00:00:00"/>
    <d v="2024-05-01T00:00:00"/>
  </r>
  <r>
    <s v="JUI-012"/>
    <x v="26"/>
    <x v="0"/>
    <d v="2024-01-11T00:00:00"/>
    <s v="(Non CW) Up-Sell / X-Sell"/>
    <s v="Whitehall Township"/>
    <s v="HP OfficeJet Pro 7740 All-in-One Printer"/>
    <n v="0"/>
    <n v="0"/>
    <n v="0"/>
    <n v="0"/>
    <n v="0"/>
    <n v="0"/>
    <n v="5.0158499999999995"/>
    <n v="0"/>
    <d v="2024-03-01T00:00:00"/>
    <d v="2024-05-01T00:00:00"/>
  </r>
  <r>
    <s v="JUI-013"/>
    <x v="26"/>
    <x v="0"/>
    <d v="2024-01-11T00:00:00"/>
    <s v="(Non CW) Up-Sell / X-Sell"/>
    <s v="Municipality of Norristown"/>
    <s v="iPAD for NSWA"/>
    <n v="0"/>
    <n v="0"/>
    <n v="0"/>
    <n v="0"/>
    <n v="0"/>
    <n v="0"/>
    <n v="3.0583000000000018"/>
    <n v="0"/>
    <d v="2024-03-01T00:00:00"/>
    <d v="2024-05-01T00:00:00"/>
  </r>
  <r>
    <s v="JUI-014"/>
    <x v="26"/>
    <x v="0"/>
    <d v="2024-01-12T00:00:00"/>
    <s v="(Non CW) Up-Sell / X-Sell"/>
    <s v="Excel Sports Management"/>
    <s v="NYC Office Peripherals"/>
    <n v="0"/>
    <n v="0"/>
    <n v="0"/>
    <n v="0"/>
    <n v="0"/>
    <n v="0"/>
    <n v="517.03545000000008"/>
    <n v="0"/>
    <d v="2024-03-01T00:00:00"/>
    <d v="2024-05-01T00:00:00"/>
  </r>
  <r>
    <s v="JUI-015"/>
    <x v="24"/>
    <x v="3"/>
    <d v="2024-01-12T00:00:00"/>
    <s v="(Non CW) Up-Sell / X-Sell"/>
    <s v="Gleason Research Associates Inc"/>
    <s v="CaaS - Monthly Consulting Hours and POA&amp;M"/>
    <n v="0"/>
    <n v="1445"/>
    <n v="0"/>
    <n v="12"/>
    <n v="0.15"/>
    <n v="0"/>
    <n v="0"/>
    <n v="216.75"/>
    <d v="2024-03-01T00:00:00"/>
    <d v="2024-05-01T00:00:00"/>
  </r>
  <r>
    <s v="JUI-016"/>
    <x v="26"/>
    <x v="0"/>
    <d v="2024-01-12T00:00:00"/>
    <s v="(Non CW) Up-Sell / X-Sell"/>
    <s v="The Belles Group"/>
    <s v="Additional New Laptops x 2"/>
    <n v="0"/>
    <n v="0"/>
    <n v="0"/>
    <n v="0"/>
    <n v="0"/>
    <n v="0"/>
    <n v="22.290399999999984"/>
    <n v="0"/>
    <d v="2024-03-01T00:00:00"/>
    <d v="2024-05-01T00:00:00"/>
  </r>
  <r>
    <s v="JUI-017"/>
    <x v="26"/>
    <x v="0"/>
    <d v="2024-01-12T00:00:00"/>
    <s v="(Non CW) Up-Sell / X-Sell"/>
    <s v="Municipality of Norristown"/>
    <s v="Desktop and Phone for Ingrid Parker -"/>
    <n v="0"/>
    <n v="0"/>
    <n v="0"/>
    <n v="0"/>
    <n v="0"/>
    <n v="0"/>
    <n v="22.014150000000011"/>
    <n v="0"/>
    <d v="2024-03-01T00:00:00"/>
    <d v="2024-05-01T00:00:00"/>
  </r>
  <r>
    <s v="JUI-018"/>
    <x v="26"/>
    <x v="0"/>
    <d v="2024-01-12T00:00:00"/>
    <s v="(Non CW) Up-Sell / X-Sell"/>
    <s v="Commonwealth Group Services"/>
    <s v="Dell Latitude"/>
    <n v="0"/>
    <n v="0"/>
    <n v="0"/>
    <n v="0"/>
    <n v="0"/>
    <n v="0"/>
    <n v="24.084749999999993"/>
    <n v="0"/>
    <d v="2024-03-01T00:00:00"/>
    <d v="2024-05-01T00:00:00"/>
  </r>
  <r>
    <s v="JUI-019"/>
    <x v="26"/>
    <x v="0"/>
    <d v="2024-01-12T00:00:00"/>
    <s v="(Non CW) Up-Sell / X-Sell"/>
    <s v="Forcine Concrete &amp; Construction Co."/>
    <s v="Windows Surface Pro - Michael Barrett-Durable Surfaces"/>
    <n v="0"/>
    <n v="0"/>
    <n v="0"/>
    <n v="0"/>
    <n v="0"/>
    <n v="0"/>
    <n v="12.651399999999994"/>
    <n v="0"/>
    <d v="2024-03-01T00:00:00"/>
    <d v="2024-05-01T00:00:00"/>
  </r>
  <r>
    <s v="JUI-020"/>
    <x v="28"/>
    <x v="5"/>
    <d v="2024-01-15T00:00:00"/>
    <s v="(Non CW) New Logo"/>
    <s v="Claim Assure"/>
    <s v="Claim Assure-Managed Cloud Hosting"/>
    <n v="0"/>
    <n v="4045.35"/>
    <n v="0"/>
    <n v="36"/>
    <n v="1"/>
    <n v="0"/>
    <n v="0"/>
    <n v="4045.35"/>
    <d v="2024-03-01T00:00:00"/>
    <d v="2024-05-01T00:00:00"/>
  </r>
  <r>
    <s v="JUI-021"/>
    <x v="26"/>
    <x v="0"/>
    <d v="2024-01-15T00:00:00"/>
    <s v="(Non CW) Up-Sell / X-Sell"/>
    <s v="united integrity group"/>
    <s v="Proactive Quote - Firewall Renewal SN 18B169B089BC"/>
    <n v="0"/>
    <n v="0"/>
    <n v="0"/>
    <n v="0"/>
    <n v="0"/>
    <n v="0"/>
    <n v="2.5372500000000011"/>
    <n v="0"/>
    <d v="2024-03-01T00:00:00"/>
    <d v="2024-05-01T00:00:00"/>
  </r>
  <r>
    <s v="JUI-022"/>
    <x v="26"/>
    <x v="0"/>
    <d v="2024-01-15T00:00:00"/>
    <s v="(Non CW) Up-Sell / X-Sell"/>
    <s v="Coordinated Services Management"/>
    <s v="Laptop Battery Replacement - Our Lady of Peace"/>
    <n v="0"/>
    <n v="0"/>
    <n v="0"/>
    <n v="0"/>
    <n v="0"/>
    <n v="0"/>
    <n v="0.51255000000000017"/>
    <n v="0"/>
    <d v="2024-03-01T00:00:00"/>
    <d v="2024-05-01T00:00:00"/>
  </r>
  <r>
    <s v="JUI-023"/>
    <x v="26"/>
    <x v="0"/>
    <d v="2024-01-15T00:00:00"/>
    <s v="(Non CW) Up-Sell / X-Sell"/>
    <s v="Universal Health Services, Inc."/>
    <s v="Power Adapter and Chord - Kevin Donahue"/>
    <n v="0"/>
    <n v="0"/>
    <n v="0"/>
    <n v="0"/>
    <n v="0"/>
    <n v="0"/>
    <n v="0.43349999999999955"/>
    <n v="0"/>
    <d v="2024-03-01T00:00:00"/>
    <d v="2024-05-01T00:00:00"/>
  </r>
  <r>
    <s v="JUI-024"/>
    <x v="29"/>
    <x v="3"/>
    <d v="2024-01-16T00:00:00"/>
    <s v="(Non CW) Up-Sell / X-Sell"/>
    <s v="LCH"/>
    <s v="KnowBe4 Awareness Training"/>
    <n v="0"/>
    <n v="247.5"/>
    <n v="0"/>
    <n v="36"/>
    <n v="0.5"/>
    <n v="0"/>
    <n v="19.8"/>
    <n v="123.75"/>
    <d v="2024-03-01T00:00:00"/>
    <d v="2024-05-01T00:00:00"/>
  </r>
  <r>
    <s v="JUI-025"/>
    <x v="26"/>
    <x v="0"/>
    <d v="2024-01-16T00:00:00"/>
    <s v="(Non CW) Up-Sell / X-Sell"/>
    <s v="Whitehall Township"/>
    <s v="Docking Station - LT Greg Bealer"/>
    <n v="0"/>
    <n v="0"/>
    <n v="0"/>
    <n v="0"/>
    <n v="0"/>
    <n v="0"/>
    <n v="2.8517500000000013"/>
    <n v="0"/>
    <d v="2024-03-01T00:00:00"/>
    <d v="2024-05-01T00:00:00"/>
  </r>
  <r>
    <s v="JUI-026"/>
    <x v="30"/>
    <x v="5"/>
    <d v="2024-01-17T00:00:00"/>
    <s v="(Non CW) New Logo"/>
    <s v="Signature Research"/>
    <s v="Signature Research-"/>
    <n v="0"/>
    <n v="5322.97"/>
    <n v="0"/>
    <n v="12"/>
    <n v="0.35"/>
    <n v="0"/>
    <n v="0"/>
    <n v="1863.0394999999999"/>
    <d v="2024-03-01T00:00:00"/>
    <d v="2024-05-01T00:00:00"/>
  </r>
  <r>
    <s v="JUI-027"/>
    <x v="26"/>
    <x v="0"/>
    <d v="2024-01-17T00:00:00"/>
    <s v="(Non CW) Up-Sell / X-Sell"/>
    <s v="Care One"/>
    <s v="IOT Stock x 10units - Fort Lee"/>
    <n v="0"/>
    <n v="0"/>
    <n v="0"/>
    <n v="0"/>
    <n v="0"/>
    <n v="0"/>
    <n v="62.950999999999958"/>
    <n v="0"/>
    <d v="2024-03-01T00:00:00"/>
    <d v="2024-05-01T00:00:00"/>
  </r>
  <r>
    <s v="JUI-028"/>
    <x v="26"/>
    <x v="0"/>
    <d v="2024-01-17T00:00:00"/>
    <s v="(Non CW) Up-Sell / X-Sell"/>
    <s v="Municipality of Norristown"/>
    <s v="Laptop - Yesenia Sanchez"/>
    <n v="0"/>
    <n v="0"/>
    <n v="0"/>
    <n v="0"/>
    <n v="0"/>
    <n v="0"/>
    <n v="19.933350000000001"/>
    <n v="0"/>
    <d v="2024-03-01T00:00:00"/>
    <d v="2024-05-01T00:00:00"/>
  </r>
  <r>
    <s v="JUI-030"/>
    <x v="29"/>
    <x v="3"/>
    <d v="2024-01-18T00:00:00"/>
    <s v="(Non CW) Renewal"/>
    <s v="Radnor Financial"/>
    <s v="Radnor Financial- MS, Security, 365"/>
    <n v="0"/>
    <n v="0"/>
    <n v="0"/>
    <n v="6"/>
    <n v="0"/>
    <n v="0"/>
    <n v="0"/>
    <n v="0"/>
    <d v="2024-03-01T00:00:00"/>
    <d v="2024-05-01T00:00:00"/>
  </r>
  <r>
    <s v="JUI-031"/>
    <x v="24"/>
    <x v="3"/>
    <d v="2024-01-18T00:00:00"/>
    <s v="(Non CW) Up-Sell / X-Sell"/>
    <s v="Qualis Corporation"/>
    <s v="422623 - Order Request for 10 DUO Tokens"/>
    <n v="0"/>
    <n v="0"/>
    <n v="0"/>
    <n v="0"/>
    <n v="0"/>
    <n v="0"/>
    <n v="5.4"/>
    <n v="0"/>
    <d v="2024-03-01T00:00:00"/>
    <d v="2024-05-01T00:00:00"/>
  </r>
  <r>
    <s v="JUI-032"/>
    <x v="26"/>
    <x v="0"/>
    <d v="2024-01-18T00:00:00"/>
    <s v="(Non CW) Up-Sell / X-Sell"/>
    <s v="Care One"/>
    <s v="LENOVO TABLET x 1unit - Morris ALF"/>
    <n v="0"/>
    <n v="0"/>
    <n v="0"/>
    <n v="0"/>
    <n v="0"/>
    <n v="0"/>
    <n v="1.2342000000000009"/>
    <n v="0"/>
    <d v="2024-03-01T00:00:00"/>
    <d v="2024-05-01T00:00:00"/>
  </r>
  <r>
    <s v="JUI-033"/>
    <x v="26"/>
    <x v="0"/>
    <d v="2024-01-18T00:00:00"/>
    <s v="(Non CW) Up-Sell / X-Sell"/>
    <s v="Care One"/>
    <s v="Madison Ave PCC Terminal for Nurses"/>
    <n v="0"/>
    <n v="0"/>
    <n v="0"/>
    <n v="0"/>
    <n v="0"/>
    <n v="0"/>
    <n v="4.5398500000000022"/>
    <n v="0"/>
    <d v="2024-03-01T00:00:00"/>
    <d v="2024-05-01T00:00:00"/>
  </r>
  <r>
    <s v="JUI-034"/>
    <x v="26"/>
    <x v="0"/>
    <d v="2024-01-18T00:00:00"/>
    <s v="(Non CW) Up-Sell / X-Sell"/>
    <s v="Marsh Hawk Capital Management, LLC"/>
    <s v="Proactive Quote - Firewall Renewal"/>
    <n v="0"/>
    <n v="0"/>
    <n v="0"/>
    <n v="0"/>
    <n v="0"/>
    <n v="0"/>
    <n v="11.521749999999997"/>
    <n v="0"/>
    <d v="2024-03-01T00:00:00"/>
    <d v="2024-05-01T00:00:00"/>
  </r>
  <r>
    <s v="JUI-035"/>
    <x v="15"/>
    <x v="5"/>
    <d v="2024-01-19T00:00:00"/>
    <s v="(Non CW) New Logo"/>
    <s v="Softwriters"/>
    <s v="Demo Hosting Environment"/>
    <n v="0"/>
    <n v="970"/>
    <n v="0"/>
    <n v="36"/>
    <n v="0"/>
    <n v="0"/>
    <n v="0"/>
    <n v="0"/>
    <d v="2024-03-01T00:00:00"/>
    <d v="2024-05-01T00:00:00"/>
  </r>
  <r>
    <s v="JUI-036"/>
    <x v="26"/>
    <x v="0"/>
    <d v="2024-01-19T00:00:00"/>
    <s v="(Non CW) Up-Sell / X-Sell"/>
    <s v="Intercommunity Action, Inc"/>
    <s v="SSL for remote.intercommunityaction.org"/>
    <n v="0"/>
    <n v="0"/>
    <n v="0"/>
    <n v="0"/>
    <n v="0"/>
    <n v="0"/>
    <n v="9.8923000000000005"/>
    <n v="0"/>
    <d v="2024-03-01T00:00:00"/>
    <d v="2024-05-01T00:00:00"/>
  </r>
  <r>
    <s v="JUI-037"/>
    <x v="26"/>
    <x v="0"/>
    <d v="2024-01-19T00:00:00"/>
    <s v="(Non CW) Up-Sell / X-Sell"/>
    <s v="United Rx"/>
    <s v="Fortinet Renewals"/>
    <n v="0"/>
    <n v="0"/>
    <n v="0"/>
    <n v="0"/>
    <n v="0"/>
    <n v="0"/>
    <n v="138.80160000000001"/>
    <n v="0"/>
    <d v="2024-03-01T00:00:00"/>
    <d v="2024-05-01T00:00:00"/>
  </r>
  <r>
    <s v="JUI-038"/>
    <x v="26"/>
    <x v="0"/>
    <d v="2024-01-19T00:00:00"/>
    <s v="(Non CW) Up-Sell / X-Sell"/>
    <s v="Zeus Fire and Security"/>
    <s v="Zeus - SMG Warehouse Wifi Additions"/>
    <n v="0"/>
    <n v="0"/>
    <n v="0"/>
    <n v="0"/>
    <n v="0"/>
    <n v="0"/>
    <n v="493.10880000000009"/>
    <n v="0"/>
    <d v="2024-03-01T00:00:00"/>
    <d v="2024-05-01T00:00:00"/>
  </r>
  <r>
    <s v="JUI-039"/>
    <x v="28"/>
    <x v="5"/>
    <d v="2024-01-22T00:00:00"/>
    <s v="(Non CW) New Logo"/>
    <s v="Episcopal Seniorlife Communities"/>
    <s v="Episcopal Seniorlife Communities-Cyber Security Risk Assessment"/>
    <n v="0"/>
    <n v="0"/>
    <n v="0"/>
    <n v="1"/>
    <n v="0"/>
    <n v="0"/>
    <n v="269"/>
    <n v="0"/>
    <d v="2024-03-01T00:00:00"/>
    <d v="2024-05-01T00:00:00"/>
  </r>
  <r>
    <s v="JUI-040"/>
    <x v="26"/>
    <x v="0"/>
    <d v="2024-01-22T00:00:00"/>
    <s v="(Non CW) Up-Sell / X-Sell"/>
    <s v="Harvard Business Services, Inc."/>
    <s v="Veam Licensing"/>
    <n v="0"/>
    <n v="0"/>
    <n v="0"/>
    <n v="0"/>
    <n v="0"/>
    <n v="0"/>
    <n v="13.096799999999995"/>
    <n v="0"/>
    <d v="2024-03-01T00:00:00"/>
    <d v="2024-05-01T00:00:00"/>
  </r>
  <r>
    <s v="JUI-041"/>
    <x v="27"/>
    <x v="5"/>
    <d v="2024-01-23T00:00:00"/>
    <s v="(Non CW) New Logo"/>
    <s v="DMG Global"/>
    <s v="GCC High Licensing - Yearly"/>
    <n v="0"/>
    <n v="0"/>
    <n v="0"/>
    <n v="12"/>
    <n v="0.35"/>
    <n v="0"/>
    <n v="28.741800000000005"/>
    <n v="0"/>
    <d v="2024-03-01T00:00:00"/>
    <d v="2024-05-01T00:00:00"/>
  </r>
  <r>
    <s v="JUI-042"/>
    <x v="29"/>
    <x v="3"/>
    <d v="2024-01-23T00:00:00"/>
    <s v="(Non CW) Up-Sell / X-Sell"/>
    <s v="Visual Communications Inc."/>
    <s v="Vulnerability Scanning"/>
    <n v="0"/>
    <n v="292.5"/>
    <n v="0"/>
    <n v="12"/>
    <n v="0.15"/>
    <n v="0"/>
    <n v="0"/>
    <n v="43.875"/>
    <d v="2024-03-01T00:00:00"/>
    <d v="2024-05-01T00:00:00"/>
  </r>
  <r>
    <s v="JUI-043"/>
    <x v="26"/>
    <x v="0"/>
    <d v="2024-01-23T00:00:00"/>
    <s v="(Non CW) Up-Sell / X-Sell"/>
    <s v="Everside Health"/>
    <s v="Latitude 5540 x 20 to Denver - Jan 2024"/>
    <n v="0"/>
    <n v="0"/>
    <n v="0"/>
    <n v="0"/>
    <n v="0"/>
    <n v="0"/>
    <n v="281.35000000000002"/>
    <n v="0"/>
    <d v="2024-03-01T00:00:00"/>
    <d v="2024-05-01T00:00:00"/>
  </r>
  <r>
    <s v="JUI-044"/>
    <x v="26"/>
    <x v="0"/>
    <d v="2024-01-23T00:00:00"/>
    <s v="(Non CW) Up-Sell / X-Sell"/>
    <s v="Havpak"/>
    <s v="Proactive Quote - Network Device License Renewal"/>
    <n v="0"/>
    <n v="0"/>
    <n v="0"/>
    <n v="0"/>
    <n v="0"/>
    <n v="0"/>
    <n v="21.984400000000011"/>
    <n v="0"/>
    <d v="2024-03-01T00:00:00"/>
    <d v="2024-05-01T00:00:00"/>
  </r>
  <r>
    <s v="JUI-045"/>
    <x v="26"/>
    <x v="0"/>
    <d v="2024-01-23T00:00:00"/>
    <s v="(Non CW) Up-Sell / X-Sell"/>
    <s v="Equiteq"/>
    <s v="Laptop of Graham Bell"/>
    <n v="0"/>
    <n v="0"/>
    <n v="0"/>
    <n v="0"/>
    <n v="0"/>
    <n v="0"/>
    <n v="63.582550000000019"/>
    <n v="0"/>
    <d v="2024-03-01T00:00:00"/>
    <d v="2024-05-01T00:00:00"/>
  </r>
  <r>
    <s v="JUI-046"/>
    <x v="26"/>
    <x v="0"/>
    <d v="2024-01-23T00:00:00"/>
    <s v="(Non CW) Up-Sell / X-Sell"/>
    <s v="The Association for Frontotemporal Degeneration"/>
    <s v="Laptop Quote"/>
    <n v="0"/>
    <n v="0"/>
    <n v="0"/>
    <n v="0"/>
    <n v="0"/>
    <n v="0"/>
    <n v="65.273200000000017"/>
    <n v="0"/>
    <d v="2024-03-01T00:00:00"/>
    <d v="2024-05-01T00:00:00"/>
  </r>
  <r>
    <s v="JUI-047"/>
    <x v="26"/>
    <x v="0"/>
    <d v="2024-01-23T00:00:00"/>
    <s v="(Non CW) Up-Sell / X-Sell"/>
    <s v="Whitehall Township"/>
    <s v="Webcam - Dan Hittinger"/>
    <n v="0"/>
    <n v="0"/>
    <n v="0"/>
    <n v="0"/>
    <n v="0"/>
    <n v="0"/>
    <n v="0.79730000000000023"/>
    <n v="0"/>
    <d v="2024-03-01T00:00:00"/>
    <d v="2024-05-01T00:00:00"/>
  </r>
  <r>
    <s v="JUI-048"/>
    <x v="26"/>
    <x v="0"/>
    <d v="2024-01-23T00:00:00"/>
    <s v="(Non CW) Up-Sell / X-Sell"/>
    <s v="Dunwoody Village"/>
    <s v="Monitor - Sally Forde"/>
    <n v="0"/>
    <n v="0"/>
    <n v="0"/>
    <n v="0"/>
    <n v="0"/>
    <n v="0"/>
    <n v="2.1556000000000002"/>
    <n v="0"/>
    <d v="2024-03-01T00:00:00"/>
    <d v="2024-05-01T00:00:00"/>
  </r>
  <r>
    <s v="JUI-049"/>
    <x v="26"/>
    <x v="0"/>
    <d v="2024-01-23T00:00:00"/>
    <s v="(Non CW) Up-Sell / X-Sell"/>
    <s v="Hope's Cookies"/>
    <s v="Surface Laptop - CFO"/>
    <n v="0"/>
    <n v="0"/>
    <n v="0"/>
    <n v="0"/>
    <n v="0"/>
    <n v="0"/>
    <n v="14.044550000000003"/>
    <n v="0"/>
    <d v="2024-03-01T00:00:00"/>
    <d v="2024-05-01T00:00:00"/>
  </r>
  <r>
    <s v="JUI-050"/>
    <x v="26"/>
    <x v="0"/>
    <d v="2024-01-23T00:00:00"/>
    <s v="(Non CW) Up-Sell / X-Sell"/>
    <s v="Whitehall Township"/>
    <s v="Proactive Quote - Fortigate 101E - Firewall Support Renewal - #16448 v2"/>
    <n v="0"/>
    <n v="0"/>
    <n v="0"/>
    <n v="0"/>
    <n v="0"/>
    <n v="0"/>
    <n v="52.02"/>
    <n v="0"/>
    <d v="2024-03-01T00:00:00"/>
    <d v="2024-05-01T00:00:00"/>
  </r>
  <r>
    <s v="JUI-051"/>
    <x v="31"/>
    <x v="3"/>
    <d v="2024-01-24T00:00:00"/>
    <s v="(Non CW) Up-Sell / X-Sell"/>
    <s v="The Renfrew Center"/>
    <s v="DNS Filtering"/>
    <n v="0"/>
    <n v="1200"/>
    <n v="0"/>
    <n v="24"/>
    <n v="0.25"/>
    <n v="0"/>
    <n v="0"/>
    <n v="300"/>
    <d v="2024-03-01T00:00:00"/>
    <d v="2024-05-01T00:00:00"/>
  </r>
  <r>
    <s v="JUI-052"/>
    <x v="26"/>
    <x v="0"/>
    <d v="2024-01-24T00:00:00"/>
    <s v="(Non CW) Up-Sell / X-Sell"/>
    <s v="Mobile Air Conditioning Society Worldwide"/>
    <s v="Mobile Air Conditioning Society Worldwide-Laptop"/>
    <n v="0"/>
    <n v="0"/>
    <n v="0"/>
    <n v="0"/>
    <n v="0"/>
    <n v="0"/>
    <n v="20.495199999999993"/>
    <n v="0"/>
    <d v="2024-03-01T00:00:00"/>
    <d v="2024-05-01T00:00:00"/>
  </r>
  <r>
    <s v="JUI-053"/>
    <x v="26"/>
    <x v="0"/>
    <d v="2024-01-25T00:00:00"/>
    <s v="(Non CW) Up-Sell / X-Sell"/>
    <s v="Municipality of Norristown"/>
    <s v="Desktop for Plotter-Planning Dept."/>
    <n v="0"/>
    <n v="0"/>
    <n v="0"/>
    <n v="0"/>
    <n v="0"/>
    <n v="0"/>
    <n v="16.843599999999999"/>
    <n v="0"/>
    <d v="2024-03-01T00:00:00"/>
    <d v="2024-05-01T00:00:00"/>
  </r>
  <r>
    <s v="JUI-054"/>
    <x v="26"/>
    <x v="0"/>
    <d v="2024-01-25T00:00:00"/>
    <s v="(Non CW) Up-Sell / X-Sell"/>
    <s v="Gelest Inc."/>
    <s v="New Devices Jan 2024 Gelest"/>
    <n v="0"/>
    <n v="0"/>
    <n v="0"/>
    <n v="0"/>
    <n v="0"/>
    <n v="0"/>
    <n v="214.91314999999997"/>
    <n v="0"/>
    <d v="2024-03-01T00:00:00"/>
    <d v="2024-05-01T00:00:00"/>
  </r>
  <r>
    <s v="JUI-055"/>
    <x v="26"/>
    <x v="0"/>
    <d v="2024-01-26T00:00:00"/>
    <s v="(Non CW) Up-Sell / X-Sell"/>
    <s v="Cimplifi"/>
    <s v="New Machines"/>
    <n v="0"/>
    <n v="0"/>
    <n v="0"/>
    <n v="0"/>
    <n v="0"/>
    <n v="0"/>
    <n v="172.43950000000007"/>
    <n v="0"/>
    <d v="2024-03-01T00:00:00"/>
    <d v="2024-05-01T00:00:00"/>
  </r>
  <r>
    <s v="JUI-056"/>
    <x v="26"/>
    <x v="0"/>
    <d v="2024-01-27T00:00:00"/>
    <s v="(Non CW) Up-Sell / X-Sell"/>
    <s v="Air Force Aid Society"/>
    <s v="Laptop Stock Replenishment - Jan 2024"/>
    <n v="0"/>
    <n v="0"/>
    <n v="0"/>
    <n v="0"/>
    <n v="0"/>
    <n v="0"/>
    <n v="32.816799999999994"/>
    <n v="0"/>
    <d v="2024-03-01T00:00:00"/>
    <d v="2024-05-01T00:00:00"/>
  </r>
  <r>
    <s v="JUI-057"/>
    <x v="26"/>
    <x v="0"/>
    <d v="2024-01-29T00:00:00"/>
    <s v="(Non CW) Up-Sell / X-Sell"/>
    <s v="Ferrandino &amp; Son Inc"/>
    <s v="Proactive Quote - Sonicwall Maintenance Renewal"/>
    <n v="0"/>
    <n v="0"/>
    <n v="0"/>
    <n v="0"/>
    <n v="0"/>
    <n v="0"/>
    <n v="54.790999999999997"/>
    <n v="0"/>
    <d v="2024-03-01T00:00:00"/>
    <d v="2024-05-01T00:00:00"/>
  </r>
  <r>
    <s v="JUI-058"/>
    <x v="20"/>
    <x v="0"/>
    <d v="2024-01-30T00:00:00"/>
    <s v="(Non CW) Up-Sell / X-Sell"/>
    <s v="Davis Strategic Innovations Inc"/>
    <s v="Quote #006684 2023 Q4 Vulnerability Scan Remediation"/>
    <n v="0"/>
    <n v="0"/>
    <n v="0"/>
    <n v="0"/>
    <n v="0"/>
    <n v="0"/>
    <n v="0"/>
    <n v="0"/>
    <d v="2024-03-01T00:00:00"/>
    <d v="2024-05-01T00:00:00"/>
  </r>
  <r>
    <s v="JUI-059"/>
    <x v="26"/>
    <x v="0"/>
    <d v="2024-01-30T00:00:00"/>
    <s v="(Non CW) Up-Sell / X-Sell"/>
    <s v="Care One"/>
    <s v="Dell Latitudex 2 - Fort Lee"/>
    <n v="0"/>
    <n v="0"/>
    <n v="0"/>
    <n v="0"/>
    <n v="0"/>
    <n v="0"/>
    <n v="18.060800000000004"/>
    <n v="0"/>
    <d v="2024-03-01T00:00:00"/>
    <d v="2024-05-01T00:00:00"/>
  </r>
  <r>
    <s v="JUI-060"/>
    <x v="26"/>
    <x v="0"/>
    <d v="2024-01-30T00:00:00"/>
    <s v="(Non CW) Up-Sell / X-Sell"/>
    <s v="Gelest Inc."/>
    <s v="Engraver PC"/>
    <n v="0"/>
    <n v="0"/>
    <n v="0"/>
    <n v="0"/>
    <n v="0"/>
    <n v="0"/>
    <n v="8.3215000000000074"/>
    <n v="0"/>
    <d v="2024-03-01T00:00:00"/>
    <d v="2024-05-01T00:00:00"/>
  </r>
  <r>
    <m/>
    <x v="32"/>
    <x v="8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1B884-DAFF-41BD-B4F1-4EC193FCBA6F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4:AE544" firstHeaderRow="1" firstDataRow="1" firstDataCol="1"/>
  <pivotFields count="21">
    <pivotField axis="axisRow" showAll="0">
      <items count="5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538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 t="grand">
      <x/>
    </i>
  </rowItems>
  <colItems count="1">
    <i/>
  </colItems>
  <dataFields count="1">
    <dataField name="Sum of Commission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C9B0F-91B7-4219-BEE3-87C83F543A4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35" firstHeaderRow="0" firstDataRow="1" firstDataCol="1"/>
  <pivotFields count="17">
    <pivotField showAll="0"/>
    <pivotField axis="axisRow" showAll="0">
      <items count="34">
        <item x="2"/>
        <item x="26"/>
        <item x="13"/>
        <item x="7"/>
        <item x="30"/>
        <item x="28"/>
        <item x="19"/>
        <item x="12"/>
        <item x="24"/>
        <item x="27"/>
        <item x="29"/>
        <item x="22"/>
        <item x="4"/>
        <item x="14"/>
        <item x="18"/>
        <item x="0"/>
        <item x="25"/>
        <item x="16"/>
        <item x="5"/>
        <item x="17"/>
        <item x="10"/>
        <item x="6"/>
        <item x="3"/>
        <item x="20"/>
        <item x="31"/>
        <item x="11"/>
        <item x="1"/>
        <item x="21"/>
        <item x="8"/>
        <item x="9"/>
        <item x="15"/>
        <item x="23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ew MRR" fld="8" baseField="0" baseItem="0"/>
    <dataField name="Sum of Renewal MRR" fld="9" baseField="0" baseItem="0"/>
    <dataField name="Sum of MRR Commission" fld="14" baseField="1" baseItem="0"/>
    <dataField name="Sum of NRR Commission" fld="1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B6AC2-75C7-45D7-BF3C-6AA96EC63D0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1" firstHeaderRow="0" firstDataRow="1" firstDataCol="1"/>
  <pivotFields count="17">
    <pivotField showAll="0"/>
    <pivotField showAll="0"/>
    <pivotField axis="axisRow" showAll="0">
      <items count="10">
        <item x="6"/>
        <item x="7"/>
        <item x="3"/>
        <item x="2"/>
        <item x="0"/>
        <item x="4"/>
        <item x="1"/>
        <item x="5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 MRR" fld="8" baseField="0" baseItem="0"/>
    <dataField name="Sum of Renewal MR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95C4-6328-4C97-BDAA-AAD8DD520999}">
  <dimension ref="A1:E34"/>
  <sheetViews>
    <sheetView workbookViewId="0">
      <selection activeCell="E34" sqref="E34"/>
    </sheetView>
  </sheetViews>
  <sheetFormatPr defaultRowHeight="15" x14ac:dyDescent="0.25"/>
  <cols>
    <col min="1" max="1" width="18.7109375" bestFit="1" customWidth="1"/>
    <col min="2" max="2" width="33" bestFit="1" customWidth="1"/>
    <col min="3" max="3" width="26.85546875" bestFit="1" customWidth="1"/>
    <col min="4" max="5" width="25.7109375" bestFit="1" customWidth="1"/>
  </cols>
  <sheetData>
    <row r="1" spans="1:5" x14ac:dyDescent="0.25">
      <c r="A1" t="s">
        <v>1</v>
      </c>
      <c r="B1" t="s">
        <v>2516</v>
      </c>
      <c r="C1" t="s">
        <v>2515</v>
      </c>
      <c r="D1" t="s">
        <v>2515</v>
      </c>
      <c r="E1" t="s">
        <v>2515</v>
      </c>
    </row>
    <row r="2" spans="1:5" x14ac:dyDescent="0.25">
      <c r="A2" t="s">
        <v>2387</v>
      </c>
      <c r="B2" t="s">
        <v>2514</v>
      </c>
      <c r="C2" t="s">
        <v>2508</v>
      </c>
      <c r="D2" t="s">
        <v>2475</v>
      </c>
    </row>
    <row r="3" spans="1:5" x14ac:dyDescent="0.25">
      <c r="A3" t="s">
        <v>151</v>
      </c>
      <c r="B3" t="s">
        <v>2513</v>
      </c>
      <c r="C3" t="s">
        <v>2508</v>
      </c>
      <c r="D3" t="s">
        <v>2475</v>
      </c>
    </row>
    <row r="4" spans="1:5" x14ac:dyDescent="0.25">
      <c r="A4" t="s">
        <v>156</v>
      </c>
      <c r="B4" t="s">
        <v>2512</v>
      </c>
      <c r="C4" t="s">
        <v>2508</v>
      </c>
      <c r="D4" t="s">
        <v>2475</v>
      </c>
    </row>
    <row r="5" spans="1:5" x14ac:dyDescent="0.25">
      <c r="A5" t="s">
        <v>143</v>
      </c>
      <c r="B5" t="s">
        <v>2511</v>
      </c>
      <c r="C5" t="s">
        <v>2508</v>
      </c>
      <c r="D5" t="s">
        <v>2475</v>
      </c>
    </row>
    <row r="6" spans="1:5" x14ac:dyDescent="0.25">
      <c r="A6" t="s">
        <v>160</v>
      </c>
      <c r="B6" t="s">
        <v>2510</v>
      </c>
      <c r="C6" t="s">
        <v>2508</v>
      </c>
      <c r="D6" t="s">
        <v>2475</v>
      </c>
    </row>
    <row r="7" spans="1:5" x14ac:dyDescent="0.25">
      <c r="A7" t="s">
        <v>163</v>
      </c>
      <c r="B7" t="s">
        <v>2509</v>
      </c>
      <c r="C7" t="s">
        <v>2508</v>
      </c>
      <c r="D7" t="s">
        <v>2475</v>
      </c>
    </row>
    <row r="8" spans="1:5" x14ac:dyDescent="0.25">
      <c r="A8" t="s">
        <v>117</v>
      </c>
      <c r="B8" t="s">
        <v>2507</v>
      </c>
      <c r="C8" t="s">
        <v>2504</v>
      </c>
      <c r="D8" t="s">
        <v>2475</v>
      </c>
    </row>
    <row r="9" spans="1:5" x14ac:dyDescent="0.25">
      <c r="A9" t="s">
        <v>2386</v>
      </c>
      <c r="B9" t="s">
        <v>2506</v>
      </c>
      <c r="C9" t="s">
        <v>2504</v>
      </c>
      <c r="D9" t="s">
        <v>2475</v>
      </c>
    </row>
    <row r="10" spans="1:5" x14ac:dyDescent="0.25">
      <c r="A10" t="s">
        <v>121</v>
      </c>
      <c r="B10" t="s">
        <v>2505</v>
      </c>
      <c r="C10" t="s">
        <v>2504</v>
      </c>
      <c r="D10" t="s">
        <v>2475</v>
      </c>
    </row>
    <row r="11" spans="1:5" x14ac:dyDescent="0.25">
      <c r="A11" t="s">
        <v>166</v>
      </c>
      <c r="B11" t="s">
        <v>2503</v>
      </c>
      <c r="C11" t="s">
        <v>2497</v>
      </c>
      <c r="D11" t="s">
        <v>2475</v>
      </c>
    </row>
    <row r="12" spans="1:5" x14ac:dyDescent="0.25">
      <c r="A12" t="s">
        <v>107</v>
      </c>
      <c r="B12" t="s">
        <v>2502</v>
      </c>
      <c r="C12" t="s">
        <v>2497</v>
      </c>
      <c r="D12" t="s">
        <v>2475</v>
      </c>
    </row>
    <row r="13" spans="1:5" x14ac:dyDescent="0.25">
      <c r="A13" t="s">
        <v>2501</v>
      </c>
      <c r="B13" t="s">
        <v>2500</v>
      </c>
      <c r="C13" t="s">
        <v>2497</v>
      </c>
      <c r="D13" t="s">
        <v>2475</v>
      </c>
    </row>
    <row r="14" spans="1:5" x14ac:dyDescent="0.25">
      <c r="A14" t="s">
        <v>105</v>
      </c>
      <c r="B14" t="s">
        <v>2499</v>
      </c>
      <c r="C14" t="s">
        <v>2497</v>
      </c>
      <c r="D14" t="s">
        <v>2475</v>
      </c>
    </row>
    <row r="15" spans="1:5" x14ac:dyDescent="0.25">
      <c r="A15" t="s">
        <v>110</v>
      </c>
      <c r="B15" t="s">
        <v>2498</v>
      </c>
      <c r="C15" t="s">
        <v>2497</v>
      </c>
      <c r="D15" t="s">
        <v>2475</v>
      </c>
    </row>
    <row r="16" spans="1:5" x14ac:dyDescent="0.25">
      <c r="A16" t="s">
        <v>80</v>
      </c>
      <c r="B16" t="s">
        <v>2496</v>
      </c>
      <c r="C16" t="s">
        <v>2492</v>
      </c>
      <c r="D16" t="s">
        <v>2476</v>
      </c>
      <c r="E16" t="s">
        <v>2475</v>
      </c>
    </row>
    <row r="17" spans="1:5" x14ac:dyDescent="0.25">
      <c r="A17" t="s">
        <v>84</v>
      </c>
      <c r="B17" t="s">
        <v>2495</v>
      </c>
      <c r="C17" t="s">
        <v>2492</v>
      </c>
      <c r="D17" t="s">
        <v>2476</v>
      </c>
      <c r="E17" t="s">
        <v>2475</v>
      </c>
    </row>
    <row r="18" spans="1:5" x14ac:dyDescent="0.25">
      <c r="A18" t="s">
        <v>2494</v>
      </c>
      <c r="B18" t="s">
        <v>2493</v>
      </c>
      <c r="C18" t="s">
        <v>2492</v>
      </c>
      <c r="D18" t="s">
        <v>2476</v>
      </c>
      <c r="E18" t="s">
        <v>2475</v>
      </c>
    </row>
    <row r="19" spans="1:5" x14ac:dyDescent="0.25">
      <c r="A19" t="s">
        <v>90</v>
      </c>
      <c r="B19" t="s">
        <v>2491</v>
      </c>
      <c r="C19" t="s">
        <v>2488</v>
      </c>
      <c r="D19" t="s">
        <v>2476</v>
      </c>
      <c r="E19" t="s">
        <v>2475</v>
      </c>
    </row>
    <row r="20" spans="1:5" x14ac:dyDescent="0.25">
      <c r="A20" t="s">
        <v>94</v>
      </c>
      <c r="B20" t="s">
        <v>2490</v>
      </c>
      <c r="C20" t="s">
        <v>2488</v>
      </c>
      <c r="D20" t="s">
        <v>2476</v>
      </c>
      <c r="E20" t="s">
        <v>2475</v>
      </c>
    </row>
    <row r="21" spans="1:5" x14ac:dyDescent="0.25">
      <c r="A21" t="s">
        <v>97</v>
      </c>
      <c r="B21" t="s">
        <v>2489</v>
      </c>
      <c r="C21" t="s">
        <v>2488</v>
      </c>
      <c r="D21" t="s">
        <v>2476</v>
      </c>
      <c r="E21" t="s">
        <v>2475</v>
      </c>
    </row>
    <row r="22" spans="1:5" x14ac:dyDescent="0.25">
      <c r="A22" t="s">
        <v>127</v>
      </c>
      <c r="B22" t="s">
        <v>2487</v>
      </c>
      <c r="C22" t="s">
        <v>2485</v>
      </c>
      <c r="D22" t="s">
        <v>2476</v>
      </c>
      <c r="E22" t="s">
        <v>2475</v>
      </c>
    </row>
    <row r="23" spans="1:5" x14ac:dyDescent="0.25">
      <c r="A23" t="s">
        <v>122</v>
      </c>
      <c r="B23" t="s">
        <v>2486</v>
      </c>
      <c r="C23" t="s">
        <v>2485</v>
      </c>
      <c r="D23" t="s">
        <v>2476</v>
      </c>
      <c r="E23" t="s">
        <v>2475</v>
      </c>
    </row>
    <row r="24" spans="1:5" x14ac:dyDescent="0.25">
      <c r="A24" t="s">
        <v>1874</v>
      </c>
      <c r="B24" t="s">
        <v>2484</v>
      </c>
      <c r="C24" t="s">
        <v>2477</v>
      </c>
      <c r="D24" t="s">
        <v>2476</v>
      </c>
      <c r="E24" t="s">
        <v>2475</v>
      </c>
    </row>
    <row r="25" spans="1:5" x14ac:dyDescent="0.25">
      <c r="A25" t="s">
        <v>150</v>
      </c>
      <c r="B25" t="s">
        <v>2483</v>
      </c>
      <c r="C25" t="s">
        <v>2477</v>
      </c>
      <c r="D25" t="s">
        <v>2476</v>
      </c>
      <c r="E25" t="s">
        <v>2475</v>
      </c>
    </row>
    <row r="26" spans="1:5" x14ac:dyDescent="0.25">
      <c r="A26" t="s">
        <v>147</v>
      </c>
      <c r="B26" t="s">
        <v>2482</v>
      </c>
      <c r="C26" t="s">
        <v>2477</v>
      </c>
      <c r="D26" t="s">
        <v>2476</v>
      </c>
      <c r="E26" t="s">
        <v>2475</v>
      </c>
    </row>
    <row r="27" spans="1:5" x14ac:dyDescent="0.25">
      <c r="A27" t="s">
        <v>132</v>
      </c>
      <c r="B27" t="s">
        <v>2481</v>
      </c>
      <c r="C27" t="s">
        <v>2477</v>
      </c>
      <c r="D27" t="s">
        <v>2476</v>
      </c>
      <c r="E27" t="s">
        <v>2475</v>
      </c>
    </row>
    <row r="28" spans="1:5" x14ac:dyDescent="0.25">
      <c r="A28" t="s">
        <v>140</v>
      </c>
      <c r="B28" t="s">
        <v>2480</v>
      </c>
      <c r="C28" t="s">
        <v>2477</v>
      </c>
      <c r="D28" t="s">
        <v>2476</v>
      </c>
      <c r="E28" t="s">
        <v>2475</v>
      </c>
    </row>
    <row r="29" spans="1:5" x14ac:dyDescent="0.25">
      <c r="A29" t="s">
        <v>2479</v>
      </c>
      <c r="B29" t="s">
        <v>2478</v>
      </c>
      <c r="C29" t="s">
        <v>2477</v>
      </c>
      <c r="D29" t="s">
        <v>2476</v>
      </c>
      <c r="E29" t="s">
        <v>2475</v>
      </c>
    </row>
    <row r="30" spans="1:5" x14ac:dyDescent="0.25">
      <c r="A30" t="s">
        <v>51</v>
      </c>
      <c r="B30" t="s">
        <v>2474</v>
      </c>
      <c r="C30" t="s">
        <v>2469</v>
      </c>
    </row>
    <row r="31" spans="1:5" x14ac:dyDescent="0.25">
      <c r="A31" t="s">
        <v>2385</v>
      </c>
      <c r="B31" t="s">
        <v>2473</v>
      </c>
      <c r="C31" t="s">
        <v>2469</v>
      </c>
    </row>
    <row r="32" spans="1:5" x14ac:dyDescent="0.25">
      <c r="A32" t="s">
        <v>56</v>
      </c>
      <c r="B32" t="s">
        <v>2472</v>
      </c>
      <c r="C32" t="s">
        <v>2469</v>
      </c>
    </row>
    <row r="33" spans="1:3" x14ac:dyDescent="0.25">
      <c r="A33" t="s">
        <v>47</v>
      </c>
      <c r="B33" t="s">
        <v>2471</v>
      </c>
      <c r="C33" t="s">
        <v>2469</v>
      </c>
    </row>
    <row r="34" spans="1:3" x14ac:dyDescent="0.25">
      <c r="A34" t="s">
        <v>43</v>
      </c>
      <c r="B34" t="s">
        <v>2470</v>
      </c>
      <c r="C34" t="s">
        <v>2469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B6F1-35A3-4444-A38D-DC6BA08363A2}">
  <sheetPr filterMode="1"/>
  <dimension ref="A1:AH1243"/>
  <sheetViews>
    <sheetView showGridLines="0" workbookViewId="0">
      <pane ySplit="1" topLeftCell="A1031" activePane="bottomLeft" state="frozen"/>
      <selection pane="bottomLeft" activeCell="B50" sqref="B50"/>
    </sheetView>
  </sheetViews>
  <sheetFormatPr defaultRowHeight="15" x14ac:dyDescent="0.25"/>
  <cols>
    <col min="1" max="1" width="23" bestFit="1" customWidth="1"/>
    <col min="2" max="2" width="96.28515625" bestFit="1" customWidth="1"/>
    <col min="3" max="3" width="7" bestFit="1" customWidth="1"/>
    <col min="4" max="4" width="11" bestFit="1" customWidth="1"/>
    <col min="5" max="5" width="14.140625" bestFit="1" customWidth="1"/>
    <col min="6" max="6" width="34.42578125" bestFit="1" customWidth="1"/>
    <col min="7" max="7" width="36.5703125" bestFit="1" customWidth="1"/>
    <col min="8" max="8" width="24.7109375" bestFit="1" customWidth="1"/>
    <col min="9" max="9" width="8.7109375" bestFit="1" customWidth="1"/>
    <col min="10" max="10" width="11.28515625" bestFit="1" customWidth="1"/>
    <col min="11" max="11" width="11" bestFit="1" customWidth="1"/>
    <col min="13" max="13" width="14.7109375" bestFit="1" customWidth="1"/>
    <col min="14" max="14" width="14" bestFit="1" customWidth="1"/>
    <col min="15" max="15" width="12.7109375" bestFit="1" customWidth="1"/>
    <col min="16" max="16" width="15.7109375" bestFit="1" customWidth="1"/>
    <col min="17" max="17" width="19.140625" bestFit="1" customWidth="1"/>
    <col min="18" max="18" width="15.42578125" bestFit="1" customWidth="1"/>
    <col min="19" max="19" width="11.5703125" customWidth="1"/>
    <col min="20" max="20" width="29.42578125" customWidth="1"/>
    <col min="21" max="21" width="13.140625" style="1" bestFit="1" customWidth="1"/>
    <col min="24" max="24" width="6.5703125" customWidth="1"/>
    <col min="25" max="25" width="20" customWidth="1"/>
    <col min="26" max="26" width="19" bestFit="1" customWidth="1"/>
    <col min="27" max="27" width="22.85546875" bestFit="1" customWidth="1"/>
    <col min="28" max="28" width="12.140625" bestFit="1" customWidth="1"/>
    <col min="30" max="30" width="13.42578125" bestFit="1" customWidth="1"/>
    <col min="31" max="31" width="19.42578125" bestFit="1" customWidth="1"/>
    <col min="32" max="32" width="28.28515625" bestFit="1" customWidth="1"/>
    <col min="33" max="33" width="11.42578125" bestFit="1" customWidth="1"/>
    <col min="34" max="34" width="19.28515625" style="1" bestFit="1" customWidth="1"/>
  </cols>
  <sheetData>
    <row r="1" spans="1:34" ht="30.75" thickBot="1" x14ac:dyDescent="0.3">
      <c r="A1" s="5" t="s">
        <v>14</v>
      </c>
      <c r="B1" s="6" t="s">
        <v>15</v>
      </c>
      <c r="C1" s="5" t="s">
        <v>16</v>
      </c>
      <c r="D1" s="5" t="s">
        <v>2</v>
      </c>
      <c r="E1" s="5" t="s">
        <v>17</v>
      </c>
      <c r="F1" s="5" t="s">
        <v>18</v>
      </c>
      <c r="G1" s="6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1</v>
      </c>
      <c r="U1" s="7" t="s">
        <v>11</v>
      </c>
      <c r="Y1" s="8" t="s">
        <v>32</v>
      </c>
      <c r="Z1" s="9" t="s">
        <v>33</v>
      </c>
      <c r="AA1" s="9" t="s">
        <v>34</v>
      </c>
      <c r="AB1" s="10" t="s">
        <v>35</v>
      </c>
      <c r="AD1" s="11" t="s">
        <v>36</v>
      </c>
      <c r="AE1" s="1" t="e">
        <f>_xlfn.XLOOKUP(AD1,$Y$2:$Y$45,$AA$2:$AA$45)*(AA1-AC1)</f>
        <v>#N/A</v>
      </c>
      <c r="AF1" s="12" t="s">
        <v>37</v>
      </c>
      <c r="AG1" t="e">
        <f>_xlfn.XLOOKUP(AF1,$Y$2:$Y$45,$AB$2:$AB$45)*(AC1)</f>
        <v>#N/A</v>
      </c>
    </row>
    <row r="2" spans="1:34" hidden="1" x14ac:dyDescent="0.25">
      <c r="A2" s="2">
        <v>24731</v>
      </c>
      <c r="B2" s="13" t="s">
        <v>38</v>
      </c>
      <c r="C2" s="14" t="s">
        <v>39</v>
      </c>
      <c r="D2" s="15">
        <v>45313</v>
      </c>
      <c r="E2" s="2">
        <v>0</v>
      </c>
      <c r="F2" s="14" t="s">
        <v>40</v>
      </c>
      <c r="G2" t="s">
        <v>41</v>
      </c>
      <c r="H2" s="14" t="s">
        <v>42</v>
      </c>
      <c r="I2" s="2">
        <v>1</v>
      </c>
      <c r="J2" s="2">
        <v>0</v>
      </c>
      <c r="K2" s="2">
        <v>0</v>
      </c>
      <c r="L2" s="2"/>
      <c r="M2" s="2">
        <v>0</v>
      </c>
      <c r="N2" s="14"/>
      <c r="O2" s="14"/>
      <c r="P2" s="2">
        <v>1571</v>
      </c>
      <c r="Q2" s="2">
        <v>1571</v>
      </c>
      <c r="R2" s="2">
        <v>1224.67</v>
      </c>
      <c r="S2">
        <f t="shared" ref="S2:S65" si="0">R2*I2</f>
        <v>1224.67</v>
      </c>
      <c r="T2" t="s">
        <v>61</v>
      </c>
      <c r="U2" s="1">
        <f t="shared" ref="U2:U15" si="1">_xlfn.XLOOKUP(T2,$Y$2:$Y$45,$AA$2:$AA$45)*(Q2-S2)</f>
        <v>0</v>
      </c>
      <c r="Y2" s="16" t="s">
        <v>43</v>
      </c>
      <c r="Z2" t="s">
        <v>44</v>
      </c>
      <c r="AA2" s="17">
        <v>8.5000000000000006E-2</v>
      </c>
      <c r="AB2" s="18">
        <v>0.04</v>
      </c>
    </row>
    <row r="3" spans="1:34" hidden="1" x14ac:dyDescent="0.25">
      <c r="A3" s="2">
        <v>24731</v>
      </c>
      <c r="B3" s="13" t="s">
        <v>38</v>
      </c>
      <c r="C3" s="14" t="s">
        <v>39</v>
      </c>
      <c r="D3" s="15">
        <v>45313</v>
      </c>
      <c r="E3" s="2">
        <v>0</v>
      </c>
      <c r="F3" s="14" t="s">
        <v>45</v>
      </c>
      <c r="G3" t="s">
        <v>46</v>
      </c>
      <c r="H3" s="14" t="s">
        <v>42</v>
      </c>
      <c r="I3" s="2">
        <v>2</v>
      </c>
      <c r="J3" s="2">
        <v>0</v>
      </c>
      <c r="K3" s="2">
        <v>0</v>
      </c>
      <c r="L3" s="2"/>
      <c r="M3" s="2">
        <v>0</v>
      </c>
      <c r="N3" s="14"/>
      <c r="O3" s="14"/>
      <c r="P3" s="2">
        <v>113</v>
      </c>
      <c r="Q3" s="2">
        <v>226</v>
      </c>
      <c r="R3" s="2">
        <v>88</v>
      </c>
      <c r="S3">
        <f t="shared" si="0"/>
        <v>176</v>
      </c>
      <c r="T3" t="s">
        <v>61</v>
      </c>
      <c r="U3" s="1">
        <f t="shared" si="1"/>
        <v>0</v>
      </c>
      <c r="Y3" s="16" t="s">
        <v>47</v>
      </c>
      <c r="Z3" t="s">
        <v>44</v>
      </c>
      <c r="AA3" s="17">
        <v>8.5000000000000006E-2</v>
      </c>
      <c r="AB3" s="18">
        <v>0.04</v>
      </c>
    </row>
    <row r="4" spans="1:34" hidden="1" x14ac:dyDescent="0.25">
      <c r="A4" s="2">
        <v>28676</v>
      </c>
      <c r="B4" s="13" t="s">
        <v>48</v>
      </c>
      <c r="C4" s="14" t="s">
        <v>39</v>
      </c>
      <c r="D4" s="15">
        <v>45321</v>
      </c>
      <c r="E4" s="2">
        <v>0</v>
      </c>
      <c r="F4" s="14" t="s">
        <v>49</v>
      </c>
      <c r="G4" t="s">
        <v>50</v>
      </c>
      <c r="H4" s="14" t="s">
        <v>42</v>
      </c>
      <c r="I4" s="2">
        <v>6</v>
      </c>
      <c r="J4" s="2">
        <v>0</v>
      </c>
      <c r="K4" s="2">
        <v>0</v>
      </c>
      <c r="L4" s="2"/>
      <c r="M4" s="2">
        <v>0</v>
      </c>
      <c r="N4" s="14"/>
      <c r="O4" s="14"/>
      <c r="P4" s="2">
        <v>123</v>
      </c>
      <c r="Q4" s="2">
        <v>738</v>
      </c>
      <c r="R4" s="2">
        <v>100.35</v>
      </c>
      <c r="S4">
        <f t="shared" si="0"/>
        <v>602.09999999999991</v>
      </c>
      <c r="T4" t="s">
        <v>151</v>
      </c>
      <c r="U4" s="1">
        <f t="shared" si="1"/>
        <v>10.872000000000007</v>
      </c>
      <c r="Y4" s="16" t="s">
        <v>51</v>
      </c>
      <c r="Z4" t="s">
        <v>44</v>
      </c>
      <c r="AA4" s="17">
        <v>8.5000000000000006E-2</v>
      </c>
      <c r="AB4" s="18">
        <v>0.04</v>
      </c>
      <c r="AD4" s="30" t="s">
        <v>52</v>
      </c>
      <c r="AE4" t="s">
        <v>53</v>
      </c>
      <c r="AG4" t="s">
        <v>52</v>
      </c>
      <c r="AH4" s="1" t="s">
        <v>53</v>
      </c>
    </row>
    <row r="5" spans="1:34" hidden="1" x14ac:dyDescent="0.25">
      <c r="A5" s="2">
        <v>28676</v>
      </c>
      <c r="B5" s="13" t="s">
        <v>48</v>
      </c>
      <c r="C5" s="14" t="s">
        <v>39</v>
      </c>
      <c r="D5" s="15">
        <v>45321</v>
      </c>
      <c r="E5" s="2">
        <v>0</v>
      </c>
      <c r="F5" s="14" t="s">
        <v>54</v>
      </c>
      <c r="G5" t="s">
        <v>55</v>
      </c>
      <c r="H5" s="14" t="s">
        <v>42</v>
      </c>
      <c r="I5" s="2">
        <v>1</v>
      </c>
      <c r="J5" s="2">
        <v>0</v>
      </c>
      <c r="K5" s="2">
        <v>0</v>
      </c>
      <c r="L5" s="2"/>
      <c r="M5" s="2">
        <v>0</v>
      </c>
      <c r="N5" s="14"/>
      <c r="O5" s="14"/>
      <c r="P5" s="2">
        <v>110</v>
      </c>
      <c r="Q5" s="2">
        <v>110</v>
      </c>
      <c r="R5" s="2">
        <v>89.55</v>
      </c>
      <c r="S5">
        <f t="shared" si="0"/>
        <v>89.55</v>
      </c>
      <c r="T5" t="s">
        <v>151</v>
      </c>
      <c r="U5" s="1">
        <f t="shared" si="1"/>
        <v>1.6360000000000003</v>
      </c>
      <c r="Y5" s="16" t="s">
        <v>56</v>
      </c>
      <c r="Z5" t="s">
        <v>44</v>
      </c>
      <c r="AA5" s="17">
        <v>8.5000000000000006E-2</v>
      </c>
      <c r="AB5" s="18">
        <v>0.04</v>
      </c>
      <c r="AD5" s="19">
        <v>24731</v>
      </c>
      <c r="AE5">
        <v>0</v>
      </c>
      <c r="AG5">
        <v>24731</v>
      </c>
      <c r="AH5" s="1">
        <v>0</v>
      </c>
    </row>
    <row r="6" spans="1:34" hidden="1" x14ac:dyDescent="0.25">
      <c r="A6" s="2">
        <v>28676</v>
      </c>
      <c r="B6" s="13" t="s">
        <v>48</v>
      </c>
      <c r="C6" s="14" t="s">
        <v>39</v>
      </c>
      <c r="D6" s="15">
        <v>45321</v>
      </c>
      <c r="E6" s="2">
        <v>0</v>
      </c>
      <c r="F6" s="14" t="s">
        <v>57</v>
      </c>
      <c r="G6" t="s">
        <v>58</v>
      </c>
      <c r="H6" s="14" t="s">
        <v>42</v>
      </c>
      <c r="I6" s="2">
        <v>1</v>
      </c>
      <c r="J6" s="2">
        <v>0</v>
      </c>
      <c r="K6" s="2">
        <v>0</v>
      </c>
      <c r="L6" s="2"/>
      <c r="M6" s="2">
        <v>0</v>
      </c>
      <c r="N6" s="14"/>
      <c r="O6" s="14"/>
      <c r="P6" s="2">
        <v>146</v>
      </c>
      <c r="Q6" s="2">
        <v>146</v>
      </c>
      <c r="R6" s="2">
        <v>119.56</v>
      </c>
      <c r="S6">
        <f t="shared" si="0"/>
        <v>119.56</v>
      </c>
      <c r="T6" t="s">
        <v>151</v>
      </c>
      <c r="U6" s="1">
        <f t="shared" si="1"/>
        <v>2.1151999999999997</v>
      </c>
      <c r="Y6" s="14" t="s">
        <v>2385</v>
      </c>
      <c r="Z6" t="s">
        <v>44</v>
      </c>
      <c r="AA6" s="17">
        <v>8.5000000000000006E-2</v>
      </c>
      <c r="AB6" s="18">
        <v>0.04</v>
      </c>
      <c r="AD6" s="19">
        <v>28676</v>
      </c>
      <c r="AE6">
        <v>17.440800000000007</v>
      </c>
      <c r="AG6">
        <v>28676</v>
      </c>
      <c r="AH6" s="1">
        <v>17.440800000000007</v>
      </c>
    </row>
    <row r="7" spans="1:34" hidden="1" x14ac:dyDescent="0.25">
      <c r="A7" s="2">
        <v>28676</v>
      </c>
      <c r="B7" s="13" t="s">
        <v>48</v>
      </c>
      <c r="C7" s="14" t="s">
        <v>39</v>
      </c>
      <c r="D7" s="15">
        <v>45321</v>
      </c>
      <c r="E7" s="2">
        <v>0</v>
      </c>
      <c r="F7" s="14" t="s">
        <v>59</v>
      </c>
      <c r="G7" t="s">
        <v>60</v>
      </c>
      <c r="H7" s="14" t="s">
        <v>42</v>
      </c>
      <c r="I7" s="2">
        <v>1</v>
      </c>
      <c r="J7" s="2">
        <v>0</v>
      </c>
      <c r="K7" s="2">
        <v>0</v>
      </c>
      <c r="L7" s="2"/>
      <c r="M7" s="2">
        <v>0</v>
      </c>
      <c r="N7" s="14"/>
      <c r="O7" s="14"/>
      <c r="P7" s="2">
        <v>194</v>
      </c>
      <c r="Q7" s="2">
        <v>194</v>
      </c>
      <c r="R7" s="2">
        <v>158.78</v>
      </c>
      <c r="S7">
        <f t="shared" si="0"/>
        <v>158.78</v>
      </c>
      <c r="T7" t="s">
        <v>151</v>
      </c>
      <c r="U7" s="1">
        <f t="shared" si="1"/>
        <v>2.8176000000000001</v>
      </c>
      <c r="Y7" s="16" t="s">
        <v>61</v>
      </c>
      <c r="Z7" t="s">
        <v>62</v>
      </c>
      <c r="AA7" s="17">
        <v>0</v>
      </c>
      <c r="AB7" s="18">
        <v>0</v>
      </c>
      <c r="AD7" s="19">
        <v>28734</v>
      </c>
      <c r="AE7">
        <v>0</v>
      </c>
      <c r="AG7">
        <v>28734</v>
      </c>
      <c r="AH7" s="1">
        <v>0</v>
      </c>
    </row>
    <row r="8" spans="1:34" hidden="1" x14ac:dyDescent="0.25">
      <c r="A8" s="2">
        <v>28734</v>
      </c>
      <c r="B8" s="13" t="s">
        <v>63</v>
      </c>
      <c r="C8" s="14" t="s">
        <v>39</v>
      </c>
      <c r="D8" s="15">
        <v>45300</v>
      </c>
      <c r="E8" s="2">
        <v>0</v>
      </c>
      <c r="F8" s="14" t="s">
        <v>64</v>
      </c>
      <c r="G8" t="s">
        <v>65</v>
      </c>
      <c r="H8" s="14" t="s">
        <v>42</v>
      </c>
      <c r="I8" s="2">
        <v>1</v>
      </c>
      <c r="J8" s="2">
        <v>0</v>
      </c>
      <c r="K8" s="2">
        <v>0</v>
      </c>
      <c r="L8" s="2"/>
      <c r="M8" s="2">
        <v>0</v>
      </c>
      <c r="N8" s="14"/>
      <c r="O8" s="14"/>
      <c r="P8" s="2">
        <v>179</v>
      </c>
      <c r="Q8" s="2">
        <v>179</v>
      </c>
      <c r="R8" s="2">
        <v>173.91</v>
      </c>
      <c r="S8">
        <f t="shared" si="0"/>
        <v>173.91</v>
      </c>
      <c r="T8" t="s">
        <v>61</v>
      </c>
      <c r="U8" s="1">
        <f t="shared" si="1"/>
        <v>0</v>
      </c>
      <c r="Y8" s="16" t="s">
        <v>66</v>
      </c>
      <c r="Z8" t="s">
        <v>62</v>
      </c>
      <c r="AA8" s="17">
        <v>0</v>
      </c>
      <c r="AB8" s="18">
        <v>0</v>
      </c>
      <c r="AD8" s="19">
        <v>28945</v>
      </c>
      <c r="AE8">
        <v>226.75920000000002</v>
      </c>
      <c r="AG8">
        <v>28945</v>
      </c>
      <c r="AH8" s="1">
        <v>226.75920000000002</v>
      </c>
    </row>
    <row r="9" spans="1:34" hidden="1" x14ac:dyDescent="0.25">
      <c r="A9" s="2">
        <v>28945</v>
      </c>
      <c r="B9" s="13" t="s">
        <v>67</v>
      </c>
      <c r="C9" s="14" t="s">
        <v>39</v>
      </c>
      <c r="D9" s="15">
        <v>45296</v>
      </c>
      <c r="E9" s="2">
        <v>180</v>
      </c>
      <c r="F9" s="14" t="s">
        <v>68</v>
      </c>
      <c r="G9" t="s">
        <v>69</v>
      </c>
      <c r="H9" s="14" t="s">
        <v>42</v>
      </c>
      <c r="I9" s="2">
        <v>1</v>
      </c>
      <c r="J9" s="2">
        <v>0</v>
      </c>
      <c r="K9" s="2">
        <v>0</v>
      </c>
      <c r="L9" s="2"/>
      <c r="M9" s="2">
        <v>0</v>
      </c>
      <c r="N9" s="14"/>
      <c r="O9" s="14"/>
      <c r="P9" s="2">
        <v>2160</v>
      </c>
      <c r="Q9" s="2">
        <v>2160</v>
      </c>
      <c r="R9" s="2">
        <v>1944</v>
      </c>
      <c r="S9">
        <f t="shared" si="0"/>
        <v>1944</v>
      </c>
      <c r="T9" t="s">
        <v>132</v>
      </c>
      <c r="U9" s="1">
        <f t="shared" si="1"/>
        <v>17.28</v>
      </c>
      <c r="Y9" s="16" t="s">
        <v>70</v>
      </c>
      <c r="Z9" t="s">
        <v>71</v>
      </c>
      <c r="AA9" s="20">
        <v>0</v>
      </c>
      <c r="AB9" s="21">
        <v>0</v>
      </c>
      <c r="AD9" s="19">
        <v>29885</v>
      </c>
      <c r="AE9">
        <v>17.248000000000001</v>
      </c>
      <c r="AG9">
        <v>29885</v>
      </c>
      <c r="AH9" s="1">
        <v>17.248000000000001</v>
      </c>
    </row>
    <row r="10" spans="1:34" hidden="1" x14ac:dyDescent="0.25">
      <c r="A10" s="2">
        <v>28945</v>
      </c>
      <c r="B10" s="13" t="s">
        <v>67</v>
      </c>
      <c r="C10" s="14" t="s">
        <v>39</v>
      </c>
      <c r="D10" s="15">
        <v>45296</v>
      </c>
      <c r="E10" s="2">
        <v>180</v>
      </c>
      <c r="F10" s="14" t="s">
        <v>72</v>
      </c>
      <c r="G10" t="s">
        <v>73</v>
      </c>
      <c r="H10" s="14" t="s">
        <v>42</v>
      </c>
      <c r="I10" s="2">
        <v>1</v>
      </c>
      <c r="J10" s="2">
        <v>0</v>
      </c>
      <c r="K10" s="2">
        <v>0</v>
      </c>
      <c r="L10" s="2"/>
      <c r="M10" s="2">
        <v>0</v>
      </c>
      <c r="N10" s="14"/>
      <c r="O10" s="14"/>
      <c r="P10" s="2">
        <v>1866.67</v>
      </c>
      <c r="Q10" s="2">
        <v>1866.67</v>
      </c>
      <c r="R10" s="2">
        <v>1680</v>
      </c>
      <c r="S10">
        <f t="shared" si="0"/>
        <v>1680</v>
      </c>
      <c r="T10" t="s">
        <v>132</v>
      </c>
      <c r="U10" s="1">
        <f t="shared" si="1"/>
        <v>14.933600000000006</v>
      </c>
      <c r="Y10" s="16" t="s">
        <v>74</v>
      </c>
      <c r="Z10" t="s">
        <v>71</v>
      </c>
      <c r="AA10" s="20">
        <v>0</v>
      </c>
      <c r="AB10" s="21">
        <v>0</v>
      </c>
      <c r="AD10" s="19">
        <v>29991</v>
      </c>
      <c r="AE10">
        <v>0</v>
      </c>
      <c r="AG10">
        <v>29991</v>
      </c>
      <c r="AH10" s="1">
        <v>0</v>
      </c>
    </row>
    <row r="11" spans="1:34" hidden="1" x14ac:dyDescent="0.25">
      <c r="A11" s="2">
        <v>28945</v>
      </c>
      <c r="B11" s="13" t="s">
        <v>67</v>
      </c>
      <c r="C11" s="14" t="s">
        <v>39</v>
      </c>
      <c r="D11" s="15">
        <v>45296</v>
      </c>
      <c r="E11" s="2">
        <v>180</v>
      </c>
      <c r="F11" s="14" t="s">
        <v>75</v>
      </c>
      <c r="G11" t="s">
        <v>76</v>
      </c>
      <c r="H11" s="14" t="s">
        <v>42</v>
      </c>
      <c r="I11" s="2">
        <v>5</v>
      </c>
      <c r="J11" s="2">
        <v>0</v>
      </c>
      <c r="K11" s="2">
        <v>0</v>
      </c>
      <c r="L11" s="2"/>
      <c r="M11" s="2">
        <v>0</v>
      </c>
      <c r="N11" s="14"/>
      <c r="O11" s="14"/>
      <c r="P11" s="2">
        <v>183.33</v>
      </c>
      <c r="Q11" s="2">
        <v>916.65</v>
      </c>
      <c r="R11" s="2">
        <v>165</v>
      </c>
      <c r="S11">
        <f t="shared" si="0"/>
        <v>825</v>
      </c>
      <c r="T11" t="s">
        <v>132</v>
      </c>
      <c r="U11" s="1">
        <f t="shared" si="1"/>
        <v>7.3319999999999981</v>
      </c>
      <c r="Y11" s="16" t="s">
        <v>77</v>
      </c>
      <c r="Z11" t="s">
        <v>71</v>
      </c>
      <c r="AA11" s="20">
        <v>0</v>
      </c>
      <c r="AB11" s="21">
        <v>0</v>
      </c>
      <c r="AD11" s="19">
        <v>30198</v>
      </c>
      <c r="AE11">
        <v>0</v>
      </c>
      <c r="AG11">
        <v>30198</v>
      </c>
      <c r="AH11" s="1">
        <v>0</v>
      </c>
    </row>
    <row r="12" spans="1:34" hidden="1" x14ac:dyDescent="0.25">
      <c r="A12" s="2">
        <v>28945</v>
      </c>
      <c r="B12" s="13" t="s">
        <v>67</v>
      </c>
      <c r="C12" s="14" t="s">
        <v>39</v>
      </c>
      <c r="D12" s="15">
        <v>45296</v>
      </c>
      <c r="E12" s="2">
        <v>180</v>
      </c>
      <c r="F12" s="14" t="s">
        <v>78</v>
      </c>
      <c r="G12" t="s">
        <v>79</v>
      </c>
      <c r="H12" s="14" t="s">
        <v>42</v>
      </c>
      <c r="I12" s="2">
        <v>1</v>
      </c>
      <c r="J12" s="2">
        <v>0</v>
      </c>
      <c r="K12" s="2">
        <v>0</v>
      </c>
      <c r="L12" s="2"/>
      <c r="M12" s="2">
        <v>0</v>
      </c>
      <c r="N12" s="14"/>
      <c r="O12" s="14"/>
      <c r="P12" s="2">
        <v>666.67</v>
      </c>
      <c r="Q12" s="2">
        <v>666.67</v>
      </c>
      <c r="R12" s="2">
        <v>600</v>
      </c>
      <c r="S12">
        <f t="shared" si="0"/>
        <v>600</v>
      </c>
      <c r="T12" t="s">
        <v>132</v>
      </c>
      <c r="U12" s="1">
        <f t="shared" si="1"/>
        <v>5.333599999999997</v>
      </c>
      <c r="Y12" s="16" t="s">
        <v>80</v>
      </c>
      <c r="Z12" t="s">
        <v>81</v>
      </c>
      <c r="AA12" s="17">
        <v>0.04</v>
      </c>
      <c r="AB12" s="18">
        <v>0.04</v>
      </c>
      <c r="AD12" s="19">
        <v>30511</v>
      </c>
      <c r="AE12">
        <v>0</v>
      </c>
      <c r="AG12">
        <v>30511</v>
      </c>
      <c r="AH12" s="1">
        <v>0</v>
      </c>
    </row>
    <row r="13" spans="1:34" hidden="1" x14ac:dyDescent="0.25">
      <c r="A13" s="2">
        <v>28945</v>
      </c>
      <c r="B13" s="13" t="s">
        <v>67</v>
      </c>
      <c r="C13" s="14" t="s">
        <v>39</v>
      </c>
      <c r="D13" s="15">
        <v>45296</v>
      </c>
      <c r="E13" s="2">
        <v>180</v>
      </c>
      <c r="F13" s="14" t="s">
        <v>82</v>
      </c>
      <c r="G13" t="s">
        <v>83</v>
      </c>
      <c r="H13" s="14" t="s">
        <v>42</v>
      </c>
      <c r="I13" s="2">
        <v>7</v>
      </c>
      <c r="J13" s="2">
        <v>0</v>
      </c>
      <c r="K13" s="2">
        <v>0</v>
      </c>
      <c r="L13" s="2"/>
      <c r="M13" s="2">
        <v>0</v>
      </c>
      <c r="N13" s="14"/>
      <c r="O13" s="14"/>
      <c r="P13" s="2" t="s">
        <v>1876</v>
      </c>
      <c r="Q13" s="2">
        <v>252</v>
      </c>
      <c r="R13" s="2">
        <v>30</v>
      </c>
      <c r="S13">
        <f t="shared" si="0"/>
        <v>210</v>
      </c>
      <c r="T13" t="s">
        <v>132</v>
      </c>
      <c r="U13" s="1">
        <f t="shared" si="1"/>
        <v>3.36</v>
      </c>
      <c r="Y13" s="16" t="s">
        <v>84</v>
      </c>
      <c r="Z13" t="s">
        <v>81</v>
      </c>
      <c r="AA13" s="17">
        <v>0.04</v>
      </c>
      <c r="AB13" s="18">
        <v>0.04</v>
      </c>
      <c r="AD13" s="19">
        <v>31651</v>
      </c>
      <c r="AE13">
        <v>0</v>
      </c>
      <c r="AG13">
        <v>31651</v>
      </c>
      <c r="AH13" s="1">
        <v>0</v>
      </c>
    </row>
    <row r="14" spans="1:34" hidden="1" x14ac:dyDescent="0.25">
      <c r="A14" s="2">
        <v>28945</v>
      </c>
      <c r="B14" s="13" t="s">
        <v>67</v>
      </c>
      <c r="C14" s="14" t="s">
        <v>39</v>
      </c>
      <c r="D14" s="15">
        <v>45296</v>
      </c>
      <c r="E14" s="2">
        <v>180</v>
      </c>
      <c r="F14" s="14" t="s">
        <v>85</v>
      </c>
      <c r="G14" t="s">
        <v>86</v>
      </c>
      <c r="H14" s="14" t="s">
        <v>42</v>
      </c>
      <c r="I14" s="2">
        <v>1</v>
      </c>
      <c r="J14" s="2">
        <v>0</v>
      </c>
      <c r="K14" s="2">
        <v>0</v>
      </c>
      <c r="L14" s="2"/>
      <c r="M14" s="2">
        <v>0</v>
      </c>
      <c r="N14" s="14"/>
      <c r="O14" s="14"/>
      <c r="P14" s="2">
        <v>1200</v>
      </c>
      <c r="Q14" s="2">
        <v>1200</v>
      </c>
      <c r="R14" s="2">
        <v>1080</v>
      </c>
      <c r="S14">
        <f t="shared" si="0"/>
        <v>1080</v>
      </c>
      <c r="T14" t="s">
        <v>132</v>
      </c>
      <c r="U14" s="1">
        <f>_xlfn.XLOOKUP(T14,$Y$2:$Y$45,$AA$2:$AA$45)*(Q14-S14)</f>
        <v>9.6</v>
      </c>
      <c r="Y14" s="16" t="s">
        <v>87</v>
      </c>
      <c r="Z14" t="s">
        <v>81</v>
      </c>
      <c r="AA14" s="17">
        <v>0.04</v>
      </c>
      <c r="AB14" s="18">
        <v>0.04</v>
      </c>
      <c r="AD14" s="19">
        <v>32824</v>
      </c>
      <c r="AE14">
        <v>24</v>
      </c>
      <c r="AG14">
        <v>32824</v>
      </c>
      <c r="AH14" s="1">
        <v>24</v>
      </c>
    </row>
    <row r="15" spans="1:34" hidden="1" x14ac:dyDescent="0.25">
      <c r="A15" s="2">
        <v>28945</v>
      </c>
      <c r="B15" s="13" t="s">
        <v>67</v>
      </c>
      <c r="C15" s="14" t="s">
        <v>39</v>
      </c>
      <c r="D15" s="15">
        <v>45296</v>
      </c>
      <c r="E15" s="2">
        <v>180</v>
      </c>
      <c r="F15" s="14" t="s">
        <v>88</v>
      </c>
      <c r="G15" t="s">
        <v>89</v>
      </c>
      <c r="H15" s="14" t="s">
        <v>42</v>
      </c>
      <c r="I15" s="2">
        <v>1</v>
      </c>
      <c r="J15" s="2">
        <v>0</v>
      </c>
      <c r="K15" s="2">
        <v>0</v>
      </c>
      <c r="L15" s="2"/>
      <c r="M15" s="2">
        <v>0</v>
      </c>
      <c r="N15" s="14"/>
      <c r="O15" s="14"/>
      <c r="P15" s="2">
        <v>40</v>
      </c>
      <c r="Q15" s="2">
        <v>40</v>
      </c>
      <c r="R15" s="2">
        <v>36</v>
      </c>
      <c r="S15">
        <f t="shared" si="0"/>
        <v>36</v>
      </c>
      <c r="T15" t="s">
        <v>132</v>
      </c>
      <c r="U15" s="1">
        <f t="shared" si="1"/>
        <v>0.32</v>
      </c>
      <c r="Y15" s="16" t="s">
        <v>90</v>
      </c>
      <c r="Z15" t="s">
        <v>81</v>
      </c>
      <c r="AA15" s="17">
        <v>0.04</v>
      </c>
      <c r="AB15" s="18">
        <v>0.04</v>
      </c>
      <c r="AD15" s="19">
        <v>32826</v>
      </c>
      <c r="AE15">
        <v>0</v>
      </c>
      <c r="AG15">
        <v>32826</v>
      </c>
      <c r="AH15" s="1">
        <v>0</v>
      </c>
    </row>
    <row r="16" spans="1:34" x14ac:dyDescent="0.25">
      <c r="A16" s="2">
        <v>28945</v>
      </c>
      <c r="B16" s="13" t="s">
        <v>67</v>
      </c>
      <c r="C16" s="14" t="s">
        <v>39</v>
      </c>
      <c r="D16" s="15">
        <v>45296</v>
      </c>
      <c r="E16" s="2">
        <v>180</v>
      </c>
      <c r="F16" s="14" t="s">
        <v>91</v>
      </c>
      <c r="G16" t="s">
        <v>92</v>
      </c>
      <c r="H16" s="14" t="s">
        <v>93</v>
      </c>
      <c r="I16" s="2">
        <v>1</v>
      </c>
      <c r="J16" s="2">
        <v>0</v>
      </c>
      <c r="K16" s="2">
        <v>0</v>
      </c>
      <c r="L16" s="2"/>
      <c r="M16" s="2">
        <v>0</v>
      </c>
      <c r="N16" s="14"/>
      <c r="O16" s="14"/>
      <c r="P16" s="2">
        <v>2845</v>
      </c>
      <c r="Q16" s="2">
        <v>2845</v>
      </c>
      <c r="R16" s="2">
        <v>2560</v>
      </c>
      <c r="S16">
        <f t="shared" si="0"/>
        <v>2560</v>
      </c>
      <c r="T16" t="s">
        <v>132</v>
      </c>
      <c r="U16">
        <f>_xlfn.XLOOKUP(T16,$Y$2:$Y$45,$AB$2:$AB$45)*(Q16)</f>
        <v>113.8</v>
      </c>
      <c r="Y16" s="16" t="s">
        <v>94</v>
      </c>
      <c r="Z16" t="s">
        <v>81</v>
      </c>
      <c r="AA16" s="17">
        <v>0.04</v>
      </c>
      <c r="AB16" s="18">
        <v>0.04</v>
      </c>
      <c r="AD16" s="19">
        <v>33617</v>
      </c>
      <c r="AE16">
        <v>3.12</v>
      </c>
      <c r="AG16">
        <v>33617</v>
      </c>
      <c r="AH16" s="1">
        <v>3.12</v>
      </c>
    </row>
    <row r="17" spans="1:34" x14ac:dyDescent="0.25">
      <c r="A17" s="2">
        <v>28945</v>
      </c>
      <c r="B17" s="13" t="s">
        <v>67</v>
      </c>
      <c r="C17" s="14" t="s">
        <v>39</v>
      </c>
      <c r="D17" s="15">
        <v>45296</v>
      </c>
      <c r="E17" s="2">
        <v>180</v>
      </c>
      <c r="F17" s="14" t="s">
        <v>95</v>
      </c>
      <c r="G17" t="s">
        <v>96</v>
      </c>
      <c r="H17" s="14" t="s">
        <v>93</v>
      </c>
      <c r="I17" s="2">
        <v>5</v>
      </c>
      <c r="J17" s="2">
        <v>0</v>
      </c>
      <c r="K17" s="2">
        <v>0</v>
      </c>
      <c r="L17" s="2"/>
      <c r="M17" s="2">
        <v>0</v>
      </c>
      <c r="N17" s="14"/>
      <c r="O17" s="14"/>
      <c r="P17" s="2">
        <v>250</v>
      </c>
      <c r="Q17" s="2">
        <v>1250</v>
      </c>
      <c r="R17" s="2">
        <v>0</v>
      </c>
      <c r="S17">
        <f t="shared" si="0"/>
        <v>0</v>
      </c>
      <c r="T17" t="s">
        <v>132</v>
      </c>
      <c r="U17">
        <f>_xlfn.XLOOKUP(T17,$Y$2:$Y$45,$AB$2:$AB$45)*(Q17)</f>
        <v>50</v>
      </c>
      <c r="Y17" s="16" t="s">
        <v>97</v>
      </c>
      <c r="Z17" t="s">
        <v>81</v>
      </c>
      <c r="AA17" s="17">
        <v>0.04</v>
      </c>
      <c r="AB17" s="18">
        <v>0.04</v>
      </c>
      <c r="AD17" s="19">
        <v>34261</v>
      </c>
      <c r="AE17">
        <v>0</v>
      </c>
      <c r="AG17">
        <v>34261</v>
      </c>
      <c r="AH17" s="1">
        <v>0</v>
      </c>
    </row>
    <row r="18" spans="1:34" hidden="1" x14ac:dyDescent="0.25">
      <c r="A18" s="2">
        <v>28945</v>
      </c>
      <c r="B18" s="13" t="s">
        <v>67</v>
      </c>
      <c r="C18" s="14" t="s">
        <v>39</v>
      </c>
      <c r="D18" s="15">
        <v>45296</v>
      </c>
      <c r="E18" s="2">
        <v>180</v>
      </c>
      <c r="F18" s="14" t="s">
        <v>98</v>
      </c>
      <c r="G18" t="s">
        <v>99</v>
      </c>
      <c r="H18" s="14" t="s">
        <v>42</v>
      </c>
      <c r="I18" s="2">
        <v>1</v>
      </c>
      <c r="J18" s="2">
        <v>0</v>
      </c>
      <c r="K18" s="2">
        <v>0</v>
      </c>
      <c r="L18" s="2"/>
      <c r="M18" s="2">
        <v>0</v>
      </c>
      <c r="N18" s="14"/>
      <c r="O18" s="14"/>
      <c r="P18" s="2">
        <v>600</v>
      </c>
      <c r="Q18" s="2">
        <v>600</v>
      </c>
      <c r="R18" s="2">
        <v>540</v>
      </c>
      <c r="S18">
        <f t="shared" si="0"/>
        <v>540</v>
      </c>
      <c r="T18" t="s">
        <v>132</v>
      </c>
      <c r="U18" s="1">
        <f>_xlfn.XLOOKUP(T18,$Y$2:$Y$45,$AA$2:$AA$45)*(Q18-S18)</f>
        <v>4.8</v>
      </c>
      <c r="Y18" s="16" t="s">
        <v>100</v>
      </c>
      <c r="Z18" t="s">
        <v>81</v>
      </c>
      <c r="AA18" s="17">
        <v>0.04</v>
      </c>
      <c r="AB18" s="18">
        <v>0.04</v>
      </c>
      <c r="AD18" s="19">
        <v>34973</v>
      </c>
      <c r="AE18">
        <v>17.495200000000004</v>
      </c>
      <c r="AG18">
        <v>34973</v>
      </c>
      <c r="AH18" s="1">
        <v>17.495200000000004</v>
      </c>
    </row>
    <row r="19" spans="1:34" hidden="1" x14ac:dyDescent="0.25">
      <c r="A19" s="2">
        <v>29885</v>
      </c>
      <c r="B19" s="13" t="s">
        <v>101</v>
      </c>
      <c r="C19" s="14" t="s">
        <v>39</v>
      </c>
      <c r="D19" s="15">
        <v>45301</v>
      </c>
      <c r="E19" s="2">
        <v>308</v>
      </c>
      <c r="F19" s="14" t="s">
        <v>102</v>
      </c>
      <c r="G19" t="s">
        <v>103</v>
      </c>
      <c r="H19" s="14" t="s">
        <v>104</v>
      </c>
      <c r="I19" s="2">
        <v>14</v>
      </c>
      <c r="J19" s="2">
        <v>2</v>
      </c>
      <c r="K19" s="2">
        <v>0.25</v>
      </c>
      <c r="L19" s="2"/>
      <c r="M19" s="2">
        <v>28</v>
      </c>
      <c r="N19" s="14"/>
      <c r="O19" s="14"/>
      <c r="P19" s="2">
        <v>2.8</v>
      </c>
      <c r="Q19" s="2">
        <v>39.200000000000003</v>
      </c>
      <c r="R19" s="2">
        <v>0</v>
      </c>
      <c r="S19">
        <f t="shared" si="0"/>
        <v>0</v>
      </c>
      <c r="T19" t="s">
        <v>1874</v>
      </c>
      <c r="U19">
        <f>_xlfn.XLOOKUP(T19,$Y$2:$Y$45,$AB$2:$AB$45)*(Q19)</f>
        <v>1.5680000000000001</v>
      </c>
      <c r="Y19" s="16" t="s">
        <v>105</v>
      </c>
      <c r="Z19" t="s">
        <v>81</v>
      </c>
      <c r="AA19" s="17">
        <v>0.04</v>
      </c>
      <c r="AB19" s="18">
        <v>0.04</v>
      </c>
      <c r="AD19" s="19">
        <v>35605</v>
      </c>
      <c r="AE19">
        <v>477.98079999999987</v>
      </c>
      <c r="AG19">
        <v>35605</v>
      </c>
      <c r="AH19" s="1">
        <v>477.98079999999987</v>
      </c>
    </row>
    <row r="20" spans="1:34" hidden="1" x14ac:dyDescent="0.25">
      <c r="A20" s="2">
        <v>29885</v>
      </c>
      <c r="B20" s="13" t="s">
        <v>101</v>
      </c>
      <c r="C20" s="14" t="s">
        <v>39</v>
      </c>
      <c r="D20" s="15">
        <v>45301</v>
      </c>
      <c r="E20" s="2">
        <v>308</v>
      </c>
      <c r="F20" s="14" t="s">
        <v>102</v>
      </c>
      <c r="G20" t="s">
        <v>106</v>
      </c>
      <c r="H20" s="14" t="s">
        <v>104</v>
      </c>
      <c r="I20" s="2">
        <v>130</v>
      </c>
      <c r="J20" s="2">
        <v>2</v>
      </c>
      <c r="K20" s="2">
        <v>0.25</v>
      </c>
      <c r="L20" s="2"/>
      <c r="M20" s="2">
        <v>260</v>
      </c>
      <c r="N20" s="14"/>
      <c r="O20" s="14"/>
      <c r="P20" s="2">
        <v>2.8</v>
      </c>
      <c r="Q20" s="2">
        <v>364</v>
      </c>
      <c r="R20" s="2">
        <v>0</v>
      </c>
      <c r="S20">
        <f t="shared" si="0"/>
        <v>0</v>
      </c>
      <c r="T20" t="s">
        <v>1874</v>
      </c>
      <c r="U20">
        <f>_xlfn.XLOOKUP(T20,$Y$2:$Y$45,$AB$2:$AB$45)*(Q20)</f>
        <v>14.56</v>
      </c>
      <c r="Y20" s="16" t="s">
        <v>107</v>
      </c>
      <c r="Z20" t="s">
        <v>81</v>
      </c>
      <c r="AA20" s="17">
        <v>0.04</v>
      </c>
      <c r="AB20" s="18">
        <v>0.04</v>
      </c>
      <c r="AD20" s="19">
        <v>36211</v>
      </c>
      <c r="AE20">
        <v>476.08</v>
      </c>
      <c r="AG20">
        <v>36211</v>
      </c>
      <c r="AH20" s="1">
        <v>476.08</v>
      </c>
    </row>
    <row r="21" spans="1:34" hidden="1" x14ac:dyDescent="0.25">
      <c r="A21" s="2">
        <v>29885</v>
      </c>
      <c r="B21" s="13" t="s">
        <v>101</v>
      </c>
      <c r="C21" s="14" t="s">
        <v>39</v>
      </c>
      <c r="D21" s="15">
        <v>45301</v>
      </c>
      <c r="E21" s="2">
        <v>308</v>
      </c>
      <c r="F21" s="14" t="s">
        <v>108</v>
      </c>
      <c r="G21" t="s">
        <v>109</v>
      </c>
      <c r="H21" s="14" t="s">
        <v>104</v>
      </c>
      <c r="I21" s="2">
        <v>10</v>
      </c>
      <c r="J21" s="2">
        <v>2</v>
      </c>
      <c r="K21" s="2">
        <v>0.25</v>
      </c>
      <c r="L21" s="2"/>
      <c r="M21" s="2">
        <v>20</v>
      </c>
      <c r="N21" s="14"/>
      <c r="O21" s="14"/>
      <c r="P21" s="2">
        <v>2.8</v>
      </c>
      <c r="Q21" s="2">
        <v>28</v>
      </c>
      <c r="R21" s="2">
        <v>0</v>
      </c>
      <c r="S21">
        <f t="shared" si="0"/>
        <v>0</v>
      </c>
      <c r="T21" t="s">
        <v>1874</v>
      </c>
      <c r="U21">
        <f>_xlfn.XLOOKUP(T21,$Y$2:$Y$45,$AB$2:$AB$45)*(Q21)</f>
        <v>1.1200000000000001</v>
      </c>
      <c r="Y21" s="16" t="s">
        <v>110</v>
      </c>
      <c r="Z21" t="s">
        <v>81</v>
      </c>
      <c r="AA21" s="17">
        <v>0.04</v>
      </c>
      <c r="AB21" s="18">
        <v>0.04</v>
      </c>
      <c r="AD21" s="19">
        <v>36314</v>
      </c>
      <c r="AE21">
        <v>565.5551999999999</v>
      </c>
      <c r="AG21">
        <v>36314</v>
      </c>
      <c r="AH21" s="1">
        <v>565.5551999999999</v>
      </c>
    </row>
    <row r="22" spans="1:34" hidden="1" x14ac:dyDescent="0.25">
      <c r="A22" s="2">
        <v>29991</v>
      </c>
      <c r="B22" s="13" t="s">
        <v>111</v>
      </c>
      <c r="C22" s="14" t="s">
        <v>39</v>
      </c>
      <c r="D22" s="15">
        <v>45298</v>
      </c>
      <c r="E22" s="2">
        <v>0</v>
      </c>
      <c r="F22" s="14" t="s">
        <v>112</v>
      </c>
      <c r="G22" t="s">
        <v>113</v>
      </c>
      <c r="H22" s="14" t="s">
        <v>42</v>
      </c>
      <c r="I22" s="2">
        <v>5</v>
      </c>
      <c r="J22" s="2">
        <v>0</v>
      </c>
      <c r="K22" s="2">
        <v>0</v>
      </c>
      <c r="L22" s="2"/>
      <c r="M22" s="2">
        <v>0</v>
      </c>
      <c r="N22" s="14"/>
      <c r="O22" s="14"/>
      <c r="P22" s="2">
        <v>136</v>
      </c>
      <c r="Q22" s="2">
        <v>680</v>
      </c>
      <c r="R22" s="2">
        <v>117.67</v>
      </c>
      <c r="S22">
        <f t="shared" si="0"/>
        <v>588.35</v>
      </c>
      <c r="T22" t="s">
        <v>61</v>
      </c>
      <c r="U22" s="1">
        <f>_xlfn.XLOOKUP(T22,$Y$2:$Y$45,$AA$2:$AA$45)*(Q22-S22)</f>
        <v>0</v>
      </c>
      <c r="Y22" s="16" t="s">
        <v>2386</v>
      </c>
      <c r="Z22" t="s">
        <v>81</v>
      </c>
      <c r="AA22" s="17">
        <v>0.04</v>
      </c>
      <c r="AB22" s="18">
        <v>0.04</v>
      </c>
      <c r="AD22" s="19">
        <v>36335</v>
      </c>
      <c r="AE22">
        <v>13.536000000000003</v>
      </c>
      <c r="AG22">
        <v>36335</v>
      </c>
      <c r="AH22" s="1">
        <v>13.536000000000003</v>
      </c>
    </row>
    <row r="23" spans="1:34" hidden="1" x14ac:dyDescent="0.25">
      <c r="A23" s="2">
        <v>30198</v>
      </c>
      <c r="B23" s="13" t="s">
        <v>114</v>
      </c>
      <c r="C23" s="14" t="s">
        <v>39</v>
      </c>
      <c r="D23" s="15">
        <v>45320</v>
      </c>
      <c r="E23" s="2">
        <v>0</v>
      </c>
      <c r="F23" s="14" t="s">
        <v>115</v>
      </c>
      <c r="G23" t="s">
        <v>116</v>
      </c>
      <c r="H23" s="14" t="s">
        <v>42</v>
      </c>
      <c r="I23" s="2">
        <v>1</v>
      </c>
      <c r="J23" s="2">
        <v>0</v>
      </c>
      <c r="K23" s="2">
        <v>0</v>
      </c>
      <c r="L23" s="2"/>
      <c r="M23" s="2">
        <v>0</v>
      </c>
      <c r="N23" s="14"/>
      <c r="O23" s="14"/>
      <c r="P23" s="2">
        <v>84</v>
      </c>
      <c r="Q23" s="2">
        <v>84</v>
      </c>
      <c r="R23" s="2">
        <v>67.67</v>
      </c>
      <c r="S23">
        <f t="shared" si="0"/>
        <v>67.67</v>
      </c>
      <c r="T23" t="s">
        <v>61</v>
      </c>
      <c r="U23" s="1">
        <f>_xlfn.XLOOKUP(T23,$Y$2:$Y$45,$AA$2:$AA$45)*(Q23-S23)</f>
        <v>0</v>
      </c>
      <c r="Y23" s="16" t="s">
        <v>117</v>
      </c>
      <c r="Z23" t="s">
        <v>81</v>
      </c>
      <c r="AA23" s="17">
        <v>0.04</v>
      </c>
      <c r="AB23" s="18">
        <v>0.04</v>
      </c>
      <c r="AD23" s="19">
        <v>36364</v>
      </c>
      <c r="AE23">
        <v>22.847999999999995</v>
      </c>
      <c r="AG23">
        <v>36364</v>
      </c>
      <c r="AH23" s="1">
        <v>22.847999999999995</v>
      </c>
    </row>
    <row r="24" spans="1:34" hidden="1" x14ac:dyDescent="0.25">
      <c r="A24" s="2">
        <v>30511</v>
      </c>
      <c r="B24" s="13" t="s">
        <v>118</v>
      </c>
      <c r="C24" s="14" t="s">
        <v>39</v>
      </c>
      <c r="D24" s="15">
        <v>45315</v>
      </c>
      <c r="E24" s="2">
        <v>0</v>
      </c>
      <c r="F24" s="14" t="s">
        <v>119</v>
      </c>
      <c r="G24" t="s">
        <v>120</v>
      </c>
      <c r="H24" s="14" t="s">
        <v>42</v>
      </c>
      <c r="I24" s="2">
        <v>4</v>
      </c>
      <c r="J24" s="2">
        <v>0</v>
      </c>
      <c r="K24" s="2">
        <v>0</v>
      </c>
      <c r="L24" s="2"/>
      <c r="M24" s="2">
        <v>0</v>
      </c>
      <c r="N24" s="14"/>
      <c r="O24" s="14"/>
      <c r="P24" s="2">
        <v>83</v>
      </c>
      <c r="Q24" s="2">
        <v>332</v>
      </c>
      <c r="R24" s="2">
        <v>67.45</v>
      </c>
      <c r="S24">
        <f t="shared" si="0"/>
        <v>269.8</v>
      </c>
      <c r="T24" t="s">
        <v>61</v>
      </c>
      <c r="U24" s="1">
        <f>_xlfn.XLOOKUP(T24,$Y$2:$Y$45,$AA$2:$AA$45)*(Q24-S24)</f>
        <v>0</v>
      </c>
      <c r="Y24" s="16" t="s">
        <v>121</v>
      </c>
      <c r="Z24" t="s">
        <v>81</v>
      </c>
      <c r="AA24" s="17">
        <v>0.04</v>
      </c>
      <c r="AB24" s="18">
        <v>0.04</v>
      </c>
      <c r="AD24" s="19">
        <v>36417</v>
      </c>
      <c r="AE24">
        <v>73.214400000000026</v>
      </c>
      <c r="AG24">
        <v>36417</v>
      </c>
      <c r="AH24" s="1">
        <v>73.214400000000026</v>
      </c>
    </row>
    <row r="25" spans="1:34" hidden="1" x14ac:dyDescent="0.25">
      <c r="A25" s="2">
        <v>30511</v>
      </c>
      <c r="B25" s="13" t="s">
        <v>118</v>
      </c>
      <c r="C25" s="14" t="s">
        <v>39</v>
      </c>
      <c r="D25" s="15">
        <v>45315</v>
      </c>
      <c r="E25" s="2">
        <v>0</v>
      </c>
      <c r="F25" s="14" t="s">
        <v>119</v>
      </c>
      <c r="G25" t="s">
        <v>120</v>
      </c>
      <c r="H25" s="14" t="s">
        <v>42</v>
      </c>
      <c r="I25" s="2">
        <v>9</v>
      </c>
      <c r="J25" s="2">
        <v>0</v>
      </c>
      <c r="K25" s="2">
        <v>0</v>
      </c>
      <c r="L25" s="2"/>
      <c r="M25" s="2">
        <v>0</v>
      </c>
      <c r="N25" s="14"/>
      <c r="O25" s="14"/>
      <c r="P25" s="2">
        <v>83</v>
      </c>
      <c r="Q25" s="2">
        <v>747</v>
      </c>
      <c r="R25" s="2">
        <v>67.45</v>
      </c>
      <c r="S25">
        <f t="shared" si="0"/>
        <v>607.05000000000007</v>
      </c>
      <c r="T25" t="s">
        <v>61</v>
      </c>
      <c r="U25" s="1">
        <f>_xlfn.XLOOKUP(T25,$Y$2:$Y$45,$AA$2:$AA$45)*(Q25-S25)</f>
        <v>0</v>
      </c>
      <c r="Y25" s="16" t="s">
        <v>122</v>
      </c>
      <c r="Z25" t="s">
        <v>81</v>
      </c>
      <c r="AA25" s="17">
        <v>0.04</v>
      </c>
      <c r="AB25" s="18">
        <v>0.04</v>
      </c>
      <c r="AD25" s="19">
        <v>36507</v>
      </c>
      <c r="AE25">
        <v>7.1608000000000001</v>
      </c>
      <c r="AG25">
        <v>36507</v>
      </c>
      <c r="AH25" s="1">
        <v>7.1608000000000001</v>
      </c>
    </row>
    <row r="26" spans="1:34" x14ac:dyDescent="0.25">
      <c r="A26" s="2">
        <v>31651</v>
      </c>
      <c r="B26" s="13" t="s">
        <v>123</v>
      </c>
      <c r="C26" s="14" t="s">
        <v>39</v>
      </c>
      <c r="D26" s="15">
        <v>45296</v>
      </c>
      <c r="E26" s="2">
        <v>0</v>
      </c>
      <c r="F26" s="14" t="s">
        <v>124</v>
      </c>
      <c r="G26" t="s">
        <v>125</v>
      </c>
      <c r="H26" s="14" t="s">
        <v>126</v>
      </c>
      <c r="I26" s="2">
        <v>67</v>
      </c>
      <c r="J26" s="2">
        <v>0</v>
      </c>
      <c r="K26" s="2">
        <v>0</v>
      </c>
      <c r="L26" s="2"/>
      <c r="M26" s="2">
        <v>0</v>
      </c>
      <c r="N26" s="14"/>
      <c r="O26" s="14"/>
      <c r="P26" s="2">
        <v>39</v>
      </c>
      <c r="Q26" s="2">
        <v>2613</v>
      </c>
      <c r="R26" s="2">
        <v>31.08</v>
      </c>
      <c r="S26">
        <f t="shared" si="0"/>
        <v>2082.3599999999997</v>
      </c>
      <c r="T26" t="s">
        <v>61</v>
      </c>
      <c r="U26">
        <f>_xlfn.XLOOKUP(T26,$Y$2:$Y$45,$AB$2:$AB$45)*(Q26)</f>
        <v>0</v>
      </c>
      <c r="Y26" s="16" t="s">
        <v>127</v>
      </c>
      <c r="Z26" t="s">
        <v>81</v>
      </c>
      <c r="AA26" s="17">
        <v>0.04</v>
      </c>
      <c r="AB26" s="18">
        <v>0.04</v>
      </c>
      <c r="AD26" s="19">
        <v>36636</v>
      </c>
      <c r="AE26">
        <v>0</v>
      </c>
      <c r="AG26">
        <v>36636</v>
      </c>
      <c r="AH26" s="1">
        <v>0</v>
      </c>
    </row>
    <row r="27" spans="1:34" hidden="1" x14ac:dyDescent="0.25">
      <c r="A27" s="2">
        <v>32824</v>
      </c>
      <c r="B27" s="13" t="s">
        <v>128</v>
      </c>
      <c r="C27" s="14" t="s">
        <v>39</v>
      </c>
      <c r="D27" s="15">
        <v>45302</v>
      </c>
      <c r="E27" s="2">
        <v>570</v>
      </c>
      <c r="F27" s="14" t="s">
        <v>129</v>
      </c>
      <c r="G27" t="s">
        <v>130</v>
      </c>
      <c r="H27" s="14" t="s">
        <v>131</v>
      </c>
      <c r="I27" s="2">
        <v>1</v>
      </c>
      <c r="J27" s="2">
        <v>25</v>
      </c>
      <c r="K27" s="2">
        <v>0.97</v>
      </c>
      <c r="L27" s="2"/>
      <c r="M27" s="2">
        <v>25</v>
      </c>
      <c r="N27" s="14"/>
      <c r="O27" s="14"/>
      <c r="P27" s="2">
        <v>300</v>
      </c>
      <c r="Q27" s="2">
        <v>300</v>
      </c>
      <c r="R27" s="2">
        <v>375.2</v>
      </c>
      <c r="S27">
        <f t="shared" si="0"/>
        <v>375.2</v>
      </c>
      <c r="T27" t="s">
        <v>43</v>
      </c>
      <c r="U27">
        <f>_xlfn.XLOOKUP(T27,$Y$2:$Y$45,$AB$2:$AB$45)*(Q27)</f>
        <v>12</v>
      </c>
      <c r="Y27" s="16" t="s">
        <v>132</v>
      </c>
      <c r="Z27" t="s">
        <v>133</v>
      </c>
      <c r="AA27" s="17">
        <v>0.08</v>
      </c>
      <c r="AB27" s="18">
        <v>0.04</v>
      </c>
      <c r="AD27" s="19">
        <v>36677</v>
      </c>
      <c r="AE27">
        <v>1128</v>
      </c>
      <c r="AG27">
        <v>36677</v>
      </c>
      <c r="AH27" s="1">
        <v>1128</v>
      </c>
    </row>
    <row r="28" spans="1:34" hidden="1" x14ac:dyDescent="0.25">
      <c r="A28" s="2">
        <v>32824</v>
      </c>
      <c r="B28" s="13" t="s">
        <v>128</v>
      </c>
      <c r="C28" s="14" t="s">
        <v>39</v>
      </c>
      <c r="D28" s="15">
        <v>45302</v>
      </c>
      <c r="E28" s="2">
        <v>570</v>
      </c>
      <c r="F28" s="14" t="s">
        <v>134</v>
      </c>
      <c r="G28" t="s">
        <v>135</v>
      </c>
      <c r="H28" s="14" t="s">
        <v>131</v>
      </c>
      <c r="I28" s="2">
        <v>1</v>
      </c>
      <c r="J28" s="2">
        <v>45</v>
      </c>
      <c r="K28" s="2">
        <v>0.97</v>
      </c>
      <c r="L28" s="2"/>
      <c r="M28" s="2">
        <v>45</v>
      </c>
      <c r="N28" s="14"/>
      <c r="O28" s="14"/>
      <c r="P28" s="2">
        <v>300</v>
      </c>
      <c r="Q28" s="2">
        <v>300</v>
      </c>
      <c r="R28" s="2">
        <v>542.70000000000005</v>
      </c>
      <c r="S28">
        <f t="shared" si="0"/>
        <v>542.70000000000005</v>
      </c>
      <c r="T28" t="s">
        <v>43</v>
      </c>
      <c r="U28">
        <f>_xlfn.XLOOKUP(T28,$Y$2:$Y$45,$AB$2:$AB$45)*(Q28)</f>
        <v>12</v>
      </c>
      <c r="Y28" s="16" t="s">
        <v>136</v>
      </c>
      <c r="Z28" t="s">
        <v>133</v>
      </c>
      <c r="AA28" s="17">
        <v>0.08</v>
      </c>
      <c r="AB28" s="18">
        <v>0.04</v>
      </c>
      <c r="AD28" s="19">
        <v>36780</v>
      </c>
      <c r="AE28">
        <v>14.162399999999998</v>
      </c>
      <c r="AG28">
        <v>36780</v>
      </c>
      <c r="AH28" s="1">
        <v>14.162399999999998</v>
      </c>
    </row>
    <row r="29" spans="1:34" hidden="1" x14ac:dyDescent="0.25">
      <c r="A29" s="2">
        <v>32826</v>
      </c>
      <c r="B29" s="13" t="s">
        <v>137</v>
      </c>
      <c r="C29" s="14" t="s">
        <v>39</v>
      </c>
      <c r="D29" s="15">
        <v>45293</v>
      </c>
      <c r="E29" s="2">
        <v>3289</v>
      </c>
      <c r="F29" s="14" t="s">
        <v>138</v>
      </c>
      <c r="G29" t="s">
        <v>139</v>
      </c>
      <c r="H29" s="14" t="s">
        <v>42</v>
      </c>
      <c r="I29" s="2">
        <v>1</v>
      </c>
      <c r="J29" s="2">
        <v>0</v>
      </c>
      <c r="K29" s="2">
        <v>0</v>
      </c>
      <c r="L29" s="2"/>
      <c r="M29" s="2">
        <v>0</v>
      </c>
      <c r="N29" s="14"/>
      <c r="O29" s="14"/>
      <c r="P29" s="2">
        <v>1271</v>
      </c>
      <c r="Q29" s="2">
        <v>1271</v>
      </c>
      <c r="R29" s="2">
        <v>1080</v>
      </c>
      <c r="S29">
        <f t="shared" si="0"/>
        <v>1080</v>
      </c>
      <c r="T29" t="s">
        <v>168</v>
      </c>
      <c r="U29" s="1">
        <f>_xlfn.XLOOKUP(T29,$Y$2:$Y$45,$AA$2:$AA$45)*(Q29-S29)</f>
        <v>0</v>
      </c>
      <c r="Y29" s="16" t="s">
        <v>140</v>
      </c>
      <c r="Z29" t="s">
        <v>133</v>
      </c>
      <c r="AA29" s="17">
        <v>0.08</v>
      </c>
      <c r="AB29" s="18">
        <v>0.04</v>
      </c>
      <c r="AD29" s="19">
        <v>36781</v>
      </c>
      <c r="AE29">
        <v>8.7776000000000032</v>
      </c>
      <c r="AG29">
        <v>36781</v>
      </c>
      <c r="AH29" s="1">
        <v>8.7776000000000032</v>
      </c>
    </row>
    <row r="30" spans="1:34" hidden="1" x14ac:dyDescent="0.25">
      <c r="A30" s="2">
        <v>32826</v>
      </c>
      <c r="B30" s="13" t="s">
        <v>137</v>
      </c>
      <c r="C30" s="14" t="s">
        <v>39</v>
      </c>
      <c r="D30" s="15">
        <v>45293</v>
      </c>
      <c r="E30" s="2">
        <v>3289</v>
      </c>
      <c r="F30" s="14" t="s">
        <v>141</v>
      </c>
      <c r="G30" t="s">
        <v>142</v>
      </c>
      <c r="H30" s="14" t="s">
        <v>42</v>
      </c>
      <c r="I30" s="2">
        <v>1</v>
      </c>
      <c r="J30" s="2">
        <v>0</v>
      </c>
      <c r="K30" s="2">
        <v>0</v>
      </c>
      <c r="L30" s="2"/>
      <c r="M30" s="2">
        <v>0</v>
      </c>
      <c r="N30" s="14"/>
      <c r="O30" s="14"/>
      <c r="P30" s="2">
        <v>2288</v>
      </c>
      <c r="Q30" s="2">
        <v>2288</v>
      </c>
      <c r="R30" s="2">
        <v>1944</v>
      </c>
      <c r="S30">
        <f t="shared" si="0"/>
        <v>1944</v>
      </c>
      <c r="T30" t="s">
        <v>168</v>
      </c>
      <c r="U30" s="1">
        <f>_xlfn.XLOOKUP(T30,$Y$2:$Y$45,$AA$2:$AA$45)*(Q30-S30)</f>
        <v>0</v>
      </c>
      <c r="Y30" s="16" t="s">
        <v>143</v>
      </c>
      <c r="Z30" t="s">
        <v>133</v>
      </c>
      <c r="AA30" s="17">
        <v>0.08</v>
      </c>
      <c r="AB30" s="18">
        <v>0.04</v>
      </c>
      <c r="AD30" s="19">
        <v>36783</v>
      </c>
      <c r="AE30">
        <v>7.6959999999999988</v>
      </c>
      <c r="AG30">
        <v>36783</v>
      </c>
      <c r="AH30" s="1">
        <v>7.6959999999999988</v>
      </c>
    </row>
    <row r="31" spans="1:34" hidden="1" x14ac:dyDescent="0.25">
      <c r="A31" s="2">
        <v>32826</v>
      </c>
      <c r="B31" s="13" t="s">
        <v>137</v>
      </c>
      <c r="C31" s="14" t="s">
        <v>39</v>
      </c>
      <c r="D31" s="15">
        <v>45293</v>
      </c>
      <c r="E31" s="2">
        <v>3289</v>
      </c>
      <c r="F31" s="14" t="s">
        <v>144</v>
      </c>
      <c r="G31" t="s">
        <v>145</v>
      </c>
      <c r="H31" s="14" t="s">
        <v>146</v>
      </c>
      <c r="I31" s="2">
        <v>50</v>
      </c>
      <c r="J31" s="2">
        <v>0</v>
      </c>
      <c r="K31" s="2">
        <v>0</v>
      </c>
      <c r="L31" s="2"/>
      <c r="M31" s="2">
        <v>0</v>
      </c>
      <c r="N31" s="14"/>
      <c r="O31" s="14"/>
      <c r="P31" s="2">
        <v>36</v>
      </c>
      <c r="Q31" s="2">
        <v>1800</v>
      </c>
      <c r="R31" s="2">
        <v>30</v>
      </c>
      <c r="S31">
        <f t="shared" si="0"/>
        <v>1500</v>
      </c>
      <c r="T31" t="s">
        <v>168</v>
      </c>
      <c r="U31" s="1">
        <f>_xlfn.XLOOKUP(T31,$Y$2:$Y$45,$AA$2:$AA$45)*(Q31-S31)</f>
        <v>0</v>
      </c>
      <c r="Y31" s="16" t="s">
        <v>147</v>
      </c>
      <c r="Z31" t="s">
        <v>133</v>
      </c>
      <c r="AA31" s="17">
        <v>0.08</v>
      </c>
      <c r="AB31" s="18">
        <v>0.04</v>
      </c>
      <c r="AD31" s="19">
        <v>36795</v>
      </c>
      <c r="AE31">
        <v>7.6959999999999988</v>
      </c>
      <c r="AG31">
        <v>36795</v>
      </c>
      <c r="AH31" s="1">
        <v>7.6959999999999988</v>
      </c>
    </row>
    <row r="32" spans="1:34" x14ac:dyDescent="0.25">
      <c r="A32" s="2">
        <v>32826</v>
      </c>
      <c r="B32" s="13" t="s">
        <v>137</v>
      </c>
      <c r="C32" s="14" t="s">
        <v>39</v>
      </c>
      <c r="D32" s="15">
        <v>45293</v>
      </c>
      <c r="E32" s="2">
        <v>3289</v>
      </c>
      <c r="F32" s="14" t="s">
        <v>148</v>
      </c>
      <c r="G32" t="s">
        <v>149</v>
      </c>
      <c r="H32" s="14" t="s">
        <v>93</v>
      </c>
      <c r="I32" s="2">
        <v>1</v>
      </c>
      <c r="J32" s="2">
        <v>0</v>
      </c>
      <c r="K32" s="2">
        <v>0</v>
      </c>
      <c r="L32" s="2"/>
      <c r="M32" s="2">
        <v>0</v>
      </c>
      <c r="N32" s="14"/>
      <c r="O32" s="14"/>
      <c r="P32" s="2">
        <v>17000</v>
      </c>
      <c r="Q32" s="2">
        <v>17000</v>
      </c>
      <c r="R32" s="2">
        <v>15000</v>
      </c>
      <c r="S32">
        <f t="shared" si="0"/>
        <v>15000</v>
      </c>
      <c r="T32" t="s">
        <v>168</v>
      </c>
      <c r="U32" s="1">
        <f t="shared" ref="U32:U39" si="2">_xlfn.XLOOKUP(T32,$Y$2:$Y$45,$AB$2:$AB$45)*(Q32)</f>
        <v>0</v>
      </c>
      <c r="Y32" s="16" t="s">
        <v>150</v>
      </c>
      <c r="Z32" t="s">
        <v>133</v>
      </c>
      <c r="AA32" s="17">
        <v>0.08</v>
      </c>
      <c r="AB32" s="18">
        <v>0.04</v>
      </c>
      <c r="AD32" s="19">
        <v>36853</v>
      </c>
      <c r="AE32">
        <v>215</v>
      </c>
      <c r="AG32">
        <v>36853</v>
      </c>
      <c r="AH32" s="1">
        <v>215</v>
      </c>
    </row>
    <row r="33" spans="1:34" x14ac:dyDescent="0.25">
      <c r="A33" s="2">
        <v>32826</v>
      </c>
      <c r="B33" s="13" t="s">
        <v>137</v>
      </c>
      <c r="C33" s="14" t="s">
        <v>39</v>
      </c>
      <c r="D33" s="15">
        <v>45293</v>
      </c>
      <c r="E33" s="2">
        <v>3289</v>
      </c>
      <c r="F33" s="14" t="s">
        <v>148</v>
      </c>
      <c r="G33" t="s">
        <v>149</v>
      </c>
      <c r="H33" s="14" t="s">
        <v>93</v>
      </c>
      <c r="I33" s="2">
        <v>1</v>
      </c>
      <c r="J33" s="2">
        <v>0</v>
      </c>
      <c r="K33" s="2">
        <v>0</v>
      </c>
      <c r="L33" s="2"/>
      <c r="M33" s="2">
        <v>0</v>
      </c>
      <c r="N33" s="14"/>
      <c r="O33" s="14"/>
      <c r="P33" s="2">
        <v>80000</v>
      </c>
      <c r="Q33" s="2">
        <v>80000</v>
      </c>
      <c r="R33" s="2">
        <v>73360</v>
      </c>
      <c r="S33">
        <f t="shared" si="0"/>
        <v>73360</v>
      </c>
      <c r="T33" t="s">
        <v>168</v>
      </c>
      <c r="U33" s="1">
        <f t="shared" si="2"/>
        <v>0</v>
      </c>
      <c r="Y33" s="16" t="s">
        <v>151</v>
      </c>
      <c r="Z33" t="s">
        <v>133</v>
      </c>
      <c r="AA33" s="17">
        <v>0.08</v>
      </c>
      <c r="AB33" s="18">
        <v>0.04</v>
      </c>
      <c r="AD33" s="19">
        <v>36869</v>
      </c>
      <c r="AE33">
        <v>7.1608000000000001</v>
      </c>
      <c r="AG33">
        <v>36869</v>
      </c>
      <c r="AH33" s="1">
        <v>7.1608000000000001</v>
      </c>
    </row>
    <row r="34" spans="1:34" x14ac:dyDescent="0.25">
      <c r="A34" s="2">
        <v>32826</v>
      </c>
      <c r="B34" s="13" t="s">
        <v>137</v>
      </c>
      <c r="C34" s="14" t="s">
        <v>39</v>
      </c>
      <c r="D34" s="15">
        <v>45293</v>
      </c>
      <c r="E34" s="2">
        <v>3289</v>
      </c>
      <c r="F34" s="14" t="s">
        <v>152</v>
      </c>
      <c r="G34" t="s">
        <v>153</v>
      </c>
      <c r="H34" s="14" t="s">
        <v>93</v>
      </c>
      <c r="I34" s="2">
        <v>40</v>
      </c>
      <c r="J34" s="2">
        <v>0</v>
      </c>
      <c r="K34" s="2">
        <v>0</v>
      </c>
      <c r="L34" s="2"/>
      <c r="M34" s="2">
        <v>0</v>
      </c>
      <c r="N34" s="14"/>
      <c r="O34" s="14"/>
      <c r="P34" s="2">
        <v>185</v>
      </c>
      <c r="Q34" s="2">
        <v>7400</v>
      </c>
      <c r="R34" s="2">
        <v>0</v>
      </c>
      <c r="S34">
        <f t="shared" si="0"/>
        <v>0</v>
      </c>
      <c r="T34" t="s">
        <v>168</v>
      </c>
      <c r="U34" s="1">
        <f t="shared" si="2"/>
        <v>0</v>
      </c>
      <c r="Y34" s="16" t="s">
        <v>2387</v>
      </c>
      <c r="Z34" t="s">
        <v>133</v>
      </c>
      <c r="AA34" s="17">
        <v>0.08</v>
      </c>
      <c r="AB34" s="18">
        <v>0.04</v>
      </c>
      <c r="AD34" s="19">
        <v>36995</v>
      </c>
      <c r="AE34">
        <v>31.5</v>
      </c>
      <c r="AG34">
        <v>36995</v>
      </c>
      <c r="AH34" s="1">
        <v>31.5</v>
      </c>
    </row>
    <row r="35" spans="1:34" x14ac:dyDescent="0.25">
      <c r="A35" s="2">
        <v>32826</v>
      </c>
      <c r="B35" s="13" t="s">
        <v>137</v>
      </c>
      <c r="C35" s="14" t="s">
        <v>39</v>
      </c>
      <c r="D35" s="15">
        <v>45293</v>
      </c>
      <c r="E35" s="2">
        <v>3289</v>
      </c>
      <c r="F35" s="14" t="s">
        <v>154</v>
      </c>
      <c r="G35" t="s">
        <v>155</v>
      </c>
      <c r="H35" s="14" t="s">
        <v>93</v>
      </c>
      <c r="I35" s="2">
        <v>5</v>
      </c>
      <c r="J35" s="2">
        <v>0</v>
      </c>
      <c r="K35" s="2">
        <v>0</v>
      </c>
      <c r="L35" s="2"/>
      <c r="M35" s="2">
        <v>0</v>
      </c>
      <c r="N35" s="14"/>
      <c r="O35" s="14"/>
      <c r="P35" s="2">
        <v>210</v>
      </c>
      <c r="Q35" s="2">
        <v>1050</v>
      </c>
      <c r="R35" s="2">
        <v>0</v>
      </c>
      <c r="S35">
        <f t="shared" si="0"/>
        <v>0</v>
      </c>
      <c r="T35" t="s">
        <v>168</v>
      </c>
      <c r="U35" s="1">
        <f t="shared" si="2"/>
        <v>0</v>
      </c>
      <c r="Y35" s="16" t="s">
        <v>156</v>
      </c>
      <c r="Z35" t="s">
        <v>133</v>
      </c>
      <c r="AA35" s="17">
        <v>0.08</v>
      </c>
      <c r="AB35" s="18">
        <v>0.04</v>
      </c>
      <c r="AD35" s="19">
        <v>37048</v>
      </c>
      <c r="AE35">
        <v>6.03</v>
      </c>
      <c r="AG35">
        <v>37048</v>
      </c>
      <c r="AH35" s="1">
        <v>6.03</v>
      </c>
    </row>
    <row r="36" spans="1:34" hidden="1" x14ac:dyDescent="0.25">
      <c r="A36" s="2">
        <v>33617</v>
      </c>
      <c r="B36" s="13" t="s">
        <v>157</v>
      </c>
      <c r="C36" s="14" t="s">
        <v>39</v>
      </c>
      <c r="D36" s="15">
        <v>45294</v>
      </c>
      <c r="E36" s="2">
        <v>256.91000000000003</v>
      </c>
      <c r="F36" s="14" t="s">
        <v>158</v>
      </c>
      <c r="G36" t="s">
        <v>159</v>
      </c>
      <c r="H36" s="14" t="s">
        <v>104</v>
      </c>
      <c r="I36" s="2">
        <v>12</v>
      </c>
      <c r="J36" s="2">
        <v>5.5</v>
      </c>
      <c r="K36" s="2">
        <v>1.05</v>
      </c>
      <c r="L36" s="2"/>
      <c r="M36" s="2">
        <v>66</v>
      </c>
      <c r="N36" s="14"/>
      <c r="O36" s="14"/>
      <c r="P36" s="2">
        <v>0.25</v>
      </c>
      <c r="Q36" s="2">
        <v>3</v>
      </c>
      <c r="R36" s="2">
        <v>0</v>
      </c>
      <c r="S36">
        <f t="shared" si="0"/>
        <v>0</v>
      </c>
      <c r="T36" t="s">
        <v>1874</v>
      </c>
      <c r="U36">
        <f t="shared" si="2"/>
        <v>0.12</v>
      </c>
      <c r="Y36" s="16" t="s">
        <v>160</v>
      </c>
      <c r="Z36" t="s">
        <v>133</v>
      </c>
      <c r="AA36" s="17">
        <v>0.08</v>
      </c>
      <c r="AB36" s="18">
        <v>0.04</v>
      </c>
      <c r="AD36" s="19">
        <v>37206</v>
      </c>
      <c r="AE36">
        <v>80</v>
      </c>
      <c r="AG36">
        <v>37206</v>
      </c>
      <c r="AH36" s="1">
        <v>80</v>
      </c>
    </row>
    <row r="37" spans="1:34" hidden="1" x14ac:dyDescent="0.25">
      <c r="A37" s="2">
        <v>33617</v>
      </c>
      <c r="B37" s="13" t="s">
        <v>157</v>
      </c>
      <c r="C37" s="14" t="s">
        <v>39</v>
      </c>
      <c r="D37" s="15">
        <v>45294</v>
      </c>
      <c r="E37" s="2">
        <v>256.91000000000003</v>
      </c>
      <c r="F37" s="14" t="s">
        <v>161</v>
      </c>
      <c r="G37" t="s">
        <v>162</v>
      </c>
      <c r="H37" s="14" t="s">
        <v>104</v>
      </c>
      <c r="I37" s="2">
        <v>12</v>
      </c>
      <c r="J37" s="2">
        <v>7</v>
      </c>
      <c r="K37" s="2">
        <v>0</v>
      </c>
      <c r="L37" s="2"/>
      <c r="M37" s="2">
        <v>84</v>
      </c>
      <c r="N37" s="14"/>
      <c r="O37" s="14"/>
      <c r="P37" s="2">
        <v>0.25</v>
      </c>
      <c r="Q37" s="2">
        <v>3</v>
      </c>
      <c r="R37" s="2">
        <v>0</v>
      </c>
      <c r="S37">
        <f t="shared" si="0"/>
        <v>0</v>
      </c>
      <c r="T37" t="s">
        <v>1874</v>
      </c>
      <c r="U37">
        <f t="shared" si="2"/>
        <v>0.12</v>
      </c>
      <c r="Y37" s="16" t="s">
        <v>163</v>
      </c>
      <c r="Z37" t="s">
        <v>133</v>
      </c>
      <c r="AA37" s="17">
        <v>0.08</v>
      </c>
      <c r="AB37" s="18">
        <v>0.04</v>
      </c>
      <c r="AD37" s="19">
        <v>37235</v>
      </c>
      <c r="AE37">
        <v>17.330400000000001</v>
      </c>
      <c r="AG37">
        <v>37235</v>
      </c>
      <c r="AH37" s="1">
        <v>17.330400000000001</v>
      </c>
    </row>
    <row r="38" spans="1:34" x14ac:dyDescent="0.25">
      <c r="A38" s="2">
        <v>33617</v>
      </c>
      <c r="B38" s="13" t="s">
        <v>157</v>
      </c>
      <c r="C38" s="14" t="s">
        <v>39</v>
      </c>
      <c r="D38" s="15">
        <v>45294</v>
      </c>
      <c r="E38" s="2">
        <v>256.91000000000003</v>
      </c>
      <c r="F38" s="14" t="s">
        <v>164</v>
      </c>
      <c r="G38" t="s">
        <v>165</v>
      </c>
      <c r="H38" s="14" t="s">
        <v>126</v>
      </c>
      <c r="I38" s="2">
        <v>12</v>
      </c>
      <c r="J38" s="2">
        <v>5</v>
      </c>
      <c r="K38" s="2">
        <v>0.8</v>
      </c>
      <c r="L38" s="2"/>
      <c r="M38" s="2">
        <v>60</v>
      </c>
      <c r="N38" s="14"/>
      <c r="O38" s="14"/>
      <c r="P38" s="2">
        <v>6</v>
      </c>
      <c r="Q38" s="2">
        <v>72</v>
      </c>
      <c r="R38" s="2">
        <v>0</v>
      </c>
      <c r="S38">
        <f t="shared" si="0"/>
        <v>0</v>
      </c>
      <c r="T38" t="s">
        <v>1874</v>
      </c>
      <c r="U38">
        <f t="shared" si="2"/>
        <v>2.88</v>
      </c>
      <c r="Y38" s="16" t="s">
        <v>166</v>
      </c>
      <c r="Z38" t="s">
        <v>81</v>
      </c>
      <c r="AA38" s="17">
        <v>0.08</v>
      </c>
      <c r="AB38" s="18">
        <v>0.04</v>
      </c>
      <c r="AD38" s="19">
        <v>37260</v>
      </c>
      <c r="AE38">
        <v>59.857600000000005</v>
      </c>
      <c r="AG38">
        <v>37260</v>
      </c>
      <c r="AH38" s="1">
        <v>59.857600000000005</v>
      </c>
    </row>
    <row r="39" spans="1:34" hidden="1" x14ac:dyDescent="0.25">
      <c r="A39" s="2">
        <v>34261</v>
      </c>
      <c r="B39" s="13" t="s">
        <v>167</v>
      </c>
      <c r="C39" s="14" t="s">
        <v>39</v>
      </c>
      <c r="D39" s="15">
        <v>45321</v>
      </c>
      <c r="E39" s="2">
        <v>1298</v>
      </c>
      <c r="F39" s="14" t="s">
        <v>134</v>
      </c>
      <c r="G39" t="s">
        <v>135</v>
      </c>
      <c r="H39" s="14" t="s">
        <v>131</v>
      </c>
      <c r="I39" s="2">
        <v>1</v>
      </c>
      <c r="J39" s="2">
        <v>45</v>
      </c>
      <c r="K39" s="2">
        <v>0.97</v>
      </c>
      <c r="L39" s="2"/>
      <c r="M39" s="2">
        <v>45</v>
      </c>
      <c r="N39" s="14"/>
      <c r="O39" s="14"/>
      <c r="P39" s="2">
        <v>300</v>
      </c>
      <c r="Q39" s="2">
        <v>300</v>
      </c>
      <c r="R39" s="2">
        <v>542.70000000000005</v>
      </c>
      <c r="S39">
        <f t="shared" si="0"/>
        <v>542.70000000000005</v>
      </c>
      <c r="T39" t="s">
        <v>168</v>
      </c>
      <c r="U39">
        <f t="shared" si="2"/>
        <v>0</v>
      </c>
      <c r="Y39" s="16" t="s">
        <v>168</v>
      </c>
      <c r="Z39" t="s">
        <v>169</v>
      </c>
      <c r="AA39" s="17">
        <v>0</v>
      </c>
      <c r="AB39" s="18">
        <v>0</v>
      </c>
      <c r="AD39" s="19">
        <v>37367</v>
      </c>
      <c r="AE39">
        <v>7.7208000000000006</v>
      </c>
      <c r="AG39">
        <v>37367</v>
      </c>
      <c r="AH39" s="1">
        <v>7.7208000000000006</v>
      </c>
    </row>
    <row r="40" spans="1:34" hidden="1" x14ac:dyDescent="0.25">
      <c r="A40" s="2">
        <v>34973</v>
      </c>
      <c r="B40" s="13" t="s">
        <v>170</v>
      </c>
      <c r="C40" s="14" t="s">
        <v>39</v>
      </c>
      <c r="D40" s="15">
        <v>45321</v>
      </c>
      <c r="E40" s="2">
        <v>0</v>
      </c>
      <c r="F40" s="14" t="s">
        <v>171</v>
      </c>
      <c r="G40" t="s">
        <v>172</v>
      </c>
      <c r="H40" s="14" t="s">
        <v>173</v>
      </c>
      <c r="I40" s="2">
        <v>1</v>
      </c>
      <c r="J40" s="2">
        <v>0</v>
      </c>
      <c r="K40" s="2">
        <v>0</v>
      </c>
      <c r="L40" s="2"/>
      <c r="M40" s="2">
        <v>0</v>
      </c>
      <c r="N40" s="14"/>
      <c r="O40" s="14"/>
      <c r="P40" s="2">
        <v>1214</v>
      </c>
      <c r="Q40" s="2">
        <v>1214</v>
      </c>
      <c r="R40" s="2">
        <v>995.31</v>
      </c>
      <c r="S40">
        <f t="shared" si="0"/>
        <v>995.31</v>
      </c>
      <c r="T40" t="s">
        <v>1874</v>
      </c>
      <c r="U40" s="1">
        <f>_xlfn.XLOOKUP(T40,$Y$2:$Y$45,$AA$2:$AA$45)*(Q40-S40)</f>
        <v>17.495200000000004</v>
      </c>
      <c r="Y40" s="16" t="s">
        <v>174</v>
      </c>
      <c r="Z40" t="s">
        <v>175</v>
      </c>
      <c r="AA40" s="17">
        <v>0</v>
      </c>
      <c r="AB40" s="18">
        <v>0</v>
      </c>
      <c r="AD40" s="19">
        <v>37381</v>
      </c>
      <c r="AE40">
        <v>7.1608000000000001</v>
      </c>
      <c r="AG40">
        <v>37381</v>
      </c>
      <c r="AH40" s="1">
        <v>7.1608000000000001</v>
      </c>
    </row>
    <row r="41" spans="1:34" hidden="1" x14ac:dyDescent="0.25">
      <c r="A41" s="2">
        <v>35605</v>
      </c>
      <c r="B41" s="13" t="s">
        <v>176</v>
      </c>
      <c r="C41" s="14" t="s">
        <v>39</v>
      </c>
      <c r="D41" s="15">
        <v>45306</v>
      </c>
      <c r="E41" s="2">
        <v>0</v>
      </c>
      <c r="F41" s="14" t="s">
        <v>177</v>
      </c>
      <c r="G41" t="s">
        <v>177</v>
      </c>
      <c r="H41" s="14" t="s">
        <v>42</v>
      </c>
      <c r="I41" s="2">
        <v>1</v>
      </c>
      <c r="J41" s="2">
        <v>0</v>
      </c>
      <c r="K41" s="2">
        <v>0</v>
      </c>
      <c r="L41" s="2"/>
      <c r="M41" s="2">
        <v>0</v>
      </c>
      <c r="N41" s="14"/>
      <c r="O41" s="14"/>
      <c r="P41" s="2">
        <v>4500</v>
      </c>
      <c r="Q41" s="2">
        <v>4500</v>
      </c>
      <c r="R41" s="2">
        <v>0</v>
      </c>
      <c r="S41">
        <f t="shared" si="0"/>
        <v>0</v>
      </c>
      <c r="T41" t="s">
        <v>132</v>
      </c>
      <c r="U41" s="1">
        <f>_xlfn.XLOOKUP(T41,$Y$2:$Y$45,$AA$2:$AA$45)*(Q41-S41)</f>
        <v>360</v>
      </c>
      <c r="Y41" s="16" t="s">
        <v>178</v>
      </c>
      <c r="Z41" t="s">
        <v>175</v>
      </c>
      <c r="AA41" s="17">
        <v>0</v>
      </c>
      <c r="AB41" s="18">
        <v>0</v>
      </c>
      <c r="AD41" s="19">
        <v>37412</v>
      </c>
      <c r="AE41">
        <v>109.2</v>
      </c>
      <c r="AG41">
        <v>37412</v>
      </c>
      <c r="AH41" s="1">
        <v>109.2</v>
      </c>
    </row>
    <row r="42" spans="1:34" hidden="1" x14ac:dyDescent="0.25">
      <c r="A42" s="2">
        <v>35605</v>
      </c>
      <c r="B42" s="13" t="s">
        <v>176</v>
      </c>
      <c r="C42" s="14" t="s">
        <v>39</v>
      </c>
      <c r="D42" s="15">
        <v>45306</v>
      </c>
      <c r="E42" s="2">
        <v>0</v>
      </c>
      <c r="F42" s="14" t="s">
        <v>179</v>
      </c>
      <c r="G42" t="s">
        <v>180</v>
      </c>
      <c r="H42" s="14" t="s">
        <v>42</v>
      </c>
      <c r="I42" s="2">
        <v>1</v>
      </c>
      <c r="J42" s="2">
        <v>0</v>
      </c>
      <c r="K42" s="2">
        <v>0</v>
      </c>
      <c r="L42" s="2"/>
      <c r="M42" s="2">
        <v>0</v>
      </c>
      <c r="N42" s="14"/>
      <c r="O42" s="14"/>
      <c r="P42" s="2">
        <v>8373.9599999999991</v>
      </c>
      <c r="Q42" s="2">
        <v>8373.9599999999991</v>
      </c>
      <c r="R42" s="2">
        <v>6978.3</v>
      </c>
      <c r="S42">
        <f t="shared" si="0"/>
        <v>6978.3</v>
      </c>
      <c r="T42" t="s">
        <v>132</v>
      </c>
      <c r="U42" s="1">
        <f>_xlfn.XLOOKUP(T42,$Y$2:$Y$45,$AA$2:$AA$45)*(Q42-S42)</f>
        <v>111.65279999999991</v>
      </c>
      <c r="Y42" s="16" t="s">
        <v>181</v>
      </c>
      <c r="Z42" t="s">
        <v>175</v>
      </c>
      <c r="AA42" s="17">
        <v>0</v>
      </c>
      <c r="AB42" s="18">
        <v>0</v>
      </c>
      <c r="AD42" s="19">
        <v>37414</v>
      </c>
      <c r="AE42">
        <v>31.716000000000005</v>
      </c>
      <c r="AG42">
        <v>37414</v>
      </c>
      <c r="AH42" s="1">
        <v>31.716000000000005</v>
      </c>
    </row>
    <row r="43" spans="1:34" hidden="1" x14ac:dyDescent="0.25">
      <c r="A43" s="2">
        <v>35605</v>
      </c>
      <c r="B43" s="13" t="s">
        <v>176</v>
      </c>
      <c r="C43" s="14" t="s">
        <v>39</v>
      </c>
      <c r="D43" s="15">
        <v>45306</v>
      </c>
      <c r="E43" s="2">
        <v>0</v>
      </c>
      <c r="F43" s="14" t="s">
        <v>182</v>
      </c>
      <c r="G43" t="s">
        <v>183</v>
      </c>
      <c r="H43" s="14" t="s">
        <v>42</v>
      </c>
      <c r="I43" s="2">
        <v>10</v>
      </c>
      <c r="J43" s="2">
        <v>0</v>
      </c>
      <c r="K43" s="2">
        <v>0</v>
      </c>
      <c r="L43" s="2"/>
      <c r="M43" s="2">
        <v>0</v>
      </c>
      <c r="N43" s="14"/>
      <c r="O43" s="14"/>
      <c r="P43" s="2">
        <v>47.47</v>
      </c>
      <c r="Q43" s="2">
        <v>474.7</v>
      </c>
      <c r="R43" s="2">
        <v>39.56</v>
      </c>
      <c r="S43">
        <f t="shared" si="0"/>
        <v>395.6</v>
      </c>
      <c r="T43" t="s">
        <v>132</v>
      </c>
      <c r="U43" s="1">
        <f>_xlfn.XLOOKUP(T43,$Y$2:$Y$45,$AA$2:$AA$45)*(Q43-S43)</f>
        <v>6.3279999999999976</v>
      </c>
      <c r="Y43" s="16" t="s">
        <v>184</v>
      </c>
      <c r="Z43" t="s">
        <v>175</v>
      </c>
      <c r="AA43" s="17">
        <v>0</v>
      </c>
      <c r="AB43" s="18">
        <v>0</v>
      </c>
      <c r="AD43" s="19">
        <v>37445</v>
      </c>
      <c r="AE43">
        <v>0</v>
      </c>
      <c r="AG43">
        <v>37445</v>
      </c>
      <c r="AH43" s="1">
        <v>0</v>
      </c>
    </row>
    <row r="44" spans="1:34" x14ac:dyDescent="0.25">
      <c r="A44" s="2">
        <v>36211</v>
      </c>
      <c r="B44" s="13" t="s">
        <v>185</v>
      </c>
      <c r="C44" s="14" t="s">
        <v>39</v>
      </c>
      <c r="D44" s="15">
        <v>45294</v>
      </c>
      <c r="E44" s="2">
        <v>496.65</v>
      </c>
      <c r="F44" s="14" t="s">
        <v>186</v>
      </c>
      <c r="G44" t="s">
        <v>187</v>
      </c>
      <c r="H44" s="14" t="s">
        <v>126</v>
      </c>
      <c r="I44" s="2">
        <v>17</v>
      </c>
      <c r="J44" s="2">
        <v>7</v>
      </c>
      <c r="K44" s="2">
        <v>2.4</v>
      </c>
      <c r="L44" s="2"/>
      <c r="M44" s="2">
        <v>119</v>
      </c>
      <c r="N44" s="14"/>
      <c r="O44" s="14"/>
      <c r="P44" s="2">
        <v>6</v>
      </c>
      <c r="Q44" s="2">
        <v>102</v>
      </c>
      <c r="R44" s="2">
        <v>0</v>
      </c>
      <c r="S44">
        <f t="shared" si="0"/>
        <v>0</v>
      </c>
      <c r="T44" t="s">
        <v>1874</v>
      </c>
      <c r="U44">
        <f>_xlfn.XLOOKUP(T44,$Y$2:$Y$45,$AB$2:$AB$45)*(Q44)</f>
        <v>4.08</v>
      </c>
      <c r="Y44" s="16" t="s">
        <v>188</v>
      </c>
      <c r="Z44" t="s">
        <v>175</v>
      </c>
      <c r="AA44" s="17">
        <v>0</v>
      </c>
      <c r="AB44" s="18">
        <v>0</v>
      </c>
      <c r="AD44" s="19">
        <v>37478</v>
      </c>
      <c r="AE44">
        <v>300</v>
      </c>
      <c r="AG44">
        <v>37478</v>
      </c>
      <c r="AH44" s="1">
        <v>300</v>
      </c>
    </row>
    <row r="45" spans="1:34" ht="15.75" thickBot="1" x14ac:dyDescent="0.3">
      <c r="A45" s="2">
        <v>36211</v>
      </c>
      <c r="B45" s="13" t="s">
        <v>185</v>
      </c>
      <c r="C45" s="14" t="s">
        <v>39</v>
      </c>
      <c r="D45" s="15">
        <v>45294</v>
      </c>
      <c r="E45" s="2">
        <v>496.65</v>
      </c>
      <c r="F45" s="14" t="s">
        <v>152</v>
      </c>
      <c r="G45" t="s">
        <v>189</v>
      </c>
      <c r="H45" s="14" t="s">
        <v>93</v>
      </c>
      <c r="I45" s="2">
        <v>40</v>
      </c>
      <c r="J45" s="2">
        <v>0</v>
      </c>
      <c r="K45" s="2">
        <v>0</v>
      </c>
      <c r="L45" s="2"/>
      <c r="M45" s="2">
        <v>0</v>
      </c>
      <c r="N45" s="14"/>
      <c r="O45" s="14"/>
      <c r="P45" s="2">
        <v>240</v>
      </c>
      <c r="Q45" s="2">
        <v>9600</v>
      </c>
      <c r="R45" s="2">
        <v>0</v>
      </c>
      <c r="S45">
        <f t="shared" si="0"/>
        <v>0</v>
      </c>
      <c r="T45" t="s">
        <v>1874</v>
      </c>
      <c r="U45">
        <f>_xlfn.XLOOKUP(T45,$Y$2:$Y$45,$AB$2:$AB$45)*(Q45)</f>
        <v>384</v>
      </c>
      <c r="Y45" s="22" t="e">
        <v>#N/A</v>
      </c>
      <c r="Z45" s="23" t="s">
        <v>175</v>
      </c>
      <c r="AA45" s="24">
        <v>0</v>
      </c>
      <c r="AB45" s="25">
        <v>0</v>
      </c>
      <c r="AD45" s="19">
        <v>37489</v>
      </c>
      <c r="AE45">
        <v>-35.000000000000007</v>
      </c>
      <c r="AG45">
        <v>37489</v>
      </c>
      <c r="AH45" s="1">
        <v>-35.000000000000007</v>
      </c>
    </row>
    <row r="46" spans="1:34" x14ac:dyDescent="0.25">
      <c r="A46" s="2">
        <v>36211</v>
      </c>
      <c r="B46" s="13" t="s">
        <v>185</v>
      </c>
      <c r="C46" s="14" t="s">
        <v>39</v>
      </c>
      <c r="D46" s="15">
        <v>45294</v>
      </c>
      <c r="E46" s="2">
        <v>496.65</v>
      </c>
      <c r="F46" s="14" t="s">
        <v>154</v>
      </c>
      <c r="G46" t="s">
        <v>155</v>
      </c>
      <c r="H46" s="14" t="s">
        <v>93</v>
      </c>
      <c r="I46" s="2">
        <v>8</v>
      </c>
      <c r="J46" s="2">
        <v>0</v>
      </c>
      <c r="K46" s="2">
        <v>0</v>
      </c>
      <c r="L46" s="2"/>
      <c r="M46" s="2">
        <v>0</v>
      </c>
      <c r="N46" s="14"/>
      <c r="O46" s="14"/>
      <c r="P46" s="2">
        <v>275</v>
      </c>
      <c r="Q46" s="2">
        <v>2200</v>
      </c>
      <c r="R46" s="2">
        <v>0</v>
      </c>
      <c r="S46">
        <f t="shared" si="0"/>
        <v>0</v>
      </c>
      <c r="T46" t="s">
        <v>1874</v>
      </c>
      <c r="U46">
        <f>_xlfn.XLOOKUP(T46,$Y$2:$Y$45,$AB$2:$AB$45)*(Q46)</f>
        <v>88</v>
      </c>
      <c r="AD46" s="19">
        <v>37552</v>
      </c>
      <c r="AE46">
        <v>490.8</v>
      </c>
      <c r="AG46">
        <v>37552</v>
      </c>
      <c r="AH46" s="1">
        <v>490.8</v>
      </c>
    </row>
    <row r="47" spans="1:34" hidden="1" x14ac:dyDescent="0.25">
      <c r="A47" s="2">
        <v>36314</v>
      </c>
      <c r="B47" s="13" t="s">
        <v>190</v>
      </c>
      <c r="C47" s="14" t="s">
        <v>39</v>
      </c>
      <c r="D47" s="15">
        <v>45315</v>
      </c>
      <c r="E47" s="2">
        <v>0</v>
      </c>
      <c r="F47" s="14" t="s">
        <v>191</v>
      </c>
      <c r="G47" t="s">
        <v>192</v>
      </c>
      <c r="H47" s="14" t="s">
        <v>42</v>
      </c>
      <c r="I47" s="2">
        <v>3</v>
      </c>
      <c r="J47" s="2">
        <v>0</v>
      </c>
      <c r="K47" s="2">
        <v>0</v>
      </c>
      <c r="L47" s="2"/>
      <c r="M47" s="2">
        <v>0</v>
      </c>
      <c r="N47" s="14"/>
      <c r="O47" s="14"/>
      <c r="P47" s="2">
        <v>1069</v>
      </c>
      <c r="Q47" s="2">
        <v>3207</v>
      </c>
      <c r="R47" s="2">
        <v>919.34</v>
      </c>
      <c r="S47">
        <f t="shared" si="0"/>
        <v>2758.02</v>
      </c>
      <c r="T47" t="s">
        <v>1874</v>
      </c>
      <c r="U47" s="1">
        <f>_xlfn.XLOOKUP(T47,$Y$2:$Y$45,$AA$2:$AA$45)*(Q47-S47)</f>
        <v>35.918400000000005</v>
      </c>
      <c r="AD47" s="19">
        <v>37562</v>
      </c>
      <c r="AE47">
        <v>76.799199999999999</v>
      </c>
      <c r="AG47">
        <v>37562</v>
      </c>
      <c r="AH47" s="1">
        <v>76.799199999999999</v>
      </c>
    </row>
    <row r="48" spans="1:34" hidden="1" x14ac:dyDescent="0.25">
      <c r="A48" s="2">
        <v>36314</v>
      </c>
      <c r="B48" s="13" t="s">
        <v>190</v>
      </c>
      <c r="C48" s="14" t="s">
        <v>39</v>
      </c>
      <c r="D48" s="15">
        <v>45315</v>
      </c>
      <c r="E48" s="2">
        <v>0</v>
      </c>
      <c r="F48" s="14" t="s">
        <v>193</v>
      </c>
      <c r="G48" t="s">
        <v>194</v>
      </c>
      <c r="H48" s="14" t="s">
        <v>42</v>
      </c>
      <c r="I48" s="2">
        <v>1</v>
      </c>
      <c r="J48" s="2">
        <v>0</v>
      </c>
      <c r="K48" s="2">
        <v>0</v>
      </c>
      <c r="L48" s="2"/>
      <c r="M48" s="2">
        <v>0</v>
      </c>
      <c r="N48" s="14"/>
      <c r="O48" s="14"/>
      <c r="P48" s="2">
        <v>1842</v>
      </c>
      <c r="Q48" s="2">
        <v>1842</v>
      </c>
      <c r="R48" s="2">
        <v>1509.84</v>
      </c>
      <c r="S48">
        <f t="shared" si="0"/>
        <v>1509.84</v>
      </c>
      <c r="T48" t="s">
        <v>1874</v>
      </c>
      <c r="U48" s="1">
        <f>_xlfn.XLOOKUP(T48,$Y$2:$Y$45,$AA$2:$AA$45)*(Q48-S48)</f>
        <v>26.572800000000008</v>
      </c>
      <c r="AD48" s="19">
        <v>37569</v>
      </c>
      <c r="AE48">
        <v>83.97</v>
      </c>
      <c r="AG48">
        <v>37569</v>
      </c>
      <c r="AH48" s="1">
        <v>83.97</v>
      </c>
    </row>
    <row r="49" spans="1:34" hidden="1" x14ac:dyDescent="0.25">
      <c r="A49" s="2">
        <v>36314</v>
      </c>
      <c r="B49" s="13" t="s">
        <v>190</v>
      </c>
      <c r="C49" s="14" t="s">
        <v>39</v>
      </c>
      <c r="D49" s="15">
        <v>45315</v>
      </c>
      <c r="E49" s="2">
        <v>0</v>
      </c>
      <c r="F49" s="14" t="s">
        <v>195</v>
      </c>
      <c r="G49" t="s">
        <v>196</v>
      </c>
      <c r="H49" s="14" t="s">
        <v>42</v>
      </c>
      <c r="I49" s="2">
        <v>1</v>
      </c>
      <c r="J49" s="2">
        <v>0</v>
      </c>
      <c r="K49" s="2">
        <v>0</v>
      </c>
      <c r="L49" s="2"/>
      <c r="M49" s="2">
        <v>0</v>
      </c>
      <c r="N49" s="14"/>
      <c r="O49" s="14"/>
      <c r="P49" s="2">
        <v>8834.9599999999991</v>
      </c>
      <c r="Q49" s="2">
        <v>8834.9599999999991</v>
      </c>
      <c r="R49" s="2">
        <v>8119.16</v>
      </c>
      <c r="S49">
        <f t="shared" si="0"/>
        <v>8119.16</v>
      </c>
      <c r="T49" t="s">
        <v>1874</v>
      </c>
      <c r="U49" s="1">
        <f>_xlfn.XLOOKUP(T49,$Y$2:$Y$45,$AA$2:$AA$45)*(Q49-S49)</f>
        <v>57.263999999999946</v>
      </c>
      <c r="AD49" s="19">
        <v>37574</v>
      </c>
      <c r="AE49">
        <v>21.515200000000007</v>
      </c>
      <c r="AG49">
        <v>37574</v>
      </c>
      <c r="AH49" s="1">
        <v>21.515200000000007</v>
      </c>
    </row>
    <row r="50" spans="1:34" x14ac:dyDescent="0.25">
      <c r="A50" s="2">
        <v>36314</v>
      </c>
      <c r="B50" s="13" t="s">
        <v>190</v>
      </c>
      <c r="C50" s="14" t="s">
        <v>39</v>
      </c>
      <c r="D50" s="15">
        <v>45315</v>
      </c>
      <c r="E50" s="2">
        <v>0</v>
      </c>
      <c r="F50" s="14" t="s">
        <v>152</v>
      </c>
      <c r="G50" t="s">
        <v>153</v>
      </c>
      <c r="H50" s="14" t="s">
        <v>93</v>
      </c>
      <c r="I50" s="2">
        <v>40</v>
      </c>
      <c r="J50" s="2">
        <v>0</v>
      </c>
      <c r="K50" s="2">
        <v>0</v>
      </c>
      <c r="L50" s="2"/>
      <c r="M50" s="2">
        <v>0</v>
      </c>
      <c r="N50" s="14"/>
      <c r="O50" s="14"/>
      <c r="P50" s="2">
        <v>225</v>
      </c>
      <c r="Q50" s="2">
        <v>9000</v>
      </c>
      <c r="R50" s="2">
        <v>0</v>
      </c>
      <c r="S50">
        <f t="shared" si="0"/>
        <v>0</v>
      </c>
      <c r="T50" t="s">
        <v>1874</v>
      </c>
      <c r="U50">
        <f>_xlfn.XLOOKUP(T50,$Y$2:$Y$45,$AB$2:$AB$45)*(Q50)</f>
        <v>360</v>
      </c>
      <c r="AD50" s="19">
        <v>37591</v>
      </c>
      <c r="AE50">
        <v>0</v>
      </c>
      <c r="AG50">
        <v>37591</v>
      </c>
      <c r="AH50" s="1">
        <v>0</v>
      </c>
    </row>
    <row r="51" spans="1:34" x14ac:dyDescent="0.25">
      <c r="A51" s="2">
        <v>36314</v>
      </c>
      <c r="B51" s="13" t="s">
        <v>190</v>
      </c>
      <c r="C51" s="14" t="s">
        <v>39</v>
      </c>
      <c r="D51" s="15">
        <v>45315</v>
      </c>
      <c r="E51" s="2">
        <v>0</v>
      </c>
      <c r="F51" s="14" t="s">
        <v>154</v>
      </c>
      <c r="G51" t="s">
        <v>155</v>
      </c>
      <c r="H51" s="14" t="s">
        <v>93</v>
      </c>
      <c r="I51" s="2">
        <v>8</v>
      </c>
      <c r="J51" s="2">
        <v>0</v>
      </c>
      <c r="K51" s="2">
        <v>0</v>
      </c>
      <c r="L51" s="2"/>
      <c r="M51" s="2">
        <v>0</v>
      </c>
      <c r="N51" s="14"/>
      <c r="O51" s="14"/>
      <c r="P51" s="2">
        <v>240</v>
      </c>
      <c r="Q51" s="2">
        <v>1920</v>
      </c>
      <c r="R51" s="2">
        <v>0</v>
      </c>
      <c r="S51">
        <f t="shared" si="0"/>
        <v>0</v>
      </c>
      <c r="T51" t="s">
        <v>1874</v>
      </c>
      <c r="U51">
        <f>_xlfn.XLOOKUP(T51,$Y$2:$Y$45,$AB$2:$AB$45)*(Q51)</f>
        <v>76.8</v>
      </c>
      <c r="AD51" s="19">
        <v>37592</v>
      </c>
      <c r="AE51">
        <v>252</v>
      </c>
      <c r="AG51">
        <v>37592</v>
      </c>
      <c r="AH51" s="1">
        <v>252</v>
      </c>
    </row>
    <row r="52" spans="1:34" x14ac:dyDescent="0.25">
      <c r="A52" s="2">
        <v>36314</v>
      </c>
      <c r="B52" s="13" t="s">
        <v>190</v>
      </c>
      <c r="C52" s="14" t="s">
        <v>39</v>
      </c>
      <c r="D52" s="15">
        <v>45315</v>
      </c>
      <c r="E52" s="2">
        <v>0</v>
      </c>
      <c r="F52" s="14" t="s">
        <v>197</v>
      </c>
      <c r="G52" t="s">
        <v>198</v>
      </c>
      <c r="H52" s="14" t="s">
        <v>93</v>
      </c>
      <c r="I52" s="2">
        <v>2</v>
      </c>
      <c r="J52" s="2">
        <v>0</v>
      </c>
      <c r="K52" s="2">
        <v>0</v>
      </c>
      <c r="L52" s="2"/>
      <c r="M52" s="2">
        <v>0</v>
      </c>
      <c r="N52" s="14"/>
      <c r="O52" s="14"/>
      <c r="P52" s="2">
        <v>112.5</v>
      </c>
      <c r="Q52" s="2">
        <v>225</v>
      </c>
      <c r="R52" s="2">
        <v>0</v>
      </c>
      <c r="S52">
        <f t="shared" si="0"/>
        <v>0</v>
      </c>
      <c r="T52" t="s">
        <v>1874</v>
      </c>
      <c r="U52">
        <f>_xlfn.XLOOKUP(T52,$Y$2:$Y$45,$AB$2:$AB$45)*(Q52)</f>
        <v>9</v>
      </c>
      <c r="AD52" s="19">
        <v>37606</v>
      </c>
      <c r="AE52">
        <v>83.065600000000018</v>
      </c>
      <c r="AG52">
        <v>37606</v>
      </c>
      <c r="AH52" s="1">
        <v>83.065600000000018</v>
      </c>
    </row>
    <row r="53" spans="1:34" hidden="1" x14ac:dyDescent="0.25">
      <c r="A53" s="2">
        <v>36335</v>
      </c>
      <c r="B53" s="13" t="s">
        <v>199</v>
      </c>
      <c r="C53" s="14" t="s">
        <v>39</v>
      </c>
      <c r="D53" s="15">
        <v>45296</v>
      </c>
      <c r="E53" s="2">
        <v>0</v>
      </c>
      <c r="F53" s="14" t="s">
        <v>200</v>
      </c>
      <c r="G53" t="s">
        <v>201</v>
      </c>
      <c r="H53" s="14" t="s">
        <v>42</v>
      </c>
      <c r="I53" s="2">
        <v>1</v>
      </c>
      <c r="J53" s="2">
        <v>0</v>
      </c>
      <c r="K53" s="2">
        <v>0</v>
      </c>
      <c r="L53" s="2"/>
      <c r="M53" s="2">
        <v>0</v>
      </c>
      <c r="N53" s="14"/>
      <c r="O53" s="14"/>
      <c r="P53" s="2">
        <v>1410</v>
      </c>
      <c r="Q53" s="2">
        <v>1410</v>
      </c>
      <c r="R53" s="2">
        <v>1240.8</v>
      </c>
      <c r="S53">
        <f t="shared" si="0"/>
        <v>1240.8</v>
      </c>
      <c r="T53" t="s">
        <v>151</v>
      </c>
      <c r="U53" s="1">
        <f t="shared" ref="U53:U60" si="3">_xlfn.XLOOKUP(T53,$Y$2:$Y$45,$AA$2:$AA$45)*(Q53-S53)</f>
        <v>13.536000000000003</v>
      </c>
      <c r="AD53" s="19">
        <v>37614</v>
      </c>
      <c r="AE53">
        <v>0</v>
      </c>
      <c r="AG53">
        <v>37614</v>
      </c>
      <c r="AH53" s="1">
        <v>0</v>
      </c>
    </row>
    <row r="54" spans="1:34" hidden="1" x14ac:dyDescent="0.25">
      <c r="A54" s="2">
        <v>36364</v>
      </c>
      <c r="B54" s="13" t="s">
        <v>202</v>
      </c>
      <c r="C54" s="14" t="s">
        <v>39</v>
      </c>
      <c r="D54" s="15">
        <v>45300</v>
      </c>
      <c r="E54" s="2">
        <v>0</v>
      </c>
      <c r="F54" s="14" t="s">
        <v>203</v>
      </c>
      <c r="G54" t="s">
        <v>204</v>
      </c>
      <c r="H54" s="14" t="s">
        <v>42</v>
      </c>
      <c r="I54" s="2">
        <v>1</v>
      </c>
      <c r="J54" s="2">
        <v>0</v>
      </c>
      <c r="K54" s="2">
        <v>0</v>
      </c>
      <c r="L54" s="2"/>
      <c r="M54" s="2">
        <v>0</v>
      </c>
      <c r="N54" s="14"/>
      <c r="O54" s="14"/>
      <c r="P54" s="2">
        <v>360</v>
      </c>
      <c r="Q54" s="2">
        <v>360</v>
      </c>
      <c r="R54" s="2">
        <v>273.60000000000002</v>
      </c>
      <c r="S54">
        <f t="shared" si="0"/>
        <v>273.60000000000002</v>
      </c>
      <c r="T54" t="s">
        <v>151</v>
      </c>
      <c r="U54" s="1">
        <f t="shared" si="3"/>
        <v>6.9119999999999981</v>
      </c>
      <c r="AD54" s="19">
        <v>37623</v>
      </c>
      <c r="AE54">
        <v>613.03275000000008</v>
      </c>
      <c r="AG54">
        <v>37623</v>
      </c>
      <c r="AH54" s="1">
        <v>613.03275000000008</v>
      </c>
    </row>
    <row r="55" spans="1:34" hidden="1" x14ac:dyDescent="0.25">
      <c r="A55" s="2">
        <v>36364</v>
      </c>
      <c r="B55" s="13" t="s">
        <v>202</v>
      </c>
      <c r="C55" s="14" t="s">
        <v>39</v>
      </c>
      <c r="D55" s="15">
        <v>45300</v>
      </c>
      <c r="E55" s="2">
        <v>0</v>
      </c>
      <c r="F55" s="14" t="s">
        <v>205</v>
      </c>
      <c r="G55" t="s">
        <v>206</v>
      </c>
      <c r="H55" s="14" t="s">
        <v>42</v>
      </c>
      <c r="I55" s="2">
        <v>1</v>
      </c>
      <c r="J55" s="2">
        <v>0</v>
      </c>
      <c r="K55" s="2">
        <v>0</v>
      </c>
      <c r="L55" s="2"/>
      <c r="M55" s="2">
        <v>0</v>
      </c>
      <c r="N55" s="14"/>
      <c r="O55" s="14"/>
      <c r="P55" s="2">
        <v>220</v>
      </c>
      <c r="Q55" s="2">
        <v>220</v>
      </c>
      <c r="R55" s="2">
        <v>193.6</v>
      </c>
      <c r="S55">
        <f t="shared" si="0"/>
        <v>193.6</v>
      </c>
      <c r="T55" t="s">
        <v>151</v>
      </c>
      <c r="U55" s="1">
        <f t="shared" si="3"/>
        <v>2.1120000000000005</v>
      </c>
      <c r="AD55" s="19">
        <v>37673</v>
      </c>
      <c r="AE55">
        <v>210.87199999999999</v>
      </c>
      <c r="AG55">
        <v>37673</v>
      </c>
      <c r="AH55" s="1">
        <v>210.87199999999999</v>
      </c>
    </row>
    <row r="56" spans="1:34" hidden="1" x14ac:dyDescent="0.25">
      <c r="A56" s="2">
        <v>36364</v>
      </c>
      <c r="B56" s="13" t="s">
        <v>202</v>
      </c>
      <c r="C56" s="14" t="s">
        <v>39</v>
      </c>
      <c r="D56" s="15">
        <v>45300</v>
      </c>
      <c r="E56" s="2">
        <v>0</v>
      </c>
      <c r="F56" s="14" t="s">
        <v>207</v>
      </c>
      <c r="G56" t="s">
        <v>208</v>
      </c>
      <c r="H56" s="14" t="s">
        <v>42</v>
      </c>
      <c r="I56" s="2">
        <v>1</v>
      </c>
      <c r="J56" s="2">
        <v>0</v>
      </c>
      <c r="K56" s="2">
        <v>0</v>
      </c>
      <c r="L56" s="2"/>
      <c r="M56" s="2">
        <v>0</v>
      </c>
      <c r="N56" s="14"/>
      <c r="O56" s="14"/>
      <c r="P56" s="2">
        <v>360</v>
      </c>
      <c r="Q56" s="2">
        <v>360</v>
      </c>
      <c r="R56" s="2">
        <v>273.60000000000002</v>
      </c>
      <c r="S56">
        <f t="shared" si="0"/>
        <v>273.60000000000002</v>
      </c>
      <c r="T56" t="s">
        <v>151</v>
      </c>
      <c r="U56" s="1">
        <f t="shared" si="3"/>
        <v>6.9119999999999981</v>
      </c>
      <c r="AD56" s="19">
        <v>37744</v>
      </c>
      <c r="AE56">
        <v>0</v>
      </c>
      <c r="AG56">
        <v>37744</v>
      </c>
      <c r="AH56" s="1">
        <v>0</v>
      </c>
    </row>
    <row r="57" spans="1:34" hidden="1" x14ac:dyDescent="0.25">
      <c r="A57" s="2">
        <v>36364</v>
      </c>
      <c r="B57" s="13" t="s">
        <v>202</v>
      </c>
      <c r="C57" s="14" t="s">
        <v>39</v>
      </c>
      <c r="D57" s="15">
        <v>45300</v>
      </c>
      <c r="E57" s="2">
        <v>0</v>
      </c>
      <c r="F57" s="14" t="s">
        <v>209</v>
      </c>
      <c r="G57" t="s">
        <v>210</v>
      </c>
      <c r="H57" s="14" t="s">
        <v>42</v>
      </c>
      <c r="I57" s="2">
        <v>1</v>
      </c>
      <c r="J57" s="2">
        <v>0</v>
      </c>
      <c r="K57" s="2">
        <v>0</v>
      </c>
      <c r="L57" s="2"/>
      <c r="M57" s="2">
        <v>0</v>
      </c>
      <c r="N57" s="14"/>
      <c r="O57" s="14"/>
      <c r="P57" s="2">
        <v>360</v>
      </c>
      <c r="Q57" s="2">
        <v>360</v>
      </c>
      <c r="R57" s="2">
        <v>273.60000000000002</v>
      </c>
      <c r="S57">
        <f t="shared" si="0"/>
        <v>273.60000000000002</v>
      </c>
      <c r="T57" t="s">
        <v>151</v>
      </c>
      <c r="U57" s="1">
        <f t="shared" si="3"/>
        <v>6.9119999999999981</v>
      </c>
      <c r="AD57" s="19">
        <v>37766</v>
      </c>
      <c r="AE57">
        <v>28.220000000000002</v>
      </c>
      <c r="AG57">
        <v>37766</v>
      </c>
      <c r="AH57" s="1">
        <v>28.220000000000002</v>
      </c>
    </row>
    <row r="58" spans="1:34" hidden="1" x14ac:dyDescent="0.25">
      <c r="A58" s="2">
        <v>36417</v>
      </c>
      <c r="B58" s="13" t="s">
        <v>211</v>
      </c>
      <c r="C58" s="14" t="s">
        <v>39</v>
      </c>
      <c r="D58" s="15">
        <v>45294</v>
      </c>
      <c r="E58" s="2">
        <v>0</v>
      </c>
      <c r="F58" s="14" t="s">
        <v>212</v>
      </c>
      <c r="G58" t="s">
        <v>213</v>
      </c>
      <c r="H58" s="14" t="s">
        <v>42</v>
      </c>
      <c r="I58" s="2">
        <v>18</v>
      </c>
      <c r="J58" s="2">
        <v>0</v>
      </c>
      <c r="K58" s="2">
        <v>0</v>
      </c>
      <c r="L58" s="2"/>
      <c r="M58" s="2">
        <v>0</v>
      </c>
      <c r="N58" s="14"/>
      <c r="O58" s="14"/>
      <c r="P58" s="2">
        <v>177.36</v>
      </c>
      <c r="Q58" s="2">
        <v>3192.48</v>
      </c>
      <c r="R58" s="2">
        <v>138.53</v>
      </c>
      <c r="S58">
        <f t="shared" si="0"/>
        <v>2493.54</v>
      </c>
      <c r="T58" t="s">
        <v>1874</v>
      </c>
      <c r="U58" s="1">
        <f t="shared" si="3"/>
        <v>55.915200000000006</v>
      </c>
      <c r="AD58" s="19">
        <v>37770</v>
      </c>
      <c r="AE58">
        <v>0</v>
      </c>
      <c r="AG58">
        <v>37770</v>
      </c>
      <c r="AH58" s="1">
        <v>0</v>
      </c>
    </row>
    <row r="59" spans="1:34" hidden="1" x14ac:dyDescent="0.25">
      <c r="A59" s="2">
        <v>36417</v>
      </c>
      <c r="B59" s="13" t="s">
        <v>211</v>
      </c>
      <c r="C59" s="14" t="s">
        <v>39</v>
      </c>
      <c r="D59" s="15">
        <v>45294</v>
      </c>
      <c r="E59" s="2">
        <v>0</v>
      </c>
      <c r="F59" s="14" t="s">
        <v>214</v>
      </c>
      <c r="G59" t="s">
        <v>215</v>
      </c>
      <c r="H59" s="14" t="s">
        <v>42</v>
      </c>
      <c r="I59" s="2">
        <v>8</v>
      </c>
      <c r="J59" s="2">
        <v>0</v>
      </c>
      <c r="K59" s="2">
        <v>0</v>
      </c>
      <c r="L59" s="2"/>
      <c r="M59" s="2">
        <v>0</v>
      </c>
      <c r="N59" s="14"/>
      <c r="O59" s="14"/>
      <c r="P59" s="2">
        <v>369.48</v>
      </c>
      <c r="Q59" s="2">
        <v>2955.84</v>
      </c>
      <c r="R59" s="2">
        <v>342.45</v>
      </c>
      <c r="S59">
        <f t="shared" si="0"/>
        <v>2739.6</v>
      </c>
      <c r="T59" t="s">
        <v>1874</v>
      </c>
      <c r="U59" s="1">
        <f t="shared" si="3"/>
        <v>17.29920000000002</v>
      </c>
      <c r="AD59" s="19">
        <v>37781</v>
      </c>
      <c r="AE59">
        <v>277.92</v>
      </c>
      <c r="AG59">
        <v>37781</v>
      </c>
      <c r="AH59" s="1">
        <v>277.92</v>
      </c>
    </row>
    <row r="60" spans="1:34" hidden="1" x14ac:dyDescent="0.25">
      <c r="A60" s="2">
        <v>36507</v>
      </c>
      <c r="B60" s="13" t="s">
        <v>216</v>
      </c>
      <c r="C60" s="14" t="s">
        <v>39</v>
      </c>
      <c r="D60" s="15">
        <v>45307</v>
      </c>
      <c r="E60" s="2">
        <v>0</v>
      </c>
      <c r="F60" s="14" t="s">
        <v>217</v>
      </c>
      <c r="G60" t="s">
        <v>218</v>
      </c>
      <c r="H60" s="14" t="s">
        <v>173</v>
      </c>
      <c r="I60" s="2">
        <v>1</v>
      </c>
      <c r="J60" s="2">
        <v>0</v>
      </c>
      <c r="K60" s="2">
        <v>0</v>
      </c>
      <c r="L60" s="2"/>
      <c r="M60" s="2">
        <v>0</v>
      </c>
      <c r="N60" s="14"/>
      <c r="O60" s="14"/>
      <c r="P60" s="2">
        <v>83</v>
      </c>
      <c r="Q60" s="2">
        <v>83</v>
      </c>
      <c r="R60" s="2">
        <v>67.989999999999995</v>
      </c>
      <c r="S60">
        <f t="shared" si="0"/>
        <v>67.989999999999995</v>
      </c>
      <c r="T60" t="s">
        <v>1874</v>
      </c>
      <c r="U60" s="1">
        <f t="shared" si="3"/>
        <v>1.2008000000000005</v>
      </c>
      <c r="AD60" s="19">
        <v>37784</v>
      </c>
      <c r="AE60">
        <v>1179.3138000000001</v>
      </c>
      <c r="AG60">
        <v>37784</v>
      </c>
      <c r="AH60" s="1">
        <v>1179.3138000000001</v>
      </c>
    </row>
    <row r="61" spans="1:34" x14ac:dyDescent="0.25">
      <c r="A61" s="2">
        <v>36507</v>
      </c>
      <c r="B61" s="13" t="s">
        <v>216</v>
      </c>
      <c r="C61" s="14" t="s">
        <v>39</v>
      </c>
      <c r="D61" s="15">
        <v>45307</v>
      </c>
      <c r="E61" s="2">
        <v>0</v>
      </c>
      <c r="F61" s="14" t="s">
        <v>219</v>
      </c>
      <c r="G61" t="s">
        <v>220</v>
      </c>
      <c r="H61" s="14" t="s">
        <v>93</v>
      </c>
      <c r="I61" s="2">
        <v>1</v>
      </c>
      <c r="J61" s="2">
        <v>0</v>
      </c>
      <c r="K61" s="2">
        <v>0</v>
      </c>
      <c r="L61" s="2"/>
      <c r="M61" s="2">
        <v>0</v>
      </c>
      <c r="N61" s="14"/>
      <c r="O61" s="14"/>
      <c r="P61" s="2">
        <v>149</v>
      </c>
      <c r="Q61" s="2">
        <v>149</v>
      </c>
      <c r="R61" s="2">
        <v>0</v>
      </c>
      <c r="S61">
        <f t="shared" si="0"/>
        <v>0</v>
      </c>
      <c r="T61" t="s">
        <v>1874</v>
      </c>
      <c r="U61">
        <f>_xlfn.XLOOKUP(T61,$Y$2:$Y$45,$AB$2:$AB$45)*(Q61)</f>
        <v>5.96</v>
      </c>
      <c r="AD61" s="19">
        <v>37814</v>
      </c>
      <c r="AE61">
        <v>6</v>
      </c>
      <c r="AG61">
        <v>37814</v>
      </c>
      <c r="AH61" s="1">
        <v>6</v>
      </c>
    </row>
    <row r="62" spans="1:34" hidden="1" x14ac:dyDescent="0.25">
      <c r="A62" s="2">
        <v>36636</v>
      </c>
      <c r="B62" s="13" t="s">
        <v>221</v>
      </c>
      <c r="C62" s="14" t="s">
        <v>39</v>
      </c>
      <c r="D62" s="15">
        <v>45301</v>
      </c>
      <c r="E62" s="2">
        <v>0</v>
      </c>
      <c r="F62" s="14" t="s">
        <v>54</v>
      </c>
      <c r="G62" t="s">
        <v>222</v>
      </c>
      <c r="H62" s="14" t="s">
        <v>42</v>
      </c>
      <c r="I62" s="2">
        <v>2</v>
      </c>
      <c r="J62" s="2">
        <v>0</v>
      </c>
      <c r="K62" s="2">
        <v>0</v>
      </c>
      <c r="L62" s="2"/>
      <c r="M62" s="2">
        <v>0</v>
      </c>
      <c r="N62" s="14"/>
      <c r="O62" s="14"/>
      <c r="P62" s="2">
        <v>105.17</v>
      </c>
      <c r="Q62" s="2">
        <v>210.34</v>
      </c>
      <c r="R62" s="2">
        <v>91.5</v>
      </c>
      <c r="S62">
        <f t="shared" si="0"/>
        <v>183</v>
      </c>
      <c r="T62" t="s">
        <v>184</v>
      </c>
      <c r="U62" s="1">
        <f>_xlfn.XLOOKUP(T62,$Y$2:$Y$45,$AA$2:$AA$45)*(Q62-S62)</f>
        <v>0</v>
      </c>
      <c r="AD62" s="19">
        <v>37835</v>
      </c>
      <c r="AE62">
        <v>36.215200000000003</v>
      </c>
      <c r="AG62">
        <v>37835</v>
      </c>
      <c r="AH62" s="1">
        <v>36.215200000000003</v>
      </c>
    </row>
    <row r="63" spans="1:34" hidden="1" x14ac:dyDescent="0.25">
      <c r="A63" s="2">
        <v>36636</v>
      </c>
      <c r="B63" s="13" t="s">
        <v>221</v>
      </c>
      <c r="C63" s="14" t="s">
        <v>39</v>
      </c>
      <c r="D63" s="15">
        <v>45301</v>
      </c>
      <c r="E63" s="2">
        <v>0</v>
      </c>
      <c r="F63" s="14" t="s">
        <v>223</v>
      </c>
      <c r="G63" t="s">
        <v>224</v>
      </c>
      <c r="H63" s="14" t="s">
        <v>42</v>
      </c>
      <c r="I63" s="2">
        <v>1</v>
      </c>
      <c r="J63" s="2">
        <v>0</v>
      </c>
      <c r="K63" s="2">
        <v>0</v>
      </c>
      <c r="L63" s="2"/>
      <c r="M63" s="2">
        <v>0</v>
      </c>
      <c r="N63" s="14"/>
      <c r="O63" s="14"/>
      <c r="P63" s="2">
        <v>92.7</v>
      </c>
      <c r="Q63" s="2">
        <v>92.7</v>
      </c>
      <c r="R63" s="2">
        <v>80.650000000000006</v>
      </c>
      <c r="S63">
        <f t="shared" si="0"/>
        <v>80.650000000000006</v>
      </c>
      <c r="T63" t="s">
        <v>184</v>
      </c>
      <c r="U63" s="1">
        <f>_xlfn.XLOOKUP(T63,$Y$2:$Y$45,$AA$2:$AA$45)*(Q63-S63)</f>
        <v>0</v>
      </c>
      <c r="AD63" s="19">
        <v>37886</v>
      </c>
      <c r="AE63">
        <v>820</v>
      </c>
      <c r="AG63">
        <v>37886</v>
      </c>
      <c r="AH63" s="1">
        <v>820</v>
      </c>
    </row>
    <row r="64" spans="1:34" hidden="1" x14ac:dyDescent="0.25">
      <c r="A64" s="2">
        <v>36636</v>
      </c>
      <c r="B64" s="13" t="s">
        <v>221</v>
      </c>
      <c r="C64" s="14" t="s">
        <v>39</v>
      </c>
      <c r="D64" s="15">
        <v>45301</v>
      </c>
      <c r="E64" s="2">
        <v>0</v>
      </c>
      <c r="F64" s="14" t="s">
        <v>49</v>
      </c>
      <c r="G64" t="s">
        <v>225</v>
      </c>
      <c r="H64" s="14" t="s">
        <v>42</v>
      </c>
      <c r="I64" s="2">
        <v>5</v>
      </c>
      <c r="J64" s="2">
        <v>0</v>
      </c>
      <c r="K64" s="2">
        <v>0</v>
      </c>
      <c r="L64" s="2"/>
      <c r="M64" s="2">
        <v>0</v>
      </c>
      <c r="N64" s="14"/>
      <c r="O64" s="14"/>
      <c r="P64" s="2">
        <v>117.66</v>
      </c>
      <c r="Q64" s="2">
        <v>588.29999999999995</v>
      </c>
      <c r="R64" s="2">
        <v>102.36</v>
      </c>
      <c r="S64">
        <f t="shared" si="0"/>
        <v>511.8</v>
      </c>
      <c r="T64" t="s">
        <v>184</v>
      </c>
      <c r="U64" s="1">
        <f>_xlfn.XLOOKUP(T64,$Y$2:$Y$45,$AA$2:$AA$45)*(Q64-S64)</f>
        <v>0</v>
      </c>
      <c r="AD64" s="19">
        <v>37888</v>
      </c>
      <c r="AE64">
        <v>60.2</v>
      </c>
      <c r="AG64">
        <v>37888</v>
      </c>
      <c r="AH64" s="1">
        <v>60.2</v>
      </c>
    </row>
    <row r="65" spans="1:34" x14ac:dyDescent="0.25">
      <c r="A65" s="2">
        <v>36677</v>
      </c>
      <c r="B65" s="39" t="s">
        <v>226</v>
      </c>
      <c r="C65" s="14" t="s">
        <v>39</v>
      </c>
      <c r="D65" s="15">
        <v>45296</v>
      </c>
      <c r="E65" s="2">
        <v>0</v>
      </c>
      <c r="F65" s="14" t="s">
        <v>148</v>
      </c>
      <c r="G65" t="s">
        <v>227</v>
      </c>
      <c r="H65" s="14" t="s">
        <v>93</v>
      </c>
      <c r="I65" s="2">
        <v>1</v>
      </c>
      <c r="J65" s="2">
        <v>0</v>
      </c>
      <c r="K65" s="2">
        <v>0</v>
      </c>
      <c r="L65" s="2"/>
      <c r="M65" s="2">
        <v>0</v>
      </c>
      <c r="N65" s="14"/>
      <c r="O65" s="14"/>
      <c r="P65" s="2">
        <v>6300</v>
      </c>
      <c r="Q65" s="2">
        <v>6300</v>
      </c>
      <c r="R65" s="2">
        <v>2420</v>
      </c>
      <c r="S65">
        <f t="shared" si="0"/>
        <v>2420</v>
      </c>
      <c r="T65" t="s">
        <v>84</v>
      </c>
      <c r="U65">
        <f t="shared" ref="U65:U70" si="4">_xlfn.XLOOKUP(T65,$Y$2:$Y$45,$AB$2:$AB$45)*(Q65)</f>
        <v>252</v>
      </c>
      <c r="AD65" s="19">
        <v>37894</v>
      </c>
      <c r="AE65">
        <v>41.8</v>
      </c>
      <c r="AG65">
        <v>37894</v>
      </c>
      <c r="AH65" s="1">
        <v>41.8</v>
      </c>
    </row>
    <row r="66" spans="1:34" x14ac:dyDescent="0.25">
      <c r="A66" s="2">
        <v>36677</v>
      </c>
      <c r="B66" s="39" t="s">
        <v>226</v>
      </c>
      <c r="C66" s="14" t="s">
        <v>39</v>
      </c>
      <c r="D66" s="15">
        <v>45296</v>
      </c>
      <c r="E66" s="2">
        <v>0</v>
      </c>
      <c r="F66" s="14" t="s">
        <v>152</v>
      </c>
      <c r="G66" t="s">
        <v>228</v>
      </c>
      <c r="H66" s="14" t="s">
        <v>93</v>
      </c>
      <c r="I66" s="2">
        <v>1</v>
      </c>
      <c r="J66" s="2">
        <v>0</v>
      </c>
      <c r="K66" s="2">
        <v>0</v>
      </c>
      <c r="L66" s="2"/>
      <c r="M66" s="2">
        <v>0</v>
      </c>
      <c r="N66" s="14"/>
      <c r="O66" s="14"/>
      <c r="P66" s="2">
        <v>4950</v>
      </c>
      <c r="Q66" s="2">
        <v>4950</v>
      </c>
      <c r="R66" s="2">
        <v>0</v>
      </c>
      <c r="S66">
        <f t="shared" ref="S66:S129" si="5">R66*I66</f>
        <v>0</v>
      </c>
      <c r="T66" t="s">
        <v>84</v>
      </c>
      <c r="U66">
        <f t="shared" si="4"/>
        <v>198</v>
      </c>
      <c r="AD66" s="19">
        <v>37914</v>
      </c>
      <c r="AE66">
        <v>7.0399999999999643E-2</v>
      </c>
      <c r="AG66">
        <v>37914</v>
      </c>
      <c r="AH66" s="1">
        <v>7.0399999999999643E-2</v>
      </c>
    </row>
    <row r="67" spans="1:34" x14ac:dyDescent="0.25">
      <c r="A67" s="2">
        <v>36677</v>
      </c>
      <c r="B67" s="39" t="s">
        <v>226</v>
      </c>
      <c r="C67" s="14" t="s">
        <v>39</v>
      </c>
      <c r="D67" s="15">
        <v>45296</v>
      </c>
      <c r="E67" s="2">
        <v>0</v>
      </c>
      <c r="F67" s="14" t="s">
        <v>152</v>
      </c>
      <c r="G67" t="s">
        <v>229</v>
      </c>
      <c r="H67" s="14" t="s">
        <v>93</v>
      </c>
      <c r="I67" s="2">
        <v>1</v>
      </c>
      <c r="J67" s="2">
        <v>0</v>
      </c>
      <c r="K67" s="2">
        <v>0</v>
      </c>
      <c r="L67" s="2"/>
      <c r="M67" s="2">
        <v>0</v>
      </c>
      <c r="N67" s="14"/>
      <c r="O67" s="14"/>
      <c r="P67" s="2">
        <v>2250</v>
      </c>
      <c r="Q67" s="2">
        <v>2250</v>
      </c>
      <c r="R67" s="2">
        <v>0</v>
      </c>
      <c r="S67">
        <f t="shared" si="5"/>
        <v>0</v>
      </c>
      <c r="T67" t="s">
        <v>84</v>
      </c>
      <c r="U67">
        <f t="shared" si="4"/>
        <v>90</v>
      </c>
      <c r="AD67" s="19">
        <v>37915</v>
      </c>
      <c r="AE67">
        <v>6.7423999999999982</v>
      </c>
      <c r="AG67">
        <v>37915</v>
      </c>
      <c r="AH67" s="1">
        <v>6.7423999999999982</v>
      </c>
    </row>
    <row r="68" spans="1:34" x14ac:dyDescent="0.25">
      <c r="A68" s="2">
        <v>36677</v>
      </c>
      <c r="B68" s="39" t="s">
        <v>226</v>
      </c>
      <c r="C68" s="14" t="s">
        <v>39</v>
      </c>
      <c r="D68" s="15">
        <v>45296</v>
      </c>
      <c r="E68" s="2">
        <v>0</v>
      </c>
      <c r="F68" s="14" t="s">
        <v>152</v>
      </c>
      <c r="G68" t="s">
        <v>230</v>
      </c>
      <c r="H68" s="14" t="s">
        <v>93</v>
      </c>
      <c r="I68" s="2">
        <v>1</v>
      </c>
      <c r="J68" s="2">
        <v>0</v>
      </c>
      <c r="K68" s="2">
        <v>0</v>
      </c>
      <c r="L68" s="2"/>
      <c r="M68" s="2">
        <v>0</v>
      </c>
      <c r="N68" s="14"/>
      <c r="O68" s="14"/>
      <c r="P68" s="2">
        <v>1575</v>
      </c>
      <c r="Q68" s="2">
        <v>1575</v>
      </c>
      <c r="R68" s="2">
        <v>0</v>
      </c>
      <c r="S68">
        <f t="shared" si="5"/>
        <v>0</v>
      </c>
      <c r="T68" t="s">
        <v>84</v>
      </c>
      <c r="U68">
        <f t="shared" si="4"/>
        <v>63</v>
      </c>
      <c r="AD68" s="19">
        <v>37929</v>
      </c>
      <c r="AE68">
        <v>32.94</v>
      </c>
      <c r="AG68">
        <v>37929</v>
      </c>
      <c r="AH68" s="1">
        <v>32.94</v>
      </c>
    </row>
    <row r="69" spans="1:34" x14ac:dyDescent="0.25">
      <c r="A69" s="2">
        <v>36677</v>
      </c>
      <c r="B69" s="39" t="s">
        <v>226</v>
      </c>
      <c r="C69" s="14" t="s">
        <v>39</v>
      </c>
      <c r="D69" s="15">
        <v>45296</v>
      </c>
      <c r="E69" s="2">
        <v>0</v>
      </c>
      <c r="F69" s="14" t="s">
        <v>152</v>
      </c>
      <c r="G69" t="s">
        <v>231</v>
      </c>
      <c r="H69" s="14" t="s">
        <v>93</v>
      </c>
      <c r="I69" s="2">
        <v>1</v>
      </c>
      <c r="J69" s="2">
        <v>0</v>
      </c>
      <c r="K69" s="2">
        <v>0</v>
      </c>
      <c r="L69" s="2"/>
      <c r="M69" s="2">
        <v>0</v>
      </c>
      <c r="N69" s="14"/>
      <c r="O69" s="14"/>
      <c r="P69" s="2">
        <v>7125</v>
      </c>
      <c r="Q69" s="2">
        <v>7125</v>
      </c>
      <c r="R69" s="2">
        <v>0</v>
      </c>
      <c r="S69">
        <f t="shared" si="5"/>
        <v>0</v>
      </c>
      <c r="T69" t="s">
        <v>84</v>
      </c>
      <c r="U69">
        <f t="shared" si="4"/>
        <v>285</v>
      </c>
      <c r="AD69" s="19">
        <v>37937</v>
      </c>
      <c r="AE69">
        <v>19.32</v>
      </c>
      <c r="AG69">
        <v>37937</v>
      </c>
      <c r="AH69" s="1">
        <v>19.32</v>
      </c>
    </row>
    <row r="70" spans="1:34" x14ac:dyDescent="0.25">
      <c r="A70" s="2">
        <v>36677</v>
      </c>
      <c r="B70" s="39" t="s">
        <v>226</v>
      </c>
      <c r="C70" s="14" t="s">
        <v>39</v>
      </c>
      <c r="D70" s="15">
        <v>45296</v>
      </c>
      <c r="E70" s="2">
        <v>0</v>
      </c>
      <c r="F70" s="14" t="s">
        <v>148</v>
      </c>
      <c r="G70" t="s">
        <v>232</v>
      </c>
      <c r="H70" s="14" t="s">
        <v>93</v>
      </c>
      <c r="I70" s="2">
        <v>1</v>
      </c>
      <c r="J70" s="2">
        <v>0</v>
      </c>
      <c r="K70" s="2">
        <v>0</v>
      </c>
      <c r="L70" s="2"/>
      <c r="M70" s="2">
        <v>0</v>
      </c>
      <c r="N70" s="14"/>
      <c r="O70" s="14"/>
      <c r="P70" s="2">
        <v>6000</v>
      </c>
      <c r="Q70" s="2">
        <v>6000</v>
      </c>
      <c r="R70" s="2">
        <v>2190</v>
      </c>
      <c r="S70">
        <f t="shared" si="5"/>
        <v>2190</v>
      </c>
      <c r="T70" t="s">
        <v>84</v>
      </c>
      <c r="U70">
        <f t="shared" si="4"/>
        <v>240</v>
      </c>
      <c r="AD70" s="19">
        <v>37950</v>
      </c>
      <c r="AE70">
        <v>9.788000000000002</v>
      </c>
      <c r="AG70">
        <v>37950</v>
      </c>
      <c r="AH70" s="1">
        <v>9.788000000000002</v>
      </c>
    </row>
    <row r="71" spans="1:34" hidden="1" x14ac:dyDescent="0.25">
      <c r="A71" s="2">
        <v>36780</v>
      </c>
      <c r="B71" s="13" t="s">
        <v>233</v>
      </c>
      <c r="C71" s="14" t="s">
        <v>39</v>
      </c>
      <c r="D71" s="15">
        <v>45301</v>
      </c>
      <c r="E71" s="2">
        <v>0</v>
      </c>
      <c r="F71" s="14" t="s">
        <v>234</v>
      </c>
      <c r="G71" t="s">
        <v>235</v>
      </c>
      <c r="H71" s="14" t="s">
        <v>42</v>
      </c>
      <c r="I71" s="2">
        <v>3</v>
      </c>
      <c r="J71" s="2">
        <v>0</v>
      </c>
      <c r="K71" s="2">
        <v>0</v>
      </c>
      <c r="L71" s="2"/>
      <c r="M71" s="2">
        <v>0</v>
      </c>
      <c r="N71" s="14"/>
      <c r="O71" s="14"/>
      <c r="P71" s="2">
        <v>325</v>
      </c>
      <c r="Q71" s="2">
        <v>975</v>
      </c>
      <c r="R71" s="2">
        <v>265.99</v>
      </c>
      <c r="S71">
        <f t="shared" si="5"/>
        <v>797.97</v>
      </c>
      <c r="T71" t="s">
        <v>1874</v>
      </c>
      <c r="U71" s="1">
        <f>_xlfn.XLOOKUP(T71,$Y$2:$Y$45,$AA$2:$AA$45)*(Q71-S71)</f>
        <v>14.162399999999998</v>
      </c>
      <c r="AD71" s="19">
        <v>37983</v>
      </c>
      <c r="AE71">
        <v>0.88879999999999992</v>
      </c>
      <c r="AG71">
        <v>37983</v>
      </c>
      <c r="AH71" s="1">
        <v>0.88879999999999992</v>
      </c>
    </row>
    <row r="72" spans="1:34" hidden="1" x14ac:dyDescent="0.25">
      <c r="A72" s="2">
        <v>36781</v>
      </c>
      <c r="B72" s="13" t="s">
        <v>236</v>
      </c>
      <c r="C72" s="14" t="s">
        <v>39</v>
      </c>
      <c r="D72" s="15">
        <v>45302</v>
      </c>
      <c r="E72" s="2">
        <v>0</v>
      </c>
      <c r="F72" s="14" t="s">
        <v>237</v>
      </c>
      <c r="G72" t="s">
        <v>238</v>
      </c>
      <c r="H72" s="14" t="s">
        <v>42</v>
      </c>
      <c r="I72" s="2">
        <v>1</v>
      </c>
      <c r="J72" s="2">
        <v>0</v>
      </c>
      <c r="K72" s="2">
        <v>0</v>
      </c>
      <c r="L72" s="2"/>
      <c r="M72" s="2">
        <v>0</v>
      </c>
      <c r="N72" s="14"/>
      <c r="O72" s="14"/>
      <c r="P72" s="2">
        <v>607</v>
      </c>
      <c r="Q72" s="2">
        <v>607</v>
      </c>
      <c r="R72" s="2">
        <v>497.28</v>
      </c>
      <c r="S72">
        <f t="shared" si="5"/>
        <v>497.28</v>
      </c>
      <c r="T72" t="s">
        <v>1874</v>
      </c>
      <c r="U72" s="1">
        <f>_xlfn.XLOOKUP(T72,$Y$2:$Y$45,$AA$2:$AA$45)*(Q72-S72)</f>
        <v>8.7776000000000032</v>
      </c>
      <c r="AD72" s="19">
        <v>37992</v>
      </c>
      <c r="AE72">
        <v>0</v>
      </c>
      <c r="AG72">
        <v>37992</v>
      </c>
      <c r="AH72" s="1">
        <v>0</v>
      </c>
    </row>
    <row r="73" spans="1:34" hidden="1" x14ac:dyDescent="0.25">
      <c r="A73" s="2">
        <v>36783</v>
      </c>
      <c r="B73" s="13" t="s">
        <v>239</v>
      </c>
      <c r="C73" s="14" t="s">
        <v>39</v>
      </c>
      <c r="D73" s="15">
        <v>45308</v>
      </c>
      <c r="E73" s="2">
        <v>0</v>
      </c>
      <c r="F73" s="14" t="s">
        <v>240</v>
      </c>
      <c r="G73" t="s">
        <v>241</v>
      </c>
      <c r="H73" s="14" t="s">
        <v>42</v>
      </c>
      <c r="I73" s="2">
        <v>1</v>
      </c>
      <c r="J73" s="2">
        <v>0</v>
      </c>
      <c r="K73" s="2">
        <v>0</v>
      </c>
      <c r="L73" s="2"/>
      <c r="M73" s="2">
        <v>0</v>
      </c>
      <c r="N73" s="14"/>
      <c r="O73" s="14"/>
      <c r="P73" s="2">
        <v>533</v>
      </c>
      <c r="Q73" s="2">
        <v>533</v>
      </c>
      <c r="R73" s="2">
        <v>436.8</v>
      </c>
      <c r="S73">
        <f t="shared" si="5"/>
        <v>436.8</v>
      </c>
      <c r="T73" t="s">
        <v>1874</v>
      </c>
      <c r="U73" s="1">
        <f>_xlfn.XLOOKUP(T73,$Y$2:$Y$45,$AA$2:$AA$45)*(Q73-S73)</f>
        <v>7.6959999999999988</v>
      </c>
      <c r="AD73" s="19">
        <v>38002</v>
      </c>
      <c r="AE73">
        <v>296.39999999999998</v>
      </c>
      <c r="AG73">
        <v>38002</v>
      </c>
      <c r="AH73" s="1">
        <v>296.39999999999998</v>
      </c>
    </row>
    <row r="74" spans="1:34" hidden="1" x14ac:dyDescent="0.25">
      <c r="A74" s="2">
        <v>36795</v>
      </c>
      <c r="B74" s="13" t="s">
        <v>242</v>
      </c>
      <c r="C74" s="14" t="s">
        <v>39</v>
      </c>
      <c r="D74" s="15">
        <v>45317</v>
      </c>
      <c r="E74" s="2">
        <v>0</v>
      </c>
      <c r="F74" s="14" t="s">
        <v>240</v>
      </c>
      <c r="G74" t="s">
        <v>241</v>
      </c>
      <c r="H74" s="14" t="s">
        <v>42</v>
      </c>
      <c r="I74" s="2">
        <v>1</v>
      </c>
      <c r="J74" s="2">
        <v>0</v>
      </c>
      <c r="K74" s="2">
        <v>0</v>
      </c>
      <c r="L74" s="2"/>
      <c r="M74" s="2">
        <v>0</v>
      </c>
      <c r="N74" s="14"/>
      <c r="O74" s="14"/>
      <c r="P74" s="2">
        <v>533</v>
      </c>
      <c r="Q74" s="2">
        <v>533</v>
      </c>
      <c r="R74" s="2">
        <v>436.8</v>
      </c>
      <c r="S74">
        <f t="shared" si="5"/>
        <v>436.8</v>
      </c>
      <c r="T74" t="s">
        <v>1874</v>
      </c>
      <c r="U74" s="1">
        <f>_xlfn.XLOOKUP(T74,$Y$2:$Y$45,$AA$2:$AA$45)*(Q74-S74)</f>
        <v>7.6959999999999988</v>
      </c>
      <c r="AD74" s="19">
        <v>38045</v>
      </c>
      <c r="AE74">
        <v>328.8</v>
      </c>
      <c r="AG74">
        <v>38045</v>
      </c>
      <c r="AH74" s="1">
        <v>328.8</v>
      </c>
    </row>
    <row r="75" spans="1:34" x14ac:dyDescent="0.25">
      <c r="A75" s="2">
        <v>36853</v>
      </c>
      <c r="B75" s="13" t="s">
        <v>243</v>
      </c>
      <c r="C75" s="14" t="s">
        <v>39</v>
      </c>
      <c r="D75" s="15">
        <v>45320</v>
      </c>
      <c r="E75" s="2">
        <v>0</v>
      </c>
      <c r="F75" s="14" t="s">
        <v>244</v>
      </c>
      <c r="G75" t="s">
        <v>245</v>
      </c>
      <c r="H75" s="14" t="s">
        <v>93</v>
      </c>
      <c r="I75" s="2">
        <v>25</v>
      </c>
      <c r="J75" s="2">
        <v>0</v>
      </c>
      <c r="K75" s="2">
        <v>0</v>
      </c>
      <c r="L75" s="2"/>
      <c r="M75" s="2">
        <v>0</v>
      </c>
      <c r="N75" s="14"/>
      <c r="O75" s="14"/>
      <c r="P75" s="2">
        <v>215</v>
      </c>
      <c r="Q75" s="2">
        <v>5375</v>
      </c>
      <c r="R75" s="2">
        <v>0</v>
      </c>
      <c r="S75">
        <f t="shared" si="5"/>
        <v>0</v>
      </c>
      <c r="T75" t="s">
        <v>147</v>
      </c>
      <c r="U75">
        <f>_xlfn.XLOOKUP(T75,$Y$2:$Y$45,$AB$2:$AB$45)*(Q75)</f>
        <v>215</v>
      </c>
      <c r="AD75" s="19">
        <v>38066</v>
      </c>
      <c r="AE75">
        <v>19.929600000000001</v>
      </c>
      <c r="AG75">
        <v>38066</v>
      </c>
      <c r="AH75" s="1">
        <v>19.929600000000001</v>
      </c>
    </row>
    <row r="76" spans="1:34" hidden="1" x14ac:dyDescent="0.25">
      <c r="A76" s="2">
        <v>36869</v>
      </c>
      <c r="B76" s="13" t="s">
        <v>246</v>
      </c>
      <c r="C76" s="14" t="s">
        <v>39</v>
      </c>
      <c r="D76" s="15">
        <v>45306</v>
      </c>
      <c r="E76" s="2">
        <v>0</v>
      </c>
      <c r="F76" s="14" t="s">
        <v>217</v>
      </c>
      <c r="G76" t="s">
        <v>218</v>
      </c>
      <c r="H76" s="14" t="s">
        <v>173</v>
      </c>
      <c r="I76" s="2">
        <v>1</v>
      </c>
      <c r="J76" s="2">
        <v>0</v>
      </c>
      <c r="K76" s="2">
        <v>0</v>
      </c>
      <c r="L76" s="2"/>
      <c r="M76" s="2">
        <v>0</v>
      </c>
      <c r="N76" s="14"/>
      <c r="O76" s="14"/>
      <c r="P76" s="2">
        <v>83</v>
      </c>
      <c r="Q76" s="2">
        <v>83</v>
      </c>
      <c r="R76" s="2">
        <v>67.989999999999995</v>
      </c>
      <c r="S76">
        <f t="shared" si="5"/>
        <v>67.989999999999995</v>
      </c>
      <c r="T76" t="s">
        <v>1874</v>
      </c>
      <c r="U76" s="1">
        <f>_xlfn.XLOOKUP(T76,$Y$2:$Y$45,$AA$2:$AA$45)*(Q76-S76)</f>
        <v>1.2008000000000005</v>
      </c>
      <c r="AD76" s="19">
        <v>38070</v>
      </c>
      <c r="AE76">
        <v>0</v>
      </c>
      <c r="AG76">
        <v>38070</v>
      </c>
      <c r="AH76" s="1">
        <v>0</v>
      </c>
    </row>
    <row r="77" spans="1:34" x14ac:dyDescent="0.25">
      <c r="A77" s="2">
        <v>36869</v>
      </c>
      <c r="B77" s="13" t="s">
        <v>246</v>
      </c>
      <c r="C77" s="14" t="s">
        <v>39</v>
      </c>
      <c r="D77" s="15">
        <v>45306</v>
      </c>
      <c r="E77" s="2">
        <v>0</v>
      </c>
      <c r="F77" s="14" t="s">
        <v>219</v>
      </c>
      <c r="G77" t="s">
        <v>220</v>
      </c>
      <c r="H77" s="14" t="s">
        <v>93</v>
      </c>
      <c r="I77" s="2">
        <v>1</v>
      </c>
      <c r="J77" s="2">
        <v>0</v>
      </c>
      <c r="K77" s="2">
        <v>0</v>
      </c>
      <c r="L77" s="2"/>
      <c r="M77" s="2">
        <v>0</v>
      </c>
      <c r="N77" s="14"/>
      <c r="O77" s="14"/>
      <c r="P77" s="2">
        <v>149</v>
      </c>
      <c r="Q77" s="2">
        <v>149</v>
      </c>
      <c r="R77" s="2">
        <v>0</v>
      </c>
      <c r="S77">
        <f t="shared" si="5"/>
        <v>0</v>
      </c>
      <c r="T77" t="s">
        <v>1874</v>
      </c>
      <c r="U77">
        <f t="shared" ref="U77:U84" si="6">_xlfn.XLOOKUP(T77,$Y$2:$Y$45,$AB$2:$AB$45)*(Q77)</f>
        <v>5.96</v>
      </c>
      <c r="AD77" s="19">
        <v>38074</v>
      </c>
      <c r="AE77">
        <v>0</v>
      </c>
      <c r="AG77">
        <v>38074</v>
      </c>
      <c r="AH77" s="1">
        <v>0</v>
      </c>
    </row>
    <row r="78" spans="1:34" x14ac:dyDescent="0.25">
      <c r="A78" s="2">
        <v>36995</v>
      </c>
      <c r="B78" s="13" t="s">
        <v>247</v>
      </c>
      <c r="C78" s="14" t="s">
        <v>39</v>
      </c>
      <c r="D78" s="15">
        <v>45306</v>
      </c>
      <c r="E78" s="2">
        <v>0</v>
      </c>
      <c r="F78" s="14" t="s">
        <v>152</v>
      </c>
      <c r="G78" t="s">
        <v>153</v>
      </c>
      <c r="H78" s="14" t="s">
        <v>93</v>
      </c>
      <c r="I78" s="2">
        <v>3</v>
      </c>
      <c r="J78" s="2">
        <v>0</v>
      </c>
      <c r="K78" s="2">
        <v>0</v>
      </c>
      <c r="L78" s="2"/>
      <c r="M78" s="2">
        <v>0</v>
      </c>
      <c r="N78" s="14"/>
      <c r="O78" s="14"/>
      <c r="P78" s="2">
        <v>225</v>
      </c>
      <c r="Q78" s="2">
        <v>675</v>
      </c>
      <c r="R78" s="2">
        <v>0</v>
      </c>
      <c r="S78">
        <f t="shared" si="5"/>
        <v>0</v>
      </c>
      <c r="T78" t="s">
        <v>1874</v>
      </c>
      <c r="U78">
        <f t="shared" si="6"/>
        <v>27</v>
      </c>
      <c r="AD78" s="19">
        <v>38075</v>
      </c>
      <c r="AE78">
        <v>30</v>
      </c>
      <c r="AG78">
        <v>38075</v>
      </c>
      <c r="AH78" s="1">
        <v>30</v>
      </c>
    </row>
    <row r="79" spans="1:34" x14ac:dyDescent="0.25">
      <c r="A79" s="2">
        <v>36995</v>
      </c>
      <c r="B79" s="13" t="s">
        <v>247</v>
      </c>
      <c r="C79" s="14" t="s">
        <v>39</v>
      </c>
      <c r="D79" s="15">
        <v>45306</v>
      </c>
      <c r="E79" s="2">
        <v>0</v>
      </c>
      <c r="F79" s="14" t="s">
        <v>197</v>
      </c>
      <c r="G79" t="s">
        <v>198</v>
      </c>
      <c r="H79" s="14" t="s">
        <v>93</v>
      </c>
      <c r="I79" s="2">
        <v>1</v>
      </c>
      <c r="J79" s="2">
        <v>0</v>
      </c>
      <c r="K79" s="2">
        <v>0</v>
      </c>
      <c r="L79" s="2"/>
      <c r="M79" s="2">
        <v>0</v>
      </c>
      <c r="N79" s="14"/>
      <c r="O79" s="14"/>
      <c r="P79" s="2">
        <v>112.5</v>
      </c>
      <c r="Q79" s="2">
        <v>112.5</v>
      </c>
      <c r="R79" s="2">
        <v>0</v>
      </c>
      <c r="S79">
        <f t="shared" si="5"/>
        <v>0</v>
      </c>
      <c r="T79" t="s">
        <v>1874</v>
      </c>
      <c r="U79">
        <f t="shared" si="6"/>
        <v>4.5</v>
      </c>
      <c r="AD79" s="19">
        <v>38085</v>
      </c>
      <c r="AE79">
        <v>708</v>
      </c>
      <c r="AG79">
        <v>38085</v>
      </c>
      <c r="AH79" s="1">
        <v>708</v>
      </c>
    </row>
    <row r="80" spans="1:34" x14ac:dyDescent="0.25">
      <c r="A80" s="2">
        <v>37048</v>
      </c>
      <c r="B80" s="13" t="s">
        <v>248</v>
      </c>
      <c r="C80" s="14" t="s">
        <v>39</v>
      </c>
      <c r="D80" s="15">
        <v>45322</v>
      </c>
      <c r="E80" s="2">
        <v>103.5</v>
      </c>
      <c r="F80" s="14" t="s">
        <v>249</v>
      </c>
      <c r="G80" t="s">
        <v>250</v>
      </c>
      <c r="H80" s="14" t="s">
        <v>126</v>
      </c>
      <c r="I80" s="2">
        <v>9</v>
      </c>
      <c r="J80" s="2">
        <v>11.5</v>
      </c>
      <c r="K80" s="2">
        <v>5.5</v>
      </c>
      <c r="L80" s="2"/>
      <c r="M80" s="2">
        <v>103.5</v>
      </c>
      <c r="N80" s="14"/>
      <c r="O80" s="14"/>
      <c r="P80" s="2">
        <v>16.75</v>
      </c>
      <c r="Q80" s="2">
        <v>150.75</v>
      </c>
      <c r="R80" s="2">
        <v>0</v>
      </c>
      <c r="S80">
        <f t="shared" si="5"/>
        <v>0</v>
      </c>
      <c r="T80" t="s">
        <v>107</v>
      </c>
      <c r="U80">
        <f t="shared" si="6"/>
        <v>6.03</v>
      </c>
      <c r="AD80" s="19">
        <v>38095</v>
      </c>
      <c r="AE80">
        <v>189.06815</v>
      </c>
      <c r="AG80">
        <v>38095</v>
      </c>
      <c r="AH80" s="1">
        <v>189.06815</v>
      </c>
    </row>
    <row r="81" spans="1:34" hidden="1" x14ac:dyDescent="0.25">
      <c r="A81" s="2">
        <v>37206</v>
      </c>
      <c r="B81" s="13" t="s">
        <v>251</v>
      </c>
      <c r="C81" s="14" t="s">
        <v>39</v>
      </c>
      <c r="D81" s="15">
        <v>45293</v>
      </c>
      <c r="E81" s="2">
        <v>1075</v>
      </c>
      <c r="F81" s="14" t="s">
        <v>252</v>
      </c>
      <c r="G81" t="s">
        <v>253</v>
      </c>
      <c r="H81" s="14" t="s">
        <v>254</v>
      </c>
      <c r="I81" s="2">
        <v>1</v>
      </c>
      <c r="J81" s="2">
        <v>420</v>
      </c>
      <c r="K81" s="2">
        <v>0</v>
      </c>
      <c r="L81" s="2"/>
      <c r="M81" s="2">
        <v>420</v>
      </c>
      <c r="N81" s="14"/>
      <c r="O81" s="14"/>
      <c r="P81" s="2">
        <v>1500</v>
      </c>
      <c r="Q81" s="2">
        <v>1500</v>
      </c>
      <c r="R81" s="2">
        <v>300</v>
      </c>
      <c r="S81">
        <f t="shared" si="5"/>
        <v>300</v>
      </c>
      <c r="T81" t="s">
        <v>147</v>
      </c>
      <c r="U81">
        <f t="shared" si="6"/>
        <v>60</v>
      </c>
      <c r="AD81" s="19">
        <v>38116</v>
      </c>
      <c r="AE81">
        <v>467.92960000000005</v>
      </c>
      <c r="AG81">
        <v>38116</v>
      </c>
      <c r="AH81" s="1">
        <v>467.92960000000005</v>
      </c>
    </row>
    <row r="82" spans="1:34" hidden="1" x14ac:dyDescent="0.25">
      <c r="A82" s="2">
        <v>37206</v>
      </c>
      <c r="B82" s="13" t="s">
        <v>251</v>
      </c>
      <c r="C82" s="14" t="s">
        <v>39</v>
      </c>
      <c r="D82" s="15">
        <v>45293</v>
      </c>
      <c r="E82" s="2">
        <v>1075</v>
      </c>
      <c r="F82" s="14" t="s">
        <v>255</v>
      </c>
      <c r="G82" t="s">
        <v>256</v>
      </c>
      <c r="H82" s="14" t="s">
        <v>254</v>
      </c>
      <c r="I82" s="2">
        <v>1</v>
      </c>
      <c r="J82" s="2">
        <v>265</v>
      </c>
      <c r="K82" s="2">
        <v>246.56</v>
      </c>
      <c r="L82" s="2"/>
      <c r="M82" s="2">
        <v>265</v>
      </c>
      <c r="N82" s="14"/>
      <c r="O82" s="14"/>
      <c r="P82" s="2">
        <v>250</v>
      </c>
      <c r="Q82" s="2">
        <v>250</v>
      </c>
      <c r="R82" s="2">
        <v>1350</v>
      </c>
      <c r="S82">
        <f t="shared" si="5"/>
        <v>1350</v>
      </c>
      <c r="T82" t="s">
        <v>147</v>
      </c>
      <c r="U82">
        <f t="shared" si="6"/>
        <v>10</v>
      </c>
      <c r="AD82" s="19">
        <v>38140</v>
      </c>
      <c r="AE82">
        <v>35.945600000000006</v>
      </c>
      <c r="AG82">
        <v>38140</v>
      </c>
      <c r="AH82" s="1">
        <v>35.945600000000006</v>
      </c>
    </row>
    <row r="83" spans="1:34" hidden="1" x14ac:dyDescent="0.25">
      <c r="A83" s="2">
        <v>37206</v>
      </c>
      <c r="B83" s="13" t="s">
        <v>251</v>
      </c>
      <c r="C83" s="14" t="s">
        <v>39</v>
      </c>
      <c r="D83" s="15">
        <v>45293</v>
      </c>
      <c r="E83" s="2">
        <v>1075</v>
      </c>
      <c r="F83" s="14" t="s">
        <v>257</v>
      </c>
      <c r="G83" t="s">
        <v>258</v>
      </c>
      <c r="H83" s="14" t="s">
        <v>254</v>
      </c>
      <c r="I83" s="2">
        <v>1</v>
      </c>
      <c r="J83" s="2">
        <v>265</v>
      </c>
      <c r="K83" s="2">
        <v>245.56</v>
      </c>
      <c r="L83" s="2"/>
      <c r="M83" s="2">
        <v>265</v>
      </c>
      <c r="N83" s="14"/>
      <c r="O83" s="14"/>
      <c r="P83" s="2">
        <v>250</v>
      </c>
      <c r="Q83" s="2">
        <v>250</v>
      </c>
      <c r="R83" s="2">
        <v>1350</v>
      </c>
      <c r="S83">
        <f t="shared" si="5"/>
        <v>1350</v>
      </c>
      <c r="T83" t="s">
        <v>147</v>
      </c>
      <c r="U83">
        <f t="shared" si="6"/>
        <v>10</v>
      </c>
      <c r="AD83" s="19">
        <v>38143</v>
      </c>
      <c r="AE83">
        <v>38</v>
      </c>
      <c r="AG83">
        <v>38143</v>
      </c>
      <c r="AH83" s="1">
        <v>38</v>
      </c>
    </row>
    <row r="84" spans="1:34" x14ac:dyDescent="0.25">
      <c r="A84" s="2">
        <v>37235</v>
      </c>
      <c r="B84" s="13" t="s">
        <v>259</v>
      </c>
      <c r="C84" s="14" t="s">
        <v>39</v>
      </c>
      <c r="D84" s="15">
        <v>45314</v>
      </c>
      <c r="E84" s="2">
        <v>0</v>
      </c>
      <c r="F84" s="14" t="s">
        <v>260</v>
      </c>
      <c r="G84" t="s">
        <v>261</v>
      </c>
      <c r="H84" s="14" t="s">
        <v>93</v>
      </c>
      <c r="I84" s="2">
        <v>1</v>
      </c>
      <c r="J84" s="2">
        <v>0</v>
      </c>
      <c r="K84" s="2">
        <v>0</v>
      </c>
      <c r="L84" s="2"/>
      <c r="M84" s="2">
        <v>0</v>
      </c>
      <c r="N84" s="14"/>
      <c r="O84" s="14"/>
      <c r="P84" s="2">
        <v>195</v>
      </c>
      <c r="Q84" s="2">
        <v>195</v>
      </c>
      <c r="R84" s="2">
        <v>0</v>
      </c>
      <c r="S84">
        <f t="shared" si="5"/>
        <v>0</v>
      </c>
      <c r="T84" t="s">
        <v>132</v>
      </c>
      <c r="U84">
        <f t="shared" si="6"/>
        <v>7.8</v>
      </c>
      <c r="AD84" s="19">
        <v>38171</v>
      </c>
      <c r="AE84">
        <v>4</v>
      </c>
      <c r="AG84">
        <v>38171</v>
      </c>
      <c r="AH84" s="1">
        <v>4</v>
      </c>
    </row>
    <row r="85" spans="1:34" hidden="1" x14ac:dyDescent="0.25">
      <c r="A85" s="2">
        <v>37235</v>
      </c>
      <c r="B85" s="13" t="s">
        <v>259</v>
      </c>
      <c r="C85" s="14" t="s">
        <v>39</v>
      </c>
      <c r="D85" s="15">
        <v>45314</v>
      </c>
      <c r="E85" s="2">
        <v>0</v>
      </c>
      <c r="F85" s="14" t="s">
        <v>262</v>
      </c>
      <c r="G85" t="s">
        <v>263</v>
      </c>
      <c r="H85" s="14" t="s">
        <v>42</v>
      </c>
      <c r="I85" s="2">
        <v>1</v>
      </c>
      <c r="J85" s="2">
        <v>0</v>
      </c>
      <c r="K85" s="2">
        <v>0</v>
      </c>
      <c r="L85" s="2"/>
      <c r="M85" s="2">
        <v>0</v>
      </c>
      <c r="N85" s="14"/>
      <c r="O85" s="14"/>
      <c r="P85" s="2">
        <v>794.18</v>
      </c>
      <c r="Q85" s="2">
        <v>794.18</v>
      </c>
      <c r="R85" s="2">
        <v>675.05</v>
      </c>
      <c r="S85">
        <f t="shared" si="5"/>
        <v>675.05</v>
      </c>
      <c r="T85" t="s">
        <v>132</v>
      </c>
      <c r="U85" s="1">
        <f t="shared" ref="U85:U90" si="7">_xlfn.XLOOKUP(T85,$Y$2:$Y$45,$AA$2:$AA$45)*(Q85-S85)</f>
        <v>9.5304000000000002</v>
      </c>
      <c r="AD85" s="19">
        <v>38182</v>
      </c>
      <c r="AE85">
        <v>2.8800000000000003</v>
      </c>
      <c r="AG85">
        <v>38182</v>
      </c>
      <c r="AH85" s="1">
        <v>2.8800000000000003</v>
      </c>
    </row>
    <row r="86" spans="1:34" hidden="1" x14ac:dyDescent="0.25">
      <c r="A86" s="2">
        <v>37260</v>
      </c>
      <c r="B86" s="13" t="s">
        <v>264</v>
      </c>
      <c r="C86" s="14" t="s">
        <v>39</v>
      </c>
      <c r="D86" s="15">
        <v>45301</v>
      </c>
      <c r="E86" s="2">
        <v>0</v>
      </c>
      <c r="F86" s="14" t="s">
        <v>265</v>
      </c>
      <c r="G86" t="s">
        <v>266</v>
      </c>
      <c r="H86" s="14" t="s">
        <v>42</v>
      </c>
      <c r="I86" s="2">
        <v>1</v>
      </c>
      <c r="J86" s="2">
        <v>0</v>
      </c>
      <c r="K86" s="2">
        <v>0</v>
      </c>
      <c r="L86" s="2"/>
      <c r="M86" s="2">
        <v>0</v>
      </c>
      <c r="N86" s="14"/>
      <c r="O86" s="14"/>
      <c r="P86" s="2">
        <v>1241</v>
      </c>
      <c r="Q86" s="2">
        <v>1241</v>
      </c>
      <c r="R86" s="2">
        <v>1016.99</v>
      </c>
      <c r="S86">
        <f t="shared" si="5"/>
        <v>1016.99</v>
      </c>
      <c r="T86" t="s">
        <v>1874</v>
      </c>
      <c r="U86" s="1">
        <f t="shared" si="7"/>
        <v>17.9208</v>
      </c>
      <c r="AD86" s="19">
        <v>38217</v>
      </c>
      <c r="AE86">
        <v>0</v>
      </c>
      <c r="AG86">
        <v>38217</v>
      </c>
      <c r="AH86" s="1">
        <v>0</v>
      </c>
    </row>
    <row r="87" spans="1:34" hidden="1" x14ac:dyDescent="0.25">
      <c r="A87" s="2">
        <v>37260</v>
      </c>
      <c r="B87" s="13" t="s">
        <v>264</v>
      </c>
      <c r="C87" s="14" t="s">
        <v>39</v>
      </c>
      <c r="D87" s="15">
        <v>45301</v>
      </c>
      <c r="E87" s="2">
        <v>0</v>
      </c>
      <c r="F87" s="14" t="s">
        <v>267</v>
      </c>
      <c r="G87" t="s">
        <v>268</v>
      </c>
      <c r="H87" s="14" t="s">
        <v>173</v>
      </c>
      <c r="I87" s="2">
        <v>7</v>
      </c>
      <c r="J87" s="2">
        <v>0</v>
      </c>
      <c r="K87" s="2">
        <v>0</v>
      </c>
      <c r="L87" s="2"/>
      <c r="M87" s="2">
        <v>0</v>
      </c>
      <c r="N87" s="14"/>
      <c r="O87" s="14"/>
      <c r="P87" s="2">
        <v>309</v>
      </c>
      <c r="Q87" s="2">
        <v>2163</v>
      </c>
      <c r="R87" s="2">
        <v>252.66</v>
      </c>
      <c r="S87">
        <f t="shared" si="5"/>
        <v>1768.62</v>
      </c>
      <c r="T87" t="s">
        <v>1874</v>
      </c>
      <c r="U87" s="1">
        <f t="shared" si="7"/>
        <v>31.55040000000001</v>
      </c>
      <c r="AD87" s="19">
        <v>38229</v>
      </c>
      <c r="AE87">
        <v>12</v>
      </c>
      <c r="AG87">
        <v>38229</v>
      </c>
      <c r="AH87" s="1">
        <v>12</v>
      </c>
    </row>
    <row r="88" spans="1:34" hidden="1" x14ac:dyDescent="0.25">
      <c r="A88" s="2">
        <v>37260</v>
      </c>
      <c r="B88" s="13" t="s">
        <v>264</v>
      </c>
      <c r="C88" s="14" t="s">
        <v>39</v>
      </c>
      <c r="D88" s="15">
        <v>45301</v>
      </c>
      <c r="E88" s="2">
        <v>0</v>
      </c>
      <c r="F88" s="14" t="s">
        <v>269</v>
      </c>
      <c r="G88" t="s">
        <v>270</v>
      </c>
      <c r="H88" s="14" t="s">
        <v>42</v>
      </c>
      <c r="I88" s="2">
        <v>1</v>
      </c>
      <c r="J88" s="2">
        <v>0</v>
      </c>
      <c r="K88" s="2">
        <v>0</v>
      </c>
      <c r="L88" s="2"/>
      <c r="M88" s="2">
        <v>0</v>
      </c>
      <c r="N88" s="14"/>
      <c r="O88" s="14"/>
      <c r="P88" s="2">
        <v>524</v>
      </c>
      <c r="Q88" s="2">
        <v>524</v>
      </c>
      <c r="R88" s="2">
        <v>429.32</v>
      </c>
      <c r="S88">
        <f t="shared" si="5"/>
        <v>429.32</v>
      </c>
      <c r="T88" t="s">
        <v>1874</v>
      </c>
      <c r="U88" s="1">
        <f t="shared" si="7"/>
        <v>7.5744000000000007</v>
      </c>
      <c r="AD88" s="19">
        <v>38254</v>
      </c>
      <c r="AE88">
        <v>32.548000000000002</v>
      </c>
      <c r="AG88">
        <v>38254</v>
      </c>
      <c r="AH88" s="1">
        <v>32.548000000000002</v>
      </c>
    </row>
    <row r="89" spans="1:34" hidden="1" x14ac:dyDescent="0.25">
      <c r="A89" s="2">
        <v>37260</v>
      </c>
      <c r="B89" s="13" t="s">
        <v>264</v>
      </c>
      <c r="C89" s="14" t="s">
        <v>39</v>
      </c>
      <c r="D89" s="15">
        <v>45301</v>
      </c>
      <c r="E89" s="2">
        <v>0</v>
      </c>
      <c r="F89" s="14" t="s">
        <v>271</v>
      </c>
      <c r="G89" t="s">
        <v>272</v>
      </c>
      <c r="H89" s="14" t="s">
        <v>173</v>
      </c>
      <c r="I89" s="2">
        <v>1</v>
      </c>
      <c r="J89" s="2">
        <v>0</v>
      </c>
      <c r="K89" s="2">
        <v>0</v>
      </c>
      <c r="L89" s="2"/>
      <c r="M89" s="2">
        <v>0</v>
      </c>
      <c r="N89" s="14"/>
      <c r="O89" s="14"/>
      <c r="P89" s="2">
        <v>193</v>
      </c>
      <c r="Q89" s="2">
        <v>193</v>
      </c>
      <c r="R89" s="2">
        <v>157.85</v>
      </c>
      <c r="S89">
        <f t="shared" si="5"/>
        <v>157.85</v>
      </c>
      <c r="T89" t="s">
        <v>1874</v>
      </c>
      <c r="U89" s="1">
        <f t="shared" si="7"/>
        <v>2.8120000000000007</v>
      </c>
      <c r="AD89" s="19">
        <v>38271</v>
      </c>
      <c r="AE89">
        <v>27.183</v>
      </c>
      <c r="AG89">
        <v>38271</v>
      </c>
      <c r="AH89" s="1">
        <v>27.183</v>
      </c>
    </row>
    <row r="90" spans="1:34" hidden="1" x14ac:dyDescent="0.25">
      <c r="A90" s="2">
        <v>37367</v>
      </c>
      <c r="B90" s="13" t="s">
        <v>273</v>
      </c>
      <c r="C90" s="14" t="s">
        <v>39</v>
      </c>
      <c r="D90" s="15">
        <v>45306</v>
      </c>
      <c r="E90" s="2">
        <v>0</v>
      </c>
      <c r="F90" s="14" t="s">
        <v>274</v>
      </c>
      <c r="G90" t="s">
        <v>275</v>
      </c>
      <c r="H90" s="14" t="s">
        <v>173</v>
      </c>
      <c r="I90" s="2">
        <v>1</v>
      </c>
      <c r="J90" s="2">
        <v>0</v>
      </c>
      <c r="K90" s="2">
        <v>0</v>
      </c>
      <c r="L90" s="2"/>
      <c r="M90" s="2">
        <v>0</v>
      </c>
      <c r="N90" s="14"/>
      <c r="O90" s="14"/>
      <c r="P90" s="2">
        <v>122</v>
      </c>
      <c r="Q90" s="2">
        <v>122</v>
      </c>
      <c r="R90" s="2">
        <v>99.99</v>
      </c>
      <c r="S90">
        <f t="shared" si="5"/>
        <v>99.99</v>
      </c>
      <c r="T90" t="s">
        <v>1874</v>
      </c>
      <c r="U90" s="1">
        <f t="shared" si="7"/>
        <v>1.7608000000000004</v>
      </c>
      <c r="AD90" s="19">
        <v>38272</v>
      </c>
      <c r="AE90">
        <v>23.491199999999996</v>
      </c>
      <c r="AG90">
        <v>38272</v>
      </c>
      <c r="AH90" s="1">
        <v>23.491199999999996</v>
      </c>
    </row>
    <row r="91" spans="1:34" x14ac:dyDescent="0.25">
      <c r="A91" s="2">
        <v>37367</v>
      </c>
      <c r="B91" s="13" t="s">
        <v>273</v>
      </c>
      <c r="C91" s="14" t="s">
        <v>39</v>
      </c>
      <c r="D91" s="15">
        <v>45306</v>
      </c>
      <c r="E91" s="2">
        <v>0</v>
      </c>
      <c r="F91" s="14" t="s">
        <v>219</v>
      </c>
      <c r="G91" t="s">
        <v>220</v>
      </c>
      <c r="H91" s="14" t="s">
        <v>93</v>
      </c>
      <c r="I91" s="2">
        <v>1</v>
      </c>
      <c r="J91" s="2">
        <v>0</v>
      </c>
      <c r="K91" s="2">
        <v>0</v>
      </c>
      <c r="L91" s="2"/>
      <c r="M91" s="2">
        <v>0</v>
      </c>
      <c r="N91" s="14"/>
      <c r="O91" s="14"/>
      <c r="P91" s="2">
        <v>149</v>
      </c>
      <c r="Q91" s="2">
        <v>149</v>
      </c>
      <c r="R91" s="2">
        <v>0</v>
      </c>
      <c r="S91">
        <f t="shared" si="5"/>
        <v>0</v>
      </c>
      <c r="T91" t="s">
        <v>1874</v>
      </c>
      <c r="U91">
        <f>_xlfn.XLOOKUP(T91,$Y$2:$Y$45,$AB$2:$AB$45)*(Q91)</f>
        <v>5.96</v>
      </c>
      <c r="AD91" s="19">
        <v>38284</v>
      </c>
      <c r="AE91">
        <v>111.78959999999999</v>
      </c>
      <c r="AG91">
        <v>38284</v>
      </c>
      <c r="AH91" s="1">
        <v>111.78959999999999</v>
      </c>
    </row>
    <row r="92" spans="1:34" hidden="1" x14ac:dyDescent="0.25">
      <c r="A92" s="2">
        <v>37381</v>
      </c>
      <c r="B92" s="13" t="s">
        <v>276</v>
      </c>
      <c r="C92" s="14" t="s">
        <v>39</v>
      </c>
      <c r="D92" s="15">
        <v>45313</v>
      </c>
      <c r="E92" s="2">
        <v>0</v>
      </c>
      <c r="F92" s="14" t="s">
        <v>217</v>
      </c>
      <c r="G92" t="s">
        <v>218</v>
      </c>
      <c r="H92" s="14" t="s">
        <v>173</v>
      </c>
      <c r="I92" s="2">
        <v>1</v>
      </c>
      <c r="J92" s="2">
        <v>0</v>
      </c>
      <c r="K92" s="2">
        <v>0</v>
      </c>
      <c r="L92" s="2"/>
      <c r="M92" s="2">
        <v>0</v>
      </c>
      <c r="N92" s="14"/>
      <c r="O92" s="14"/>
      <c r="P92" s="2">
        <v>83</v>
      </c>
      <c r="Q92" s="2">
        <v>83</v>
      </c>
      <c r="R92" s="2">
        <v>67.989999999999995</v>
      </c>
      <c r="S92">
        <f t="shared" si="5"/>
        <v>67.989999999999995</v>
      </c>
      <c r="T92" t="s">
        <v>1874</v>
      </c>
      <c r="U92" s="1">
        <f>_xlfn.XLOOKUP(T92,$Y$2:$Y$45,$AA$2:$AA$45)*(Q92-S92)</f>
        <v>1.2008000000000005</v>
      </c>
      <c r="AD92" s="19">
        <v>38291</v>
      </c>
      <c r="AE92">
        <v>0</v>
      </c>
      <c r="AG92">
        <v>38291</v>
      </c>
      <c r="AH92" s="1">
        <v>0</v>
      </c>
    </row>
    <row r="93" spans="1:34" x14ac:dyDescent="0.25">
      <c r="A93" s="2">
        <v>37381</v>
      </c>
      <c r="B93" s="13" t="s">
        <v>276</v>
      </c>
      <c r="C93" s="14" t="s">
        <v>39</v>
      </c>
      <c r="D93" s="15">
        <v>45313</v>
      </c>
      <c r="E93" s="2">
        <v>0</v>
      </c>
      <c r="F93" s="14" t="s">
        <v>219</v>
      </c>
      <c r="G93" t="s">
        <v>220</v>
      </c>
      <c r="H93" s="14" t="s">
        <v>93</v>
      </c>
      <c r="I93" s="2">
        <v>1</v>
      </c>
      <c r="J93" s="2">
        <v>0</v>
      </c>
      <c r="K93" s="2">
        <v>0</v>
      </c>
      <c r="L93" s="2"/>
      <c r="M93" s="2">
        <v>0</v>
      </c>
      <c r="N93" s="14"/>
      <c r="O93" s="14"/>
      <c r="P93" s="2">
        <v>149</v>
      </c>
      <c r="Q93" s="2">
        <v>149</v>
      </c>
      <c r="R93" s="2">
        <v>0</v>
      </c>
      <c r="S93">
        <f t="shared" si="5"/>
        <v>0</v>
      </c>
      <c r="T93" t="s">
        <v>1874</v>
      </c>
      <c r="U93">
        <f>_xlfn.XLOOKUP(T93,$Y$2:$Y$45,$AB$2:$AB$45)*(Q93)</f>
        <v>5.96</v>
      </c>
      <c r="AD93" s="19">
        <v>38292</v>
      </c>
      <c r="AE93">
        <v>52.193599999999989</v>
      </c>
      <c r="AG93">
        <v>38292</v>
      </c>
      <c r="AH93" s="1">
        <v>52.193599999999989</v>
      </c>
    </row>
    <row r="94" spans="1:34" x14ac:dyDescent="0.25">
      <c r="A94" s="2">
        <v>37412</v>
      </c>
      <c r="B94" s="13" t="s">
        <v>277</v>
      </c>
      <c r="C94" s="14" t="s">
        <v>39</v>
      </c>
      <c r="D94" s="15">
        <v>45316</v>
      </c>
      <c r="E94" s="2">
        <v>0</v>
      </c>
      <c r="F94" s="14" t="s">
        <v>152</v>
      </c>
      <c r="G94" t="s">
        <v>153</v>
      </c>
      <c r="H94" s="14" t="s">
        <v>93</v>
      </c>
      <c r="I94" s="2">
        <v>10</v>
      </c>
      <c r="J94" s="2">
        <v>0</v>
      </c>
      <c r="K94" s="2">
        <v>0</v>
      </c>
      <c r="L94" s="2"/>
      <c r="M94" s="2">
        <v>0</v>
      </c>
      <c r="N94" s="14"/>
      <c r="O94" s="14"/>
      <c r="P94" s="2">
        <v>225</v>
      </c>
      <c r="Q94" s="2">
        <v>2250</v>
      </c>
      <c r="R94" s="2">
        <v>0</v>
      </c>
      <c r="S94">
        <f t="shared" si="5"/>
        <v>0</v>
      </c>
      <c r="T94" t="s">
        <v>1874</v>
      </c>
      <c r="U94">
        <f>_xlfn.XLOOKUP(T94,$Y$2:$Y$45,$AB$2:$AB$45)*(Q94)</f>
        <v>90</v>
      </c>
      <c r="AD94" s="19">
        <v>38294</v>
      </c>
      <c r="AE94">
        <v>23.375</v>
      </c>
      <c r="AG94">
        <v>38294</v>
      </c>
      <c r="AH94" s="1">
        <v>23.375</v>
      </c>
    </row>
    <row r="95" spans="1:34" x14ac:dyDescent="0.25">
      <c r="A95" s="2">
        <v>37412</v>
      </c>
      <c r="B95" s="13" t="s">
        <v>277</v>
      </c>
      <c r="C95" s="14" t="s">
        <v>39</v>
      </c>
      <c r="D95" s="15">
        <v>45316</v>
      </c>
      <c r="E95" s="2">
        <v>0</v>
      </c>
      <c r="F95" s="14" t="s">
        <v>154</v>
      </c>
      <c r="G95" t="s">
        <v>155</v>
      </c>
      <c r="H95" s="14" t="s">
        <v>93</v>
      </c>
      <c r="I95" s="2">
        <v>2</v>
      </c>
      <c r="J95" s="2">
        <v>0</v>
      </c>
      <c r="K95" s="2">
        <v>0</v>
      </c>
      <c r="L95" s="2"/>
      <c r="M95" s="2">
        <v>0</v>
      </c>
      <c r="N95" s="14"/>
      <c r="O95" s="14"/>
      <c r="P95" s="2">
        <v>240</v>
      </c>
      <c r="Q95" s="2">
        <v>480</v>
      </c>
      <c r="R95" s="2">
        <v>0</v>
      </c>
      <c r="S95">
        <f t="shared" si="5"/>
        <v>0</v>
      </c>
      <c r="T95" t="s">
        <v>1874</v>
      </c>
      <c r="U95">
        <f>_xlfn.XLOOKUP(T95,$Y$2:$Y$45,$AB$2:$AB$45)*(Q95)</f>
        <v>19.2</v>
      </c>
      <c r="AD95" s="19">
        <v>38299</v>
      </c>
      <c r="AE95">
        <v>105.97969999999998</v>
      </c>
      <c r="AG95">
        <v>38299</v>
      </c>
      <c r="AH95" s="1">
        <v>105.97969999999998</v>
      </c>
    </row>
    <row r="96" spans="1:34" x14ac:dyDescent="0.25">
      <c r="A96" s="2">
        <v>37414</v>
      </c>
      <c r="B96" s="13" t="s">
        <v>278</v>
      </c>
      <c r="C96" s="14" t="s">
        <v>39</v>
      </c>
      <c r="D96" s="15">
        <v>45322</v>
      </c>
      <c r="E96" s="2">
        <v>0</v>
      </c>
      <c r="F96" s="14" t="s">
        <v>260</v>
      </c>
      <c r="G96" t="s">
        <v>279</v>
      </c>
      <c r="H96" s="14" t="s">
        <v>93</v>
      </c>
      <c r="I96" s="2">
        <v>1</v>
      </c>
      <c r="J96" s="2">
        <v>0</v>
      </c>
      <c r="K96" s="2">
        <v>0</v>
      </c>
      <c r="L96" s="2"/>
      <c r="M96" s="2">
        <v>0</v>
      </c>
      <c r="N96" s="14"/>
      <c r="O96" s="14"/>
      <c r="P96" s="2">
        <v>200</v>
      </c>
      <c r="Q96" s="2">
        <v>200</v>
      </c>
      <c r="R96" s="2">
        <v>0</v>
      </c>
      <c r="S96">
        <f t="shared" si="5"/>
        <v>0</v>
      </c>
      <c r="T96" t="s">
        <v>132</v>
      </c>
      <c r="U96">
        <f>_xlfn.XLOOKUP(T96,$Y$2:$Y$45,$AB$2:$AB$45)*(Q96)</f>
        <v>8</v>
      </c>
      <c r="AD96" s="19">
        <v>38303</v>
      </c>
      <c r="AE96">
        <v>1.4000000000000001</v>
      </c>
      <c r="AG96">
        <v>38303</v>
      </c>
      <c r="AH96" s="1">
        <v>1.4000000000000001</v>
      </c>
    </row>
    <row r="97" spans="1:34" hidden="1" x14ac:dyDescent="0.25">
      <c r="A97" s="2">
        <v>37414</v>
      </c>
      <c r="B97" s="13" t="s">
        <v>278</v>
      </c>
      <c r="C97" s="14" t="s">
        <v>39</v>
      </c>
      <c r="D97" s="15">
        <v>45322</v>
      </c>
      <c r="E97" s="2">
        <v>0</v>
      </c>
      <c r="F97" s="14" t="s">
        <v>280</v>
      </c>
      <c r="G97" t="s">
        <v>281</v>
      </c>
      <c r="H97" s="14" t="s">
        <v>42</v>
      </c>
      <c r="I97" s="2">
        <v>1</v>
      </c>
      <c r="J97" s="2">
        <v>0</v>
      </c>
      <c r="K97" s="2">
        <v>0</v>
      </c>
      <c r="L97" s="2"/>
      <c r="M97" s="2">
        <v>0</v>
      </c>
      <c r="N97" s="14"/>
      <c r="O97" s="14"/>
      <c r="P97" s="2">
        <v>1992.51</v>
      </c>
      <c r="Q97" s="2">
        <v>1992.51</v>
      </c>
      <c r="R97" s="2">
        <v>1696.06</v>
      </c>
      <c r="S97">
        <f t="shared" si="5"/>
        <v>1696.06</v>
      </c>
      <c r="T97" t="s">
        <v>132</v>
      </c>
      <c r="U97" s="1">
        <f t="shared" ref="U97:U102" si="8">_xlfn.XLOOKUP(T97,$Y$2:$Y$45,$AA$2:$AA$45)*(Q97-S97)</f>
        <v>23.716000000000005</v>
      </c>
      <c r="AD97" s="19">
        <v>38306</v>
      </c>
      <c r="AE97">
        <v>0</v>
      </c>
      <c r="AG97">
        <v>38306</v>
      </c>
      <c r="AH97" s="1">
        <v>0</v>
      </c>
    </row>
    <row r="98" spans="1:34" hidden="1" x14ac:dyDescent="0.25">
      <c r="A98" s="2">
        <v>37445</v>
      </c>
      <c r="B98" s="13" t="s">
        <v>282</v>
      </c>
      <c r="C98" s="14" t="s">
        <v>39</v>
      </c>
      <c r="D98" s="15">
        <v>45303</v>
      </c>
      <c r="E98" s="2">
        <v>0</v>
      </c>
      <c r="F98" s="14" t="s">
        <v>283</v>
      </c>
      <c r="G98" t="s">
        <v>284</v>
      </c>
      <c r="H98" s="14" t="s">
        <v>42</v>
      </c>
      <c r="I98" s="2">
        <v>7</v>
      </c>
      <c r="J98" s="2">
        <v>0</v>
      </c>
      <c r="K98" s="2">
        <v>0</v>
      </c>
      <c r="L98" s="2"/>
      <c r="M98" s="2">
        <v>0</v>
      </c>
      <c r="N98" s="14"/>
      <c r="O98" s="14"/>
      <c r="P98" s="2">
        <v>634.91</v>
      </c>
      <c r="Q98" s="2">
        <v>4444.37</v>
      </c>
      <c r="R98" s="2">
        <v>634.62</v>
      </c>
      <c r="S98">
        <f t="shared" si="5"/>
        <v>4442.34</v>
      </c>
      <c r="T98" t="s">
        <v>184</v>
      </c>
      <c r="U98" s="1">
        <f t="shared" si="8"/>
        <v>0</v>
      </c>
      <c r="AD98" s="19">
        <v>38314</v>
      </c>
      <c r="AE98">
        <v>27.715200000000003</v>
      </c>
      <c r="AG98">
        <v>38314</v>
      </c>
      <c r="AH98" s="1">
        <v>27.715200000000003</v>
      </c>
    </row>
    <row r="99" spans="1:34" hidden="1" x14ac:dyDescent="0.25">
      <c r="A99" s="2">
        <v>37445</v>
      </c>
      <c r="B99" s="13" t="s">
        <v>282</v>
      </c>
      <c r="C99" s="14" t="s">
        <v>39</v>
      </c>
      <c r="D99" s="15">
        <v>45303</v>
      </c>
      <c r="E99" s="2">
        <v>0</v>
      </c>
      <c r="F99" s="14" t="s">
        <v>285</v>
      </c>
      <c r="G99" t="s">
        <v>286</v>
      </c>
      <c r="H99" s="14" t="s">
        <v>42</v>
      </c>
      <c r="I99" s="2">
        <v>28</v>
      </c>
      <c r="J99" s="2">
        <v>0</v>
      </c>
      <c r="K99" s="2">
        <v>0</v>
      </c>
      <c r="L99" s="2"/>
      <c r="M99" s="2">
        <v>0</v>
      </c>
      <c r="N99" s="14"/>
      <c r="O99" s="14"/>
      <c r="P99" s="2">
        <v>27.26</v>
      </c>
      <c r="Q99" s="2">
        <v>763.28</v>
      </c>
      <c r="R99" s="2">
        <v>27.15</v>
      </c>
      <c r="S99">
        <f t="shared" si="5"/>
        <v>760.19999999999993</v>
      </c>
      <c r="T99" t="s">
        <v>184</v>
      </c>
      <c r="U99" s="1">
        <f t="shared" si="8"/>
        <v>0</v>
      </c>
      <c r="AD99" s="19">
        <v>38331</v>
      </c>
      <c r="AE99">
        <v>24.908799999999999</v>
      </c>
      <c r="AG99">
        <v>38331</v>
      </c>
      <c r="AH99" s="1">
        <v>24.908799999999999</v>
      </c>
    </row>
    <row r="100" spans="1:34" hidden="1" x14ac:dyDescent="0.25">
      <c r="A100" s="2">
        <v>37445</v>
      </c>
      <c r="B100" s="13" t="s">
        <v>282</v>
      </c>
      <c r="C100" s="14" t="s">
        <v>39</v>
      </c>
      <c r="D100" s="15">
        <v>45303</v>
      </c>
      <c r="E100" s="2">
        <v>0</v>
      </c>
      <c r="F100" s="14" t="s">
        <v>287</v>
      </c>
      <c r="G100" t="s">
        <v>288</v>
      </c>
      <c r="H100" s="14" t="s">
        <v>42</v>
      </c>
      <c r="I100" s="2">
        <v>-7</v>
      </c>
      <c r="J100" s="2">
        <v>0</v>
      </c>
      <c r="K100" s="2">
        <v>0</v>
      </c>
      <c r="L100" s="2"/>
      <c r="M100" s="2">
        <v>0</v>
      </c>
      <c r="N100" s="14"/>
      <c r="O100" s="14"/>
      <c r="P100" s="2">
        <v>735.84</v>
      </c>
      <c r="Q100" s="2">
        <v>-5150.88</v>
      </c>
      <c r="R100" s="2">
        <v>588.66999999999996</v>
      </c>
      <c r="S100">
        <f t="shared" si="5"/>
        <v>-4120.6899999999996</v>
      </c>
      <c r="T100" t="s">
        <v>184</v>
      </c>
      <c r="U100" s="1">
        <f t="shared" si="8"/>
        <v>0</v>
      </c>
      <c r="AD100" s="19">
        <v>38334</v>
      </c>
      <c r="AE100">
        <v>0</v>
      </c>
      <c r="AG100">
        <v>38334</v>
      </c>
      <c r="AH100" s="1">
        <v>0</v>
      </c>
    </row>
    <row r="101" spans="1:34" hidden="1" x14ac:dyDescent="0.25">
      <c r="A101" s="2">
        <v>37445</v>
      </c>
      <c r="B101" s="13" t="s">
        <v>282</v>
      </c>
      <c r="C101" s="14" t="s">
        <v>39</v>
      </c>
      <c r="D101" s="15">
        <v>45303</v>
      </c>
      <c r="E101" s="2">
        <v>0</v>
      </c>
      <c r="F101" s="14" t="s">
        <v>289</v>
      </c>
      <c r="G101" t="s">
        <v>290</v>
      </c>
      <c r="H101" s="14" t="s">
        <v>42</v>
      </c>
      <c r="I101" s="2">
        <v>-7</v>
      </c>
      <c r="J101" s="2">
        <v>0</v>
      </c>
      <c r="K101" s="2">
        <v>0</v>
      </c>
      <c r="L101" s="2"/>
      <c r="M101" s="2">
        <v>0</v>
      </c>
      <c r="N101" s="14"/>
      <c r="O101" s="14"/>
      <c r="P101" s="2">
        <v>189</v>
      </c>
      <c r="Q101" s="2">
        <v>-1323</v>
      </c>
      <c r="R101" s="2">
        <v>133.72</v>
      </c>
      <c r="S101">
        <f t="shared" si="5"/>
        <v>-936.04</v>
      </c>
      <c r="T101" t="s">
        <v>184</v>
      </c>
      <c r="U101" s="1">
        <f t="shared" si="8"/>
        <v>0</v>
      </c>
      <c r="AD101" s="19">
        <v>38350</v>
      </c>
      <c r="AE101">
        <v>1096</v>
      </c>
      <c r="AG101">
        <v>38350</v>
      </c>
      <c r="AH101" s="1">
        <v>1096</v>
      </c>
    </row>
    <row r="102" spans="1:34" hidden="1" x14ac:dyDescent="0.25">
      <c r="A102" s="2">
        <v>37445</v>
      </c>
      <c r="B102" s="13" t="s">
        <v>282</v>
      </c>
      <c r="C102" s="14" t="s">
        <v>39</v>
      </c>
      <c r="D102" s="15">
        <v>45303</v>
      </c>
      <c r="E102" s="2">
        <v>0</v>
      </c>
      <c r="F102" s="14" t="s">
        <v>291</v>
      </c>
      <c r="G102" t="s">
        <v>292</v>
      </c>
      <c r="H102" s="14" t="s">
        <v>42</v>
      </c>
      <c r="I102" s="2">
        <v>7</v>
      </c>
      <c r="J102" s="2">
        <v>0</v>
      </c>
      <c r="K102" s="2">
        <v>0</v>
      </c>
      <c r="L102" s="2"/>
      <c r="M102" s="2">
        <v>0</v>
      </c>
      <c r="N102" s="14"/>
      <c r="O102" s="14"/>
      <c r="P102" s="2">
        <v>180.89</v>
      </c>
      <c r="Q102" s="2">
        <v>1266.23</v>
      </c>
      <c r="R102" s="2">
        <v>144.33000000000001</v>
      </c>
      <c r="S102">
        <f t="shared" si="5"/>
        <v>1010.3100000000001</v>
      </c>
      <c r="T102" t="s">
        <v>184</v>
      </c>
      <c r="U102" s="1">
        <f t="shared" si="8"/>
        <v>0</v>
      </c>
      <c r="AD102" s="19">
        <v>38358</v>
      </c>
      <c r="AE102">
        <v>20</v>
      </c>
      <c r="AG102">
        <v>38358</v>
      </c>
      <c r="AH102" s="1">
        <v>20</v>
      </c>
    </row>
    <row r="103" spans="1:34" x14ac:dyDescent="0.25">
      <c r="A103" s="2">
        <v>37478</v>
      </c>
      <c r="B103" s="39" t="s">
        <v>293</v>
      </c>
      <c r="C103" s="14" t="s">
        <v>39</v>
      </c>
      <c r="D103" s="15">
        <v>45316</v>
      </c>
      <c r="E103" s="2">
        <v>0</v>
      </c>
      <c r="F103" s="14" t="s">
        <v>95</v>
      </c>
      <c r="G103" t="s">
        <v>96</v>
      </c>
      <c r="H103" s="14" t="s">
        <v>93</v>
      </c>
      <c r="I103" s="2">
        <v>30</v>
      </c>
      <c r="J103" s="2">
        <v>0</v>
      </c>
      <c r="K103" s="2">
        <v>0</v>
      </c>
      <c r="L103" s="2"/>
      <c r="M103" s="2">
        <v>0</v>
      </c>
      <c r="N103" s="14"/>
      <c r="O103" s="14"/>
      <c r="P103" s="2">
        <v>250</v>
      </c>
      <c r="Q103" s="2">
        <v>7500</v>
      </c>
      <c r="R103" s="2">
        <v>0</v>
      </c>
      <c r="S103">
        <f t="shared" si="5"/>
        <v>0</v>
      </c>
      <c r="T103" t="s">
        <v>166</v>
      </c>
      <c r="U103">
        <f t="shared" ref="U103:U110" si="9">_xlfn.XLOOKUP(T103,$Y$2:$Y$45,$AB$2:$AB$45)*(Q103)</f>
        <v>300</v>
      </c>
      <c r="AD103" s="19">
        <v>38377</v>
      </c>
      <c r="AE103">
        <v>4.3488000000000016</v>
      </c>
      <c r="AG103">
        <v>38377</v>
      </c>
      <c r="AH103" s="1">
        <v>4.3488000000000016</v>
      </c>
    </row>
    <row r="104" spans="1:34" x14ac:dyDescent="0.25">
      <c r="A104" s="2">
        <v>37489</v>
      </c>
      <c r="B104" s="13" t="s">
        <v>294</v>
      </c>
      <c r="C104" s="14" t="s">
        <v>39</v>
      </c>
      <c r="D104" s="15">
        <v>45314</v>
      </c>
      <c r="E104" s="2">
        <v>0</v>
      </c>
      <c r="F104" s="14" t="s">
        <v>295</v>
      </c>
      <c r="G104" t="s">
        <v>296</v>
      </c>
      <c r="H104" s="14" t="s">
        <v>93</v>
      </c>
      <c r="I104" s="2">
        <v>-4</v>
      </c>
      <c r="J104" s="2">
        <v>0</v>
      </c>
      <c r="K104" s="2">
        <v>0</v>
      </c>
      <c r="L104" s="2"/>
      <c r="M104" s="2">
        <v>0</v>
      </c>
      <c r="N104" s="14"/>
      <c r="O104" s="14"/>
      <c r="P104" s="2">
        <v>135</v>
      </c>
      <c r="Q104" s="2">
        <v>-540</v>
      </c>
      <c r="R104" s="2">
        <v>110</v>
      </c>
      <c r="S104">
        <f t="shared" si="5"/>
        <v>-440</v>
      </c>
      <c r="T104" t="s">
        <v>1874</v>
      </c>
      <c r="U104">
        <f t="shared" si="9"/>
        <v>-21.6</v>
      </c>
      <c r="AD104" s="19">
        <v>38380</v>
      </c>
      <c r="AE104">
        <v>73.972799999999992</v>
      </c>
      <c r="AG104">
        <v>38380</v>
      </c>
      <c r="AH104" s="1">
        <v>73.972799999999992</v>
      </c>
    </row>
    <row r="105" spans="1:34" x14ac:dyDescent="0.25">
      <c r="A105" s="2">
        <v>37489</v>
      </c>
      <c r="B105" s="13" t="s">
        <v>294</v>
      </c>
      <c r="C105" s="14" t="s">
        <v>39</v>
      </c>
      <c r="D105" s="15">
        <v>45314</v>
      </c>
      <c r="E105" s="2">
        <v>0</v>
      </c>
      <c r="F105" s="14" t="s">
        <v>297</v>
      </c>
      <c r="G105" t="s">
        <v>298</v>
      </c>
      <c r="H105" s="14" t="s">
        <v>93</v>
      </c>
      <c r="I105" s="2">
        <v>-2</v>
      </c>
      <c r="J105" s="2">
        <v>0</v>
      </c>
      <c r="K105" s="2">
        <v>0</v>
      </c>
      <c r="L105" s="2"/>
      <c r="M105" s="2">
        <v>0</v>
      </c>
      <c r="N105" s="14"/>
      <c r="O105" s="14"/>
      <c r="P105" s="2">
        <v>135</v>
      </c>
      <c r="Q105" s="2">
        <v>-270</v>
      </c>
      <c r="R105" s="2">
        <v>0</v>
      </c>
      <c r="S105">
        <f t="shared" si="5"/>
        <v>0</v>
      </c>
      <c r="T105" t="s">
        <v>1874</v>
      </c>
      <c r="U105">
        <f t="shared" si="9"/>
        <v>-10.8</v>
      </c>
      <c r="AD105" s="19">
        <v>38389</v>
      </c>
      <c r="AE105">
        <v>673.17639999999994</v>
      </c>
      <c r="AG105">
        <v>38389</v>
      </c>
      <c r="AH105" s="1">
        <v>673.17639999999994</v>
      </c>
    </row>
    <row r="106" spans="1:34" x14ac:dyDescent="0.25">
      <c r="A106" s="2">
        <v>37489</v>
      </c>
      <c r="B106" s="13" t="s">
        <v>294</v>
      </c>
      <c r="C106" s="14" t="s">
        <v>39</v>
      </c>
      <c r="D106" s="15">
        <v>45314</v>
      </c>
      <c r="E106" s="2">
        <v>0</v>
      </c>
      <c r="F106" s="14" t="s">
        <v>299</v>
      </c>
      <c r="G106" t="s">
        <v>300</v>
      </c>
      <c r="H106" s="14" t="s">
        <v>93</v>
      </c>
      <c r="I106" s="2">
        <v>-1</v>
      </c>
      <c r="J106" s="2">
        <v>0</v>
      </c>
      <c r="K106" s="2">
        <v>0</v>
      </c>
      <c r="L106" s="2"/>
      <c r="M106" s="2">
        <v>0</v>
      </c>
      <c r="N106" s="14"/>
      <c r="O106" s="14"/>
      <c r="P106" s="2">
        <v>22</v>
      </c>
      <c r="Q106" s="2">
        <v>-22</v>
      </c>
      <c r="R106" s="2">
        <v>18</v>
      </c>
      <c r="S106">
        <f t="shared" si="5"/>
        <v>-18</v>
      </c>
      <c r="T106" t="s">
        <v>1874</v>
      </c>
      <c r="U106">
        <f t="shared" si="9"/>
        <v>-0.88</v>
      </c>
      <c r="AD106" s="19">
        <v>38396</v>
      </c>
      <c r="AE106">
        <v>0</v>
      </c>
      <c r="AG106">
        <v>38396</v>
      </c>
      <c r="AH106" s="1">
        <v>0</v>
      </c>
    </row>
    <row r="107" spans="1:34" x14ac:dyDescent="0.25">
      <c r="A107" s="2">
        <v>37489</v>
      </c>
      <c r="B107" s="13" t="s">
        <v>294</v>
      </c>
      <c r="C107" s="14" t="s">
        <v>39</v>
      </c>
      <c r="D107" s="15">
        <v>45314</v>
      </c>
      <c r="E107" s="2">
        <v>0</v>
      </c>
      <c r="F107" s="14" t="s">
        <v>299</v>
      </c>
      <c r="G107" t="s">
        <v>301</v>
      </c>
      <c r="H107" s="14" t="s">
        <v>93</v>
      </c>
      <c r="I107" s="2">
        <v>-1</v>
      </c>
      <c r="J107" s="2">
        <v>0</v>
      </c>
      <c r="K107" s="2">
        <v>0</v>
      </c>
      <c r="L107" s="2"/>
      <c r="M107" s="2">
        <v>0</v>
      </c>
      <c r="N107" s="14"/>
      <c r="O107" s="14"/>
      <c r="P107" s="2">
        <v>43</v>
      </c>
      <c r="Q107" s="2">
        <v>-43</v>
      </c>
      <c r="R107" s="2">
        <v>35</v>
      </c>
      <c r="S107">
        <f t="shared" si="5"/>
        <v>-35</v>
      </c>
      <c r="T107" t="s">
        <v>1874</v>
      </c>
      <c r="U107">
        <f t="shared" si="9"/>
        <v>-1.72</v>
      </c>
      <c r="AD107" s="19">
        <v>38415</v>
      </c>
      <c r="AE107">
        <v>16.274400000000007</v>
      </c>
      <c r="AG107">
        <v>38415</v>
      </c>
      <c r="AH107" s="1">
        <v>16.274400000000007</v>
      </c>
    </row>
    <row r="108" spans="1:34" x14ac:dyDescent="0.25">
      <c r="A108" s="2">
        <v>37552</v>
      </c>
      <c r="B108" s="13" t="s">
        <v>302</v>
      </c>
      <c r="C108" s="14" t="s">
        <v>39</v>
      </c>
      <c r="D108" s="15">
        <v>45322</v>
      </c>
      <c r="E108" s="2">
        <v>0</v>
      </c>
      <c r="F108" s="14" t="s">
        <v>154</v>
      </c>
      <c r="G108" t="s">
        <v>155</v>
      </c>
      <c r="H108" s="14" t="s">
        <v>93</v>
      </c>
      <c r="I108" s="2">
        <v>8</v>
      </c>
      <c r="J108" s="2">
        <v>0</v>
      </c>
      <c r="K108" s="2">
        <v>0</v>
      </c>
      <c r="L108" s="2"/>
      <c r="M108" s="2">
        <v>0</v>
      </c>
      <c r="N108" s="14"/>
      <c r="O108" s="14"/>
      <c r="P108" s="2">
        <v>240</v>
      </c>
      <c r="Q108" s="2">
        <v>1920</v>
      </c>
      <c r="R108" s="2">
        <v>0</v>
      </c>
      <c r="S108">
        <f t="shared" si="5"/>
        <v>0</v>
      </c>
      <c r="T108" t="s">
        <v>1874</v>
      </c>
      <c r="U108">
        <f t="shared" si="9"/>
        <v>76.8</v>
      </c>
      <c r="AD108" s="19">
        <v>38421</v>
      </c>
      <c r="AE108">
        <v>0</v>
      </c>
      <c r="AG108">
        <v>38421</v>
      </c>
      <c r="AH108" s="1">
        <v>0</v>
      </c>
    </row>
    <row r="109" spans="1:34" x14ac:dyDescent="0.25">
      <c r="A109" s="2">
        <v>37552</v>
      </c>
      <c r="B109" s="13" t="s">
        <v>302</v>
      </c>
      <c r="C109" s="14" t="s">
        <v>39</v>
      </c>
      <c r="D109" s="15">
        <v>45322</v>
      </c>
      <c r="E109" s="2">
        <v>0</v>
      </c>
      <c r="F109" s="14" t="s">
        <v>152</v>
      </c>
      <c r="G109" t="s">
        <v>153</v>
      </c>
      <c r="H109" s="14" t="s">
        <v>93</v>
      </c>
      <c r="I109" s="2">
        <v>10</v>
      </c>
      <c r="J109" s="2">
        <v>0</v>
      </c>
      <c r="K109" s="2">
        <v>0</v>
      </c>
      <c r="L109" s="2"/>
      <c r="M109" s="2">
        <v>0</v>
      </c>
      <c r="N109" s="14"/>
      <c r="O109" s="14"/>
      <c r="P109" s="2">
        <v>225</v>
      </c>
      <c r="Q109" s="2">
        <v>2250</v>
      </c>
      <c r="R109" s="2">
        <v>0</v>
      </c>
      <c r="S109">
        <f t="shared" si="5"/>
        <v>0</v>
      </c>
      <c r="T109" t="s">
        <v>1874</v>
      </c>
      <c r="U109">
        <f t="shared" si="9"/>
        <v>90</v>
      </c>
      <c r="AD109" s="19">
        <v>38447</v>
      </c>
      <c r="AE109">
        <v>0</v>
      </c>
      <c r="AG109">
        <v>38447</v>
      </c>
      <c r="AH109" s="1">
        <v>0</v>
      </c>
    </row>
    <row r="110" spans="1:34" x14ac:dyDescent="0.25">
      <c r="A110" s="2">
        <v>37552</v>
      </c>
      <c r="B110" s="13" t="s">
        <v>302</v>
      </c>
      <c r="C110" s="14" t="s">
        <v>39</v>
      </c>
      <c r="D110" s="15">
        <v>45322</v>
      </c>
      <c r="E110" s="2">
        <v>0</v>
      </c>
      <c r="F110" s="14" t="s">
        <v>95</v>
      </c>
      <c r="G110" t="s">
        <v>303</v>
      </c>
      <c r="H110" s="14" t="s">
        <v>93</v>
      </c>
      <c r="I110" s="2">
        <v>24</v>
      </c>
      <c r="J110" s="2">
        <v>0</v>
      </c>
      <c r="K110" s="2">
        <v>0</v>
      </c>
      <c r="L110" s="2"/>
      <c r="M110" s="2">
        <v>0</v>
      </c>
      <c r="N110" s="14"/>
      <c r="O110" s="14"/>
      <c r="P110" s="2">
        <v>337.5</v>
      </c>
      <c r="Q110" s="2">
        <v>8100</v>
      </c>
      <c r="R110" s="2">
        <v>0</v>
      </c>
      <c r="S110">
        <f t="shared" si="5"/>
        <v>0</v>
      </c>
      <c r="T110" t="s">
        <v>1874</v>
      </c>
      <c r="U110">
        <f t="shared" si="9"/>
        <v>324</v>
      </c>
      <c r="AD110" s="19">
        <v>38455</v>
      </c>
      <c r="AE110">
        <v>50.5608</v>
      </c>
      <c r="AG110">
        <v>38455</v>
      </c>
      <c r="AH110" s="1">
        <v>50.5608</v>
      </c>
    </row>
    <row r="111" spans="1:34" hidden="1" x14ac:dyDescent="0.25">
      <c r="A111" s="2">
        <v>37562</v>
      </c>
      <c r="B111" s="13" t="s">
        <v>304</v>
      </c>
      <c r="C111" s="14" t="s">
        <v>39</v>
      </c>
      <c r="D111" s="15">
        <v>45321</v>
      </c>
      <c r="E111" s="2">
        <v>0</v>
      </c>
      <c r="F111" s="14" t="s">
        <v>305</v>
      </c>
      <c r="G111" t="s">
        <v>306</v>
      </c>
      <c r="H111" s="14" t="s">
        <v>42</v>
      </c>
      <c r="I111" s="2">
        <v>1</v>
      </c>
      <c r="J111" s="2">
        <v>0</v>
      </c>
      <c r="K111" s="2">
        <v>0</v>
      </c>
      <c r="L111" s="2"/>
      <c r="M111" s="2">
        <v>0</v>
      </c>
      <c r="N111" s="14"/>
      <c r="O111" s="14"/>
      <c r="P111" s="2">
        <v>1295</v>
      </c>
      <c r="Q111" s="2">
        <v>1295</v>
      </c>
      <c r="R111" s="2">
        <v>971.6</v>
      </c>
      <c r="S111">
        <f t="shared" si="5"/>
        <v>971.6</v>
      </c>
      <c r="T111" t="s">
        <v>107</v>
      </c>
      <c r="U111" s="1">
        <f>_xlfn.XLOOKUP(T111,$Y$2:$Y$45,$AA$2:$AA$45)*(Q111-S111)</f>
        <v>12.936</v>
      </c>
      <c r="AD111" s="19">
        <v>38463</v>
      </c>
      <c r="AE111">
        <v>8.3552000000000053</v>
      </c>
      <c r="AG111">
        <v>38463</v>
      </c>
      <c r="AH111" s="1">
        <v>8.3552000000000053</v>
      </c>
    </row>
    <row r="112" spans="1:34" hidden="1" x14ac:dyDescent="0.25">
      <c r="A112" s="2">
        <v>37562</v>
      </c>
      <c r="B112" s="13" t="s">
        <v>304</v>
      </c>
      <c r="C112" s="14" t="s">
        <v>39</v>
      </c>
      <c r="D112" s="15">
        <v>45321</v>
      </c>
      <c r="E112" s="2">
        <v>0</v>
      </c>
      <c r="F112" s="14" t="s">
        <v>307</v>
      </c>
      <c r="G112" t="s">
        <v>308</v>
      </c>
      <c r="H112" s="14" t="s">
        <v>42</v>
      </c>
      <c r="I112" s="2">
        <v>1</v>
      </c>
      <c r="J112" s="2">
        <v>0</v>
      </c>
      <c r="K112" s="2">
        <v>0</v>
      </c>
      <c r="L112" s="2"/>
      <c r="M112" s="2">
        <v>0</v>
      </c>
      <c r="N112" s="14"/>
      <c r="O112" s="14"/>
      <c r="P112" s="2">
        <v>639</v>
      </c>
      <c r="Q112" s="2">
        <v>639</v>
      </c>
      <c r="R112" s="2">
        <v>374.55</v>
      </c>
      <c r="S112">
        <f t="shared" si="5"/>
        <v>374.55</v>
      </c>
      <c r="T112" t="s">
        <v>107</v>
      </c>
      <c r="U112" s="1">
        <f>_xlfn.XLOOKUP(T112,$Y$2:$Y$45,$AA$2:$AA$45)*(Q112-S112)</f>
        <v>10.577999999999999</v>
      </c>
      <c r="AD112" s="19">
        <v>38473</v>
      </c>
      <c r="AE112">
        <v>90.455999999999989</v>
      </c>
      <c r="AG112">
        <v>38473</v>
      </c>
      <c r="AH112" s="1">
        <v>90.455999999999989</v>
      </c>
    </row>
    <row r="113" spans="1:34" x14ac:dyDescent="0.25">
      <c r="A113" s="2">
        <v>37562</v>
      </c>
      <c r="B113" s="13" t="s">
        <v>304</v>
      </c>
      <c r="C113" s="14" t="s">
        <v>39</v>
      </c>
      <c r="D113" s="15">
        <v>45321</v>
      </c>
      <c r="E113" s="2">
        <v>0</v>
      </c>
      <c r="F113" s="14" t="s">
        <v>152</v>
      </c>
      <c r="G113" t="s">
        <v>153</v>
      </c>
      <c r="H113" s="14" t="s">
        <v>93</v>
      </c>
      <c r="I113" s="2">
        <v>4</v>
      </c>
      <c r="J113" s="2">
        <v>0</v>
      </c>
      <c r="K113" s="2">
        <v>0</v>
      </c>
      <c r="L113" s="2"/>
      <c r="M113" s="2">
        <v>0</v>
      </c>
      <c r="N113" s="14"/>
      <c r="O113" s="14"/>
      <c r="P113" s="2">
        <v>225</v>
      </c>
      <c r="Q113" s="2">
        <v>900</v>
      </c>
      <c r="R113" s="2">
        <v>0</v>
      </c>
      <c r="S113">
        <f t="shared" si="5"/>
        <v>0</v>
      </c>
      <c r="T113" t="s">
        <v>107</v>
      </c>
      <c r="U113">
        <f>_xlfn.XLOOKUP(T113,$Y$2:$Y$45,$AB$2:$AB$45)*(Q113)</f>
        <v>36</v>
      </c>
      <c r="AD113" s="19">
        <v>38474</v>
      </c>
      <c r="AE113">
        <v>26.240000000000002</v>
      </c>
      <c r="AG113">
        <v>38474</v>
      </c>
      <c r="AH113" s="1">
        <v>26.240000000000002</v>
      </c>
    </row>
    <row r="114" spans="1:34" hidden="1" x14ac:dyDescent="0.25">
      <c r="A114" s="2">
        <v>37562</v>
      </c>
      <c r="B114" s="13" t="s">
        <v>304</v>
      </c>
      <c r="C114" s="14" t="s">
        <v>39</v>
      </c>
      <c r="D114" s="15">
        <v>45321</v>
      </c>
      <c r="E114" s="2">
        <v>0</v>
      </c>
      <c r="F114" s="14" t="s">
        <v>309</v>
      </c>
      <c r="G114" t="s">
        <v>310</v>
      </c>
      <c r="H114" s="14" t="s">
        <v>42</v>
      </c>
      <c r="I114" s="2">
        <v>1</v>
      </c>
      <c r="J114" s="2">
        <v>0</v>
      </c>
      <c r="K114" s="2">
        <v>0</v>
      </c>
      <c r="L114" s="2"/>
      <c r="M114" s="2">
        <v>0</v>
      </c>
      <c r="N114" s="14"/>
      <c r="O114" s="14"/>
      <c r="P114" s="2">
        <v>139</v>
      </c>
      <c r="Q114" s="2">
        <v>139</v>
      </c>
      <c r="R114" s="2">
        <v>111.04</v>
      </c>
      <c r="S114">
        <f t="shared" si="5"/>
        <v>111.04</v>
      </c>
      <c r="T114" t="s">
        <v>107</v>
      </c>
      <c r="U114" s="1">
        <f>_xlfn.XLOOKUP(T114,$Y$2:$Y$45,$AA$2:$AA$45)*(Q114-S114)</f>
        <v>1.1183999999999998</v>
      </c>
      <c r="AD114" s="19">
        <v>38477</v>
      </c>
      <c r="AE114">
        <v>0</v>
      </c>
      <c r="AG114">
        <v>38477</v>
      </c>
      <c r="AH114" s="1">
        <v>0</v>
      </c>
    </row>
    <row r="115" spans="1:34" hidden="1" x14ac:dyDescent="0.25">
      <c r="A115" s="2">
        <v>37562</v>
      </c>
      <c r="B115" s="13" t="s">
        <v>304</v>
      </c>
      <c r="C115" s="14" t="s">
        <v>39</v>
      </c>
      <c r="D115" s="15">
        <v>45321</v>
      </c>
      <c r="E115" s="2">
        <v>0</v>
      </c>
      <c r="F115" s="14" t="s">
        <v>311</v>
      </c>
      <c r="G115" t="s">
        <v>312</v>
      </c>
      <c r="H115" s="14" t="s">
        <v>42</v>
      </c>
      <c r="I115" s="2">
        <v>1</v>
      </c>
      <c r="J115" s="2">
        <v>0</v>
      </c>
      <c r="K115" s="2">
        <v>0</v>
      </c>
      <c r="L115" s="2"/>
      <c r="M115" s="2">
        <v>0</v>
      </c>
      <c r="N115" s="14"/>
      <c r="O115" s="14"/>
      <c r="P115" s="2">
        <v>134</v>
      </c>
      <c r="Q115" s="2">
        <v>134</v>
      </c>
      <c r="R115" s="2">
        <v>99.83</v>
      </c>
      <c r="S115">
        <f t="shared" si="5"/>
        <v>99.83</v>
      </c>
      <c r="T115" t="s">
        <v>107</v>
      </c>
      <c r="U115" s="1">
        <f>_xlfn.XLOOKUP(T115,$Y$2:$Y$45,$AA$2:$AA$45)*(Q115-S115)</f>
        <v>1.3668</v>
      </c>
      <c r="AD115" s="19">
        <v>38479</v>
      </c>
      <c r="AE115">
        <v>0</v>
      </c>
      <c r="AG115">
        <v>38479</v>
      </c>
      <c r="AH115" s="1">
        <v>0</v>
      </c>
    </row>
    <row r="116" spans="1:34" x14ac:dyDescent="0.25">
      <c r="A116" s="2">
        <v>37562</v>
      </c>
      <c r="B116" s="13" t="s">
        <v>304</v>
      </c>
      <c r="C116" s="14" t="s">
        <v>39</v>
      </c>
      <c r="D116" s="15">
        <v>45321</v>
      </c>
      <c r="E116" s="2">
        <v>0</v>
      </c>
      <c r="F116" s="14" t="s">
        <v>260</v>
      </c>
      <c r="G116" t="s">
        <v>313</v>
      </c>
      <c r="H116" s="14" t="s">
        <v>93</v>
      </c>
      <c r="I116" s="2">
        <v>2</v>
      </c>
      <c r="J116" s="2">
        <v>0</v>
      </c>
      <c r="K116" s="2">
        <v>0</v>
      </c>
      <c r="L116" s="2"/>
      <c r="M116" s="2">
        <v>0</v>
      </c>
      <c r="N116" s="14"/>
      <c r="O116" s="14"/>
      <c r="P116" s="2">
        <v>185</v>
      </c>
      <c r="Q116" s="2">
        <v>370</v>
      </c>
      <c r="R116" s="2">
        <v>0</v>
      </c>
      <c r="S116">
        <f t="shared" si="5"/>
        <v>0</v>
      </c>
      <c r="T116" t="s">
        <v>107</v>
      </c>
      <c r="U116">
        <f t="shared" ref="U116:U122" si="10">_xlfn.XLOOKUP(T116,$Y$2:$Y$45,$AB$2:$AB$45)*(Q116)</f>
        <v>14.8</v>
      </c>
      <c r="AD116" s="19">
        <v>38482</v>
      </c>
      <c r="AE116">
        <v>2.5091999999999999</v>
      </c>
      <c r="AG116">
        <v>38482</v>
      </c>
      <c r="AH116" s="1">
        <v>2.5091999999999999</v>
      </c>
    </row>
    <row r="117" spans="1:34" x14ac:dyDescent="0.25">
      <c r="A117" s="2">
        <v>37569</v>
      </c>
      <c r="B117" s="13" t="s">
        <v>314</v>
      </c>
      <c r="C117" s="14" t="s">
        <v>39</v>
      </c>
      <c r="D117" s="15">
        <v>45310</v>
      </c>
      <c r="E117" s="2">
        <v>1650.75</v>
      </c>
      <c r="F117" s="14" t="s">
        <v>154</v>
      </c>
      <c r="G117" t="s">
        <v>155</v>
      </c>
      <c r="H117" s="14" t="s">
        <v>93</v>
      </c>
      <c r="I117" s="2">
        <v>4</v>
      </c>
      <c r="J117" s="2">
        <v>0</v>
      </c>
      <c r="K117" s="2">
        <v>0</v>
      </c>
      <c r="L117" s="2"/>
      <c r="M117" s="2">
        <v>0</v>
      </c>
      <c r="N117" s="14"/>
      <c r="O117" s="14"/>
      <c r="P117" s="2">
        <v>150</v>
      </c>
      <c r="Q117" s="2">
        <v>600</v>
      </c>
      <c r="R117" s="2">
        <v>0</v>
      </c>
      <c r="S117">
        <f t="shared" si="5"/>
        <v>0</v>
      </c>
      <c r="T117" t="s">
        <v>105</v>
      </c>
      <c r="U117">
        <f t="shared" si="10"/>
        <v>24</v>
      </c>
      <c r="AD117" s="19">
        <v>38483</v>
      </c>
      <c r="AE117">
        <v>0.66385000000000005</v>
      </c>
      <c r="AG117">
        <v>38483</v>
      </c>
      <c r="AH117" s="1">
        <v>0.66385000000000005</v>
      </c>
    </row>
    <row r="118" spans="1:34" hidden="1" x14ac:dyDescent="0.25">
      <c r="A118" s="2">
        <v>37569</v>
      </c>
      <c r="B118" s="13" t="s">
        <v>314</v>
      </c>
      <c r="C118" s="14" t="s">
        <v>39</v>
      </c>
      <c r="D118" s="15">
        <v>45310</v>
      </c>
      <c r="E118" s="2">
        <v>1650.75</v>
      </c>
      <c r="F118" s="14" t="s">
        <v>315</v>
      </c>
      <c r="G118" t="s">
        <v>316</v>
      </c>
      <c r="H118" s="14" t="s">
        <v>104</v>
      </c>
      <c r="I118" s="2">
        <v>1</v>
      </c>
      <c r="J118" s="2">
        <v>0</v>
      </c>
      <c r="K118" s="2">
        <v>0</v>
      </c>
      <c r="L118" s="2"/>
      <c r="M118" s="2">
        <v>0</v>
      </c>
      <c r="N118" s="14"/>
      <c r="O118" s="14"/>
      <c r="P118" s="2">
        <v>1315</v>
      </c>
      <c r="Q118" s="2">
        <v>1315</v>
      </c>
      <c r="R118" s="2">
        <v>0</v>
      </c>
      <c r="S118">
        <f t="shared" si="5"/>
        <v>0</v>
      </c>
      <c r="T118" t="s">
        <v>105</v>
      </c>
      <c r="U118">
        <f t="shared" si="10"/>
        <v>52.6</v>
      </c>
      <c r="AD118" s="19">
        <v>38485</v>
      </c>
      <c r="AE118">
        <v>5.2040000000000006</v>
      </c>
      <c r="AG118">
        <v>38485</v>
      </c>
      <c r="AH118" s="1">
        <v>5.2040000000000006</v>
      </c>
    </row>
    <row r="119" spans="1:34" x14ac:dyDescent="0.25">
      <c r="A119" s="2">
        <v>37569</v>
      </c>
      <c r="B119" s="13" t="s">
        <v>314</v>
      </c>
      <c r="C119" s="14" t="s">
        <v>39</v>
      </c>
      <c r="D119" s="15">
        <v>45310</v>
      </c>
      <c r="E119" s="2">
        <v>1650.75</v>
      </c>
      <c r="F119" s="14" t="s">
        <v>164</v>
      </c>
      <c r="G119" t="s">
        <v>165</v>
      </c>
      <c r="H119" s="14" t="s">
        <v>126</v>
      </c>
      <c r="I119" s="2">
        <v>11</v>
      </c>
      <c r="J119" s="2">
        <v>5</v>
      </c>
      <c r="K119" s="2">
        <v>0.8</v>
      </c>
      <c r="L119" s="2"/>
      <c r="M119" s="2">
        <v>55</v>
      </c>
      <c r="N119" s="14"/>
      <c r="O119" s="14"/>
      <c r="P119" s="2">
        <v>6</v>
      </c>
      <c r="Q119" s="2">
        <v>66</v>
      </c>
      <c r="R119" s="2">
        <v>0</v>
      </c>
      <c r="S119">
        <f t="shared" si="5"/>
        <v>0</v>
      </c>
      <c r="T119" t="s">
        <v>105</v>
      </c>
      <c r="U119">
        <f t="shared" si="10"/>
        <v>2.64</v>
      </c>
      <c r="AD119" s="19">
        <v>38488</v>
      </c>
      <c r="AE119">
        <v>19.623200000000008</v>
      </c>
      <c r="AG119">
        <v>38488</v>
      </c>
      <c r="AH119" s="1">
        <v>19.623200000000008</v>
      </c>
    </row>
    <row r="120" spans="1:34" hidden="1" x14ac:dyDescent="0.25">
      <c r="A120" s="2">
        <v>37569</v>
      </c>
      <c r="B120" s="13" t="s">
        <v>314</v>
      </c>
      <c r="C120" s="14" t="s">
        <v>39</v>
      </c>
      <c r="D120" s="15">
        <v>45310</v>
      </c>
      <c r="E120" s="2">
        <v>1650.75</v>
      </c>
      <c r="F120" s="14" t="s">
        <v>158</v>
      </c>
      <c r="G120" t="s">
        <v>159</v>
      </c>
      <c r="H120" s="14" t="s">
        <v>104</v>
      </c>
      <c r="I120" s="2">
        <v>11</v>
      </c>
      <c r="J120" s="2">
        <v>5.5</v>
      </c>
      <c r="K120" s="2">
        <v>1.05</v>
      </c>
      <c r="L120" s="2"/>
      <c r="M120" s="2">
        <v>60.5</v>
      </c>
      <c r="N120" s="14"/>
      <c r="O120" s="14"/>
      <c r="P120" s="2">
        <v>0.25</v>
      </c>
      <c r="Q120" s="2">
        <v>2.75</v>
      </c>
      <c r="R120" s="2">
        <v>0</v>
      </c>
      <c r="S120">
        <f t="shared" si="5"/>
        <v>0</v>
      </c>
      <c r="T120" t="s">
        <v>105</v>
      </c>
      <c r="U120">
        <f t="shared" si="10"/>
        <v>0.11</v>
      </c>
      <c r="AD120" s="19">
        <v>38490</v>
      </c>
      <c r="AE120">
        <v>5.0031000000000017</v>
      </c>
      <c r="AG120">
        <v>38490</v>
      </c>
      <c r="AH120" s="1">
        <v>5.0031000000000017</v>
      </c>
    </row>
    <row r="121" spans="1:34" hidden="1" x14ac:dyDescent="0.25">
      <c r="A121" s="2">
        <v>37569</v>
      </c>
      <c r="B121" s="13" t="s">
        <v>314</v>
      </c>
      <c r="C121" s="14" t="s">
        <v>39</v>
      </c>
      <c r="D121" s="15">
        <v>45310</v>
      </c>
      <c r="E121" s="2">
        <v>1650.75</v>
      </c>
      <c r="F121" s="14" t="s">
        <v>161</v>
      </c>
      <c r="G121" t="s">
        <v>162</v>
      </c>
      <c r="H121" s="14" t="s">
        <v>104</v>
      </c>
      <c r="I121" s="2">
        <v>11</v>
      </c>
      <c r="J121" s="2">
        <v>7</v>
      </c>
      <c r="K121" s="2">
        <v>0</v>
      </c>
      <c r="L121" s="2"/>
      <c r="M121" s="2">
        <v>77</v>
      </c>
      <c r="N121" s="14"/>
      <c r="O121" s="14"/>
      <c r="P121" s="2">
        <v>0.25</v>
      </c>
      <c r="Q121" s="2">
        <v>2.75</v>
      </c>
      <c r="R121" s="2">
        <v>0</v>
      </c>
      <c r="S121">
        <f t="shared" si="5"/>
        <v>0</v>
      </c>
      <c r="T121" t="s">
        <v>105</v>
      </c>
      <c r="U121">
        <f t="shared" si="10"/>
        <v>0.11</v>
      </c>
      <c r="AD121" s="19">
        <v>38494</v>
      </c>
      <c r="AE121">
        <v>1.3503999999999996</v>
      </c>
      <c r="AG121">
        <v>38494</v>
      </c>
      <c r="AH121" s="1">
        <v>1.3503999999999996</v>
      </c>
    </row>
    <row r="122" spans="1:34" x14ac:dyDescent="0.25">
      <c r="A122" s="2">
        <v>37569</v>
      </c>
      <c r="B122" s="13" t="s">
        <v>314</v>
      </c>
      <c r="C122" s="14" t="s">
        <v>39</v>
      </c>
      <c r="D122" s="15">
        <v>45310</v>
      </c>
      <c r="E122" s="2">
        <v>1650.75</v>
      </c>
      <c r="F122" s="14" t="s">
        <v>317</v>
      </c>
      <c r="G122" t="s">
        <v>318</v>
      </c>
      <c r="H122" s="14" t="s">
        <v>126</v>
      </c>
      <c r="I122" s="2">
        <v>11</v>
      </c>
      <c r="J122" s="2">
        <v>10</v>
      </c>
      <c r="K122" s="2">
        <v>4.5</v>
      </c>
      <c r="L122" s="2"/>
      <c r="M122" s="2">
        <v>110</v>
      </c>
      <c r="N122" s="14"/>
      <c r="O122" s="14"/>
      <c r="P122" s="2">
        <v>10.25</v>
      </c>
      <c r="Q122" s="2">
        <v>112.75</v>
      </c>
      <c r="R122" s="2">
        <v>0</v>
      </c>
      <c r="S122">
        <f t="shared" si="5"/>
        <v>0</v>
      </c>
      <c r="T122" t="s">
        <v>105</v>
      </c>
      <c r="U122">
        <f t="shared" si="10"/>
        <v>4.51</v>
      </c>
      <c r="AD122" s="19">
        <v>38496</v>
      </c>
      <c r="AE122">
        <v>0</v>
      </c>
      <c r="AG122">
        <v>38496</v>
      </c>
      <c r="AH122" s="1">
        <v>0</v>
      </c>
    </row>
    <row r="123" spans="1:34" hidden="1" x14ac:dyDescent="0.25">
      <c r="A123" s="2">
        <v>37574</v>
      </c>
      <c r="B123" s="13" t="s">
        <v>319</v>
      </c>
      <c r="C123" s="14" t="s">
        <v>39</v>
      </c>
      <c r="D123" s="15">
        <v>45307</v>
      </c>
      <c r="E123" s="2">
        <v>0</v>
      </c>
      <c r="F123" s="14" t="s">
        <v>320</v>
      </c>
      <c r="G123" t="s">
        <v>321</v>
      </c>
      <c r="H123" s="14" t="s">
        <v>42</v>
      </c>
      <c r="I123" s="2">
        <v>1</v>
      </c>
      <c r="J123" s="2">
        <v>0</v>
      </c>
      <c r="K123" s="2">
        <v>0</v>
      </c>
      <c r="L123" s="2"/>
      <c r="M123" s="2">
        <v>0</v>
      </c>
      <c r="N123" s="14"/>
      <c r="O123" s="14"/>
      <c r="P123" s="2">
        <v>1286</v>
      </c>
      <c r="Q123" s="2">
        <v>1286</v>
      </c>
      <c r="R123" s="2">
        <v>1053.8599999999999</v>
      </c>
      <c r="S123">
        <f t="shared" si="5"/>
        <v>1053.8599999999999</v>
      </c>
      <c r="T123" t="s">
        <v>1874</v>
      </c>
      <c r="U123" s="1">
        <f t="shared" ref="U123:U134" si="11">_xlfn.XLOOKUP(T123,$Y$2:$Y$45,$AA$2:$AA$45)*(Q123-S123)</f>
        <v>18.571200000000008</v>
      </c>
      <c r="AD123" s="19">
        <v>38503</v>
      </c>
      <c r="AE123">
        <v>310.61840000000001</v>
      </c>
      <c r="AG123">
        <v>38503</v>
      </c>
      <c r="AH123" s="1">
        <v>310.61840000000001</v>
      </c>
    </row>
    <row r="124" spans="1:34" hidden="1" x14ac:dyDescent="0.25">
      <c r="A124" s="2">
        <v>37574</v>
      </c>
      <c r="B124" s="13" t="s">
        <v>319</v>
      </c>
      <c r="C124" s="14" t="s">
        <v>39</v>
      </c>
      <c r="D124" s="15">
        <v>45307</v>
      </c>
      <c r="E124" s="2">
        <v>0</v>
      </c>
      <c r="F124" s="14" t="s">
        <v>322</v>
      </c>
      <c r="G124" t="s">
        <v>323</v>
      </c>
      <c r="H124" s="14" t="s">
        <v>173</v>
      </c>
      <c r="I124" s="2">
        <v>1</v>
      </c>
      <c r="J124" s="2">
        <v>0</v>
      </c>
      <c r="K124" s="2">
        <v>0</v>
      </c>
      <c r="L124" s="2"/>
      <c r="M124" s="2">
        <v>0</v>
      </c>
      <c r="N124" s="14"/>
      <c r="O124" s="14"/>
      <c r="P124" s="2">
        <v>203</v>
      </c>
      <c r="Q124" s="2">
        <v>203</v>
      </c>
      <c r="R124" s="2">
        <v>166.2</v>
      </c>
      <c r="S124">
        <f t="shared" si="5"/>
        <v>166.2</v>
      </c>
      <c r="T124" t="s">
        <v>1874</v>
      </c>
      <c r="U124" s="1">
        <f t="shared" si="11"/>
        <v>2.9440000000000008</v>
      </c>
      <c r="AD124" s="19">
        <v>38510</v>
      </c>
      <c r="AE124">
        <v>128</v>
      </c>
      <c r="AG124">
        <v>38510</v>
      </c>
      <c r="AH124" s="1">
        <v>128</v>
      </c>
    </row>
    <row r="125" spans="1:34" hidden="1" x14ac:dyDescent="0.25">
      <c r="A125" s="2">
        <v>37591</v>
      </c>
      <c r="B125" s="13" t="s">
        <v>324</v>
      </c>
      <c r="C125" s="14" t="s">
        <v>39</v>
      </c>
      <c r="D125" s="15">
        <v>45300</v>
      </c>
      <c r="E125" s="2">
        <v>0</v>
      </c>
      <c r="F125" s="14" t="s">
        <v>325</v>
      </c>
      <c r="G125" t="s">
        <v>326</v>
      </c>
      <c r="H125" s="14" t="s">
        <v>42</v>
      </c>
      <c r="I125" s="2">
        <v>1</v>
      </c>
      <c r="J125" s="2">
        <v>0</v>
      </c>
      <c r="K125" s="2">
        <v>0</v>
      </c>
      <c r="L125" s="2"/>
      <c r="M125" s="2">
        <v>0</v>
      </c>
      <c r="N125" s="14"/>
      <c r="O125" s="14"/>
      <c r="P125" s="2">
        <v>39.64</v>
      </c>
      <c r="Q125" s="2">
        <v>39.64</v>
      </c>
      <c r="R125" s="2">
        <v>33.21</v>
      </c>
      <c r="S125">
        <f t="shared" si="5"/>
        <v>33.21</v>
      </c>
      <c r="T125" t="s">
        <v>184</v>
      </c>
      <c r="U125" s="1">
        <f t="shared" si="11"/>
        <v>0</v>
      </c>
      <c r="AD125" s="19">
        <v>38515</v>
      </c>
      <c r="AE125">
        <v>35.780799999999999</v>
      </c>
      <c r="AG125">
        <v>38515</v>
      </c>
      <c r="AH125" s="1">
        <v>35.780799999999999</v>
      </c>
    </row>
    <row r="126" spans="1:34" hidden="1" x14ac:dyDescent="0.25">
      <c r="A126" s="2">
        <v>37591</v>
      </c>
      <c r="B126" s="13" t="s">
        <v>324</v>
      </c>
      <c r="C126" s="14" t="s">
        <v>39</v>
      </c>
      <c r="D126" s="15">
        <v>45300</v>
      </c>
      <c r="E126" s="2">
        <v>0</v>
      </c>
      <c r="F126" s="14" t="s">
        <v>327</v>
      </c>
      <c r="G126" t="s">
        <v>328</v>
      </c>
      <c r="H126" s="14" t="s">
        <v>42</v>
      </c>
      <c r="I126" s="2">
        <v>3</v>
      </c>
      <c r="J126" s="2">
        <v>0</v>
      </c>
      <c r="K126" s="2">
        <v>0</v>
      </c>
      <c r="L126" s="2"/>
      <c r="M126" s="2">
        <v>0</v>
      </c>
      <c r="N126" s="14"/>
      <c r="O126" s="14"/>
      <c r="P126" s="2">
        <v>92.71</v>
      </c>
      <c r="Q126" s="2">
        <v>278.13</v>
      </c>
      <c r="R126" s="2">
        <v>83.44</v>
      </c>
      <c r="S126">
        <f t="shared" si="5"/>
        <v>250.32</v>
      </c>
      <c r="T126" t="s">
        <v>184</v>
      </c>
      <c r="U126" s="1">
        <f t="shared" si="11"/>
        <v>0</v>
      </c>
      <c r="AD126" s="19">
        <v>38516</v>
      </c>
      <c r="AE126">
        <v>79.260799999999989</v>
      </c>
      <c r="AG126">
        <v>38516</v>
      </c>
      <c r="AH126" s="1">
        <v>79.260799999999989</v>
      </c>
    </row>
    <row r="127" spans="1:34" hidden="1" x14ac:dyDescent="0.25">
      <c r="A127" s="2">
        <v>37591</v>
      </c>
      <c r="B127" s="13" t="s">
        <v>324</v>
      </c>
      <c r="C127" s="14" t="s">
        <v>39</v>
      </c>
      <c r="D127" s="15">
        <v>45300</v>
      </c>
      <c r="E127" s="2">
        <v>0</v>
      </c>
      <c r="F127" s="14" t="s">
        <v>327</v>
      </c>
      <c r="G127" t="s">
        <v>328</v>
      </c>
      <c r="H127" s="14" t="s">
        <v>42</v>
      </c>
      <c r="I127" s="2">
        <v>1</v>
      </c>
      <c r="J127" s="2">
        <v>0</v>
      </c>
      <c r="K127" s="2">
        <v>0</v>
      </c>
      <c r="L127" s="2"/>
      <c r="M127" s="2">
        <v>0</v>
      </c>
      <c r="N127" s="14"/>
      <c r="O127" s="14"/>
      <c r="P127" s="2">
        <v>92.71</v>
      </c>
      <c r="Q127" s="2">
        <v>92.71</v>
      </c>
      <c r="R127" s="2">
        <v>83.44</v>
      </c>
      <c r="S127">
        <f t="shared" si="5"/>
        <v>83.44</v>
      </c>
      <c r="T127" t="s">
        <v>184</v>
      </c>
      <c r="U127" s="1">
        <f t="shared" si="11"/>
        <v>0</v>
      </c>
      <c r="AD127" s="19">
        <v>38518</v>
      </c>
      <c r="AE127">
        <v>57.7744</v>
      </c>
      <c r="AG127">
        <v>38518</v>
      </c>
      <c r="AH127" s="1">
        <v>57.7744</v>
      </c>
    </row>
    <row r="128" spans="1:34" hidden="1" x14ac:dyDescent="0.25">
      <c r="A128" s="2">
        <v>37591</v>
      </c>
      <c r="B128" s="13" t="s">
        <v>324</v>
      </c>
      <c r="C128" s="14" t="s">
        <v>39</v>
      </c>
      <c r="D128" s="15">
        <v>45300</v>
      </c>
      <c r="E128" s="2">
        <v>0</v>
      </c>
      <c r="F128" s="14" t="s">
        <v>327</v>
      </c>
      <c r="G128" t="s">
        <v>328</v>
      </c>
      <c r="H128" s="14" t="s">
        <v>42</v>
      </c>
      <c r="I128" s="2">
        <v>1</v>
      </c>
      <c r="J128" s="2">
        <v>0</v>
      </c>
      <c r="K128" s="2">
        <v>0</v>
      </c>
      <c r="L128" s="2"/>
      <c r="M128" s="2">
        <v>0</v>
      </c>
      <c r="N128" s="14"/>
      <c r="O128" s="14"/>
      <c r="P128" s="2">
        <v>92.71</v>
      </c>
      <c r="Q128" s="2">
        <v>92.71</v>
      </c>
      <c r="R128" s="2">
        <v>83.44</v>
      </c>
      <c r="S128">
        <f t="shared" si="5"/>
        <v>83.44</v>
      </c>
      <c r="T128" t="s">
        <v>184</v>
      </c>
      <c r="U128" s="1">
        <f t="shared" si="11"/>
        <v>0</v>
      </c>
      <c r="AD128" s="19">
        <v>38522</v>
      </c>
      <c r="AE128">
        <v>76.42</v>
      </c>
      <c r="AG128">
        <v>38522</v>
      </c>
      <c r="AH128" s="1">
        <v>76.42</v>
      </c>
    </row>
    <row r="129" spans="1:34" hidden="1" x14ac:dyDescent="0.25">
      <c r="A129" s="2">
        <v>37591</v>
      </c>
      <c r="B129" s="13" t="s">
        <v>324</v>
      </c>
      <c r="C129" s="14" t="s">
        <v>39</v>
      </c>
      <c r="D129" s="15">
        <v>45300</v>
      </c>
      <c r="E129" s="2">
        <v>0</v>
      </c>
      <c r="F129" s="14" t="s">
        <v>325</v>
      </c>
      <c r="G129" t="s">
        <v>326</v>
      </c>
      <c r="H129" s="14" t="s">
        <v>42</v>
      </c>
      <c r="I129" s="2">
        <v>4</v>
      </c>
      <c r="J129" s="2">
        <v>0</v>
      </c>
      <c r="K129" s="2">
        <v>0</v>
      </c>
      <c r="L129" s="2"/>
      <c r="M129" s="2">
        <v>0</v>
      </c>
      <c r="N129" s="14"/>
      <c r="O129" s="14"/>
      <c r="P129" s="2">
        <v>39.64</v>
      </c>
      <c r="Q129" s="2">
        <v>158.56</v>
      </c>
      <c r="R129" s="2">
        <v>33.21</v>
      </c>
      <c r="S129">
        <f t="shared" si="5"/>
        <v>132.84</v>
      </c>
      <c r="T129" t="s">
        <v>184</v>
      </c>
      <c r="U129" s="1">
        <f t="shared" si="11"/>
        <v>0</v>
      </c>
      <c r="AD129" s="19">
        <v>38524</v>
      </c>
      <c r="AE129">
        <v>31.268799999999999</v>
      </c>
      <c r="AG129">
        <v>38524</v>
      </c>
      <c r="AH129" s="1">
        <v>31.268799999999999</v>
      </c>
    </row>
    <row r="130" spans="1:34" hidden="1" x14ac:dyDescent="0.25">
      <c r="A130" s="2">
        <v>37591</v>
      </c>
      <c r="B130" s="13" t="s">
        <v>324</v>
      </c>
      <c r="C130" s="14" t="s">
        <v>39</v>
      </c>
      <c r="D130" s="15">
        <v>45300</v>
      </c>
      <c r="E130" s="2">
        <v>0</v>
      </c>
      <c r="F130" s="14" t="s">
        <v>325</v>
      </c>
      <c r="G130" t="s">
        <v>326</v>
      </c>
      <c r="H130" s="14" t="s">
        <v>42</v>
      </c>
      <c r="I130" s="2">
        <v>1</v>
      </c>
      <c r="J130" s="2">
        <v>0</v>
      </c>
      <c r="K130" s="2">
        <v>0</v>
      </c>
      <c r="L130" s="2"/>
      <c r="M130" s="2">
        <v>0</v>
      </c>
      <c r="N130" s="14"/>
      <c r="O130" s="14"/>
      <c r="P130" s="2">
        <v>39.64</v>
      </c>
      <c r="Q130" s="2">
        <v>39.64</v>
      </c>
      <c r="R130" s="2">
        <v>33.21</v>
      </c>
      <c r="S130">
        <f t="shared" ref="S130:S193" si="12">R130*I130</f>
        <v>33.21</v>
      </c>
      <c r="T130" t="s">
        <v>184</v>
      </c>
      <c r="U130" s="1">
        <f t="shared" si="11"/>
        <v>0</v>
      </c>
      <c r="AD130" s="19">
        <v>38525</v>
      </c>
      <c r="AE130">
        <v>9.9203499999999938</v>
      </c>
      <c r="AG130">
        <v>38525</v>
      </c>
      <c r="AH130" s="1">
        <v>9.9203499999999938</v>
      </c>
    </row>
    <row r="131" spans="1:34" hidden="1" x14ac:dyDescent="0.25">
      <c r="A131" s="2">
        <v>37591</v>
      </c>
      <c r="B131" s="13" t="s">
        <v>324</v>
      </c>
      <c r="C131" s="14" t="s">
        <v>39</v>
      </c>
      <c r="D131" s="15">
        <v>45300</v>
      </c>
      <c r="E131" s="2">
        <v>0</v>
      </c>
      <c r="F131" s="14" t="s">
        <v>327</v>
      </c>
      <c r="G131" t="s">
        <v>328</v>
      </c>
      <c r="H131" s="14" t="s">
        <v>42</v>
      </c>
      <c r="I131" s="2">
        <v>1</v>
      </c>
      <c r="J131" s="2">
        <v>0</v>
      </c>
      <c r="K131" s="2">
        <v>0</v>
      </c>
      <c r="L131" s="2"/>
      <c r="M131" s="2">
        <v>0</v>
      </c>
      <c r="N131" s="14"/>
      <c r="O131" s="14"/>
      <c r="P131" s="2">
        <v>92.71</v>
      </c>
      <c r="Q131" s="2">
        <v>92.71</v>
      </c>
      <c r="R131" s="2">
        <v>83.44</v>
      </c>
      <c r="S131">
        <f t="shared" si="12"/>
        <v>83.44</v>
      </c>
      <c r="T131" t="s">
        <v>184</v>
      </c>
      <c r="U131" s="1">
        <f t="shared" si="11"/>
        <v>0</v>
      </c>
      <c r="AD131" s="19">
        <v>38528</v>
      </c>
      <c r="AE131">
        <v>50.537600000000005</v>
      </c>
      <c r="AG131">
        <v>38528</v>
      </c>
      <c r="AH131" s="1">
        <v>50.537600000000005</v>
      </c>
    </row>
    <row r="132" spans="1:34" hidden="1" x14ac:dyDescent="0.25">
      <c r="A132" s="2">
        <v>37591</v>
      </c>
      <c r="B132" s="13" t="s">
        <v>324</v>
      </c>
      <c r="C132" s="14" t="s">
        <v>39</v>
      </c>
      <c r="D132" s="15">
        <v>45300</v>
      </c>
      <c r="E132" s="2">
        <v>0</v>
      </c>
      <c r="F132" s="14" t="s">
        <v>327</v>
      </c>
      <c r="G132" t="s">
        <v>328</v>
      </c>
      <c r="H132" s="14" t="s">
        <v>42</v>
      </c>
      <c r="I132" s="2">
        <v>4</v>
      </c>
      <c r="J132" s="2">
        <v>0</v>
      </c>
      <c r="K132" s="2">
        <v>0</v>
      </c>
      <c r="L132" s="2"/>
      <c r="M132" s="2">
        <v>0</v>
      </c>
      <c r="N132" s="14"/>
      <c r="O132" s="14"/>
      <c r="P132" s="2">
        <v>92.71</v>
      </c>
      <c r="Q132" s="2">
        <v>370.84</v>
      </c>
      <c r="R132" s="2">
        <v>83.44</v>
      </c>
      <c r="S132">
        <f t="shared" si="12"/>
        <v>333.76</v>
      </c>
      <c r="T132" t="s">
        <v>184</v>
      </c>
      <c r="U132" s="1">
        <f t="shared" si="11"/>
        <v>0</v>
      </c>
      <c r="AD132" s="19">
        <v>38529</v>
      </c>
      <c r="AE132">
        <v>5.2192000000000007</v>
      </c>
      <c r="AG132">
        <v>38529</v>
      </c>
      <c r="AH132" s="1">
        <v>5.2192000000000007</v>
      </c>
    </row>
    <row r="133" spans="1:34" hidden="1" x14ac:dyDescent="0.25">
      <c r="A133" s="2">
        <v>37591</v>
      </c>
      <c r="B133" s="13" t="s">
        <v>324</v>
      </c>
      <c r="C133" s="14" t="s">
        <v>39</v>
      </c>
      <c r="D133" s="15">
        <v>45300</v>
      </c>
      <c r="E133" s="2">
        <v>0</v>
      </c>
      <c r="F133" s="14" t="s">
        <v>325</v>
      </c>
      <c r="G133" t="s">
        <v>326</v>
      </c>
      <c r="H133" s="14" t="s">
        <v>42</v>
      </c>
      <c r="I133" s="2">
        <v>1</v>
      </c>
      <c r="J133" s="2">
        <v>0</v>
      </c>
      <c r="K133" s="2">
        <v>0</v>
      </c>
      <c r="L133" s="2"/>
      <c r="M133" s="2">
        <v>0</v>
      </c>
      <c r="N133" s="14"/>
      <c r="O133" s="14"/>
      <c r="P133" s="2">
        <v>39.64</v>
      </c>
      <c r="Q133" s="2">
        <v>39.64</v>
      </c>
      <c r="R133" s="2">
        <v>33.21</v>
      </c>
      <c r="S133">
        <f t="shared" si="12"/>
        <v>33.21</v>
      </c>
      <c r="T133" t="s">
        <v>184</v>
      </c>
      <c r="U133" s="1">
        <f t="shared" si="11"/>
        <v>0</v>
      </c>
      <c r="AD133" s="19">
        <v>38530</v>
      </c>
      <c r="AE133">
        <v>0</v>
      </c>
      <c r="AG133">
        <v>38530</v>
      </c>
      <c r="AH133" s="1">
        <v>0</v>
      </c>
    </row>
    <row r="134" spans="1:34" hidden="1" x14ac:dyDescent="0.25">
      <c r="A134" s="2">
        <v>37591</v>
      </c>
      <c r="B134" s="13" t="s">
        <v>324</v>
      </c>
      <c r="C134" s="14" t="s">
        <v>39</v>
      </c>
      <c r="D134" s="15">
        <v>45300</v>
      </c>
      <c r="E134" s="2">
        <v>0</v>
      </c>
      <c r="F134" s="14" t="s">
        <v>325</v>
      </c>
      <c r="G134" t="s">
        <v>326</v>
      </c>
      <c r="H134" s="14" t="s">
        <v>42</v>
      </c>
      <c r="I134" s="2">
        <v>3</v>
      </c>
      <c r="J134" s="2">
        <v>0</v>
      </c>
      <c r="K134" s="2">
        <v>0</v>
      </c>
      <c r="L134" s="2"/>
      <c r="M134" s="2">
        <v>0</v>
      </c>
      <c r="N134" s="14"/>
      <c r="O134" s="14"/>
      <c r="P134" s="2">
        <v>39.64</v>
      </c>
      <c r="Q134" s="2">
        <v>118.92</v>
      </c>
      <c r="R134" s="2">
        <v>33.21</v>
      </c>
      <c r="S134">
        <f t="shared" si="12"/>
        <v>99.63</v>
      </c>
      <c r="T134" t="s">
        <v>184</v>
      </c>
      <c r="U134" s="1">
        <f t="shared" si="11"/>
        <v>0</v>
      </c>
      <c r="AD134" s="19">
        <v>38531</v>
      </c>
      <c r="AE134">
        <v>3.1055999999999995</v>
      </c>
      <c r="AG134">
        <v>38531</v>
      </c>
      <c r="AH134" s="1">
        <v>3.1055999999999995</v>
      </c>
    </row>
    <row r="135" spans="1:34" x14ac:dyDescent="0.25">
      <c r="A135" s="2">
        <v>37592</v>
      </c>
      <c r="B135" s="13" t="s">
        <v>329</v>
      </c>
      <c r="C135" s="14" t="s">
        <v>39</v>
      </c>
      <c r="D135" s="15">
        <v>45302</v>
      </c>
      <c r="E135" s="2">
        <v>-15675</v>
      </c>
      <c r="F135" s="14" t="s">
        <v>330</v>
      </c>
      <c r="G135" t="s">
        <v>329</v>
      </c>
      <c r="H135" s="14" t="s">
        <v>126</v>
      </c>
      <c r="I135" s="2">
        <v>1050</v>
      </c>
      <c r="J135" s="2">
        <v>6</v>
      </c>
      <c r="K135" s="2">
        <v>1.6</v>
      </c>
      <c r="L135" s="2"/>
      <c r="M135" s="2">
        <v>6300</v>
      </c>
      <c r="N135" s="14"/>
      <c r="O135" s="14"/>
      <c r="P135" s="2">
        <v>6</v>
      </c>
      <c r="Q135" s="2">
        <v>6300</v>
      </c>
      <c r="R135" s="2">
        <v>0</v>
      </c>
      <c r="S135">
        <f t="shared" si="12"/>
        <v>0</v>
      </c>
      <c r="T135" t="s">
        <v>56</v>
      </c>
      <c r="U135">
        <f>_xlfn.XLOOKUP(T135,$Y$2:$Y$45,$AB$2:$AB$45)*(Q135)</f>
        <v>252</v>
      </c>
      <c r="AD135" s="19">
        <v>38532</v>
      </c>
      <c r="AE135">
        <v>0</v>
      </c>
      <c r="AG135">
        <v>38532</v>
      </c>
      <c r="AH135" s="1">
        <v>0</v>
      </c>
    </row>
    <row r="136" spans="1:34" x14ac:dyDescent="0.25">
      <c r="A136" s="2">
        <v>37606</v>
      </c>
      <c r="B136" s="13" t="s">
        <v>331</v>
      </c>
      <c r="C136" s="14" t="s">
        <v>39</v>
      </c>
      <c r="D136" s="15">
        <v>45293</v>
      </c>
      <c r="E136" s="2">
        <v>0</v>
      </c>
      <c r="F136" s="14" t="s">
        <v>152</v>
      </c>
      <c r="G136" t="s">
        <v>153</v>
      </c>
      <c r="H136" s="14" t="s">
        <v>93</v>
      </c>
      <c r="I136" s="2">
        <v>4</v>
      </c>
      <c r="J136" s="2">
        <v>0</v>
      </c>
      <c r="K136" s="2">
        <v>0</v>
      </c>
      <c r="L136" s="2"/>
      <c r="M136" s="2">
        <v>0</v>
      </c>
      <c r="N136" s="14"/>
      <c r="O136" s="14"/>
      <c r="P136" s="2">
        <v>185</v>
      </c>
      <c r="Q136" s="2">
        <v>740</v>
      </c>
      <c r="R136" s="2">
        <v>0</v>
      </c>
      <c r="S136">
        <f t="shared" si="12"/>
        <v>0</v>
      </c>
      <c r="T136" t="s">
        <v>150</v>
      </c>
      <c r="U136">
        <f>_xlfn.XLOOKUP(T136,$Y$2:$Y$45,$AB$2:$AB$45)*(Q136)</f>
        <v>29.6</v>
      </c>
      <c r="AD136" s="19">
        <v>38533</v>
      </c>
      <c r="AE136">
        <v>48.759199999999986</v>
      </c>
      <c r="AG136">
        <v>38533</v>
      </c>
      <c r="AH136" s="1">
        <v>48.759199999999986</v>
      </c>
    </row>
    <row r="137" spans="1:34" hidden="1" x14ac:dyDescent="0.25">
      <c r="A137" s="2">
        <v>37606</v>
      </c>
      <c r="B137" s="13" t="s">
        <v>331</v>
      </c>
      <c r="C137" s="14" t="s">
        <v>39</v>
      </c>
      <c r="D137" s="15">
        <v>45293</v>
      </c>
      <c r="E137" s="2">
        <v>0</v>
      </c>
      <c r="F137" s="14" t="s">
        <v>332</v>
      </c>
      <c r="G137" t="s">
        <v>333</v>
      </c>
      <c r="H137" s="14" t="s">
        <v>146</v>
      </c>
      <c r="I137" s="2">
        <v>3</v>
      </c>
      <c r="J137" s="2">
        <v>0</v>
      </c>
      <c r="K137" s="2">
        <v>0</v>
      </c>
      <c r="L137" s="2"/>
      <c r="M137" s="2">
        <v>0</v>
      </c>
      <c r="N137" s="14"/>
      <c r="O137" s="14"/>
      <c r="P137" s="2">
        <v>449</v>
      </c>
      <c r="Q137" s="2">
        <v>1347</v>
      </c>
      <c r="R137" s="2">
        <v>327.76</v>
      </c>
      <c r="S137">
        <f t="shared" si="12"/>
        <v>983.28</v>
      </c>
      <c r="T137" t="s">
        <v>150</v>
      </c>
      <c r="U137" s="1">
        <f t="shared" ref="U137:U174" si="13">_xlfn.XLOOKUP(T137,$Y$2:$Y$45,$AA$2:$AA$45)*(Q137-S137)</f>
        <v>29.097600000000003</v>
      </c>
      <c r="AD137" s="19">
        <v>38534</v>
      </c>
      <c r="AE137">
        <v>0</v>
      </c>
      <c r="AG137">
        <v>38534</v>
      </c>
      <c r="AH137" s="1">
        <v>0</v>
      </c>
    </row>
    <row r="138" spans="1:34" hidden="1" x14ac:dyDescent="0.25">
      <c r="A138" s="2">
        <v>37606</v>
      </c>
      <c r="B138" s="13" t="s">
        <v>331</v>
      </c>
      <c r="C138" s="14" t="s">
        <v>39</v>
      </c>
      <c r="D138" s="15">
        <v>45293</v>
      </c>
      <c r="E138" s="2">
        <v>0</v>
      </c>
      <c r="F138" s="14" t="s">
        <v>334</v>
      </c>
      <c r="G138" t="s">
        <v>335</v>
      </c>
      <c r="H138" s="14" t="s">
        <v>42</v>
      </c>
      <c r="I138" s="2">
        <v>1</v>
      </c>
      <c r="J138" s="2">
        <v>0</v>
      </c>
      <c r="K138" s="2">
        <v>0</v>
      </c>
      <c r="L138" s="2"/>
      <c r="M138" s="2">
        <v>0</v>
      </c>
      <c r="N138" s="14"/>
      <c r="O138" s="14"/>
      <c r="P138" s="2">
        <v>699</v>
      </c>
      <c r="Q138" s="2">
        <v>699</v>
      </c>
      <c r="R138" s="2">
        <v>510.24</v>
      </c>
      <c r="S138">
        <f t="shared" si="12"/>
        <v>510.24</v>
      </c>
      <c r="T138" t="s">
        <v>150</v>
      </c>
      <c r="U138" s="1">
        <f t="shared" si="13"/>
        <v>15.1008</v>
      </c>
      <c r="AD138" s="19">
        <v>38535</v>
      </c>
      <c r="AE138">
        <v>0</v>
      </c>
      <c r="AG138">
        <v>38535</v>
      </c>
      <c r="AH138" s="1">
        <v>0</v>
      </c>
    </row>
    <row r="139" spans="1:34" hidden="1" x14ac:dyDescent="0.25">
      <c r="A139" s="2">
        <v>37606</v>
      </c>
      <c r="B139" s="13" t="s">
        <v>331</v>
      </c>
      <c r="C139" s="14" t="s">
        <v>39</v>
      </c>
      <c r="D139" s="15">
        <v>45293</v>
      </c>
      <c r="E139" s="2">
        <v>0</v>
      </c>
      <c r="F139" s="14" t="s">
        <v>336</v>
      </c>
      <c r="G139" t="s">
        <v>337</v>
      </c>
      <c r="H139" s="14" t="s">
        <v>146</v>
      </c>
      <c r="I139" s="2">
        <v>1</v>
      </c>
      <c r="J139" s="2">
        <v>0</v>
      </c>
      <c r="K139" s="2">
        <v>0</v>
      </c>
      <c r="L139" s="2"/>
      <c r="M139" s="2">
        <v>0</v>
      </c>
      <c r="N139" s="14"/>
      <c r="O139" s="14"/>
      <c r="P139" s="2">
        <v>429</v>
      </c>
      <c r="Q139" s="2">
        <v>429</v>
      </c>
      <c r="R139" s="2">
        <v>313.16000000000003</v>
      </c>
      <c r="S139">
        <f t="shared" si="12"/>
        <v>313.16000000000003</v>
      </c>
      <c r="T139" t="s">
        <v>150</v>
      </c>
      <c r="U139" s="1">
        <f t="shared" si="13"/>
        <v>9.267199999999999</v>
      </c>
      <c r="AD139" s="19">
        <v>38545</v>
      </c>
      <c r="AE139">
        <v>0</v>
      </c>
      <c r="AG139">
        <v>38545</v>
      </c>
      <c r="AH139" s="1">
        <v>0</v>
      </c>
    </row>
    <row r="140" spans="1:34" hidden="1" x14ac:dyDescent="0.25">
      <c r="A140" s="2">
        <v>37614</v>
      </c>
      <c r="B140" s="13" t="s">
        <v>338</v>
      </c>
      <c r="C140" s="14" t="s">
        <v>39</v>
      </c>
      <c r="D140" s="15">
        <v>45302</v>
      </c>
      <c r="E140" s="2">
        <v>0</v>
      </c>
      <c r="F140" s="14" t="s">
        <v>339</v>
      </c>
      <c r="G140" t="s">
        <v>340</v>
      </c>
      <c r="H140" s="14" t="s">
        <v>42</v>
      </c>
      <c r="I140" s="2">
        <v>1</v>
      </c>
      <c r="J140" s="2">
        <v>0</v>
      </c>
      <c r="K140" s="2">
        <v>0</v>
      </c>
      <c r="L140" s="2"/>
      <c r="M140" s="2">
        <v>0</v>
      </c>
      <c r="N140" s="14"/>
      <c r="O140" s="14"/>
      <c r="P140" s="2">
        <v>358.53</v>
      </c>
      <c r="Q140" s="2">
        <v>358.53</v>
      </c>
      <c r="R140" s="2">
        <v>311.92</v>
      </c>
      <c r="S140">
        <f t="shared" si="12"/>
        <v>311.92</v>
      </c>
      <c r="T140" t="s">
        <v>184</v>
      </c>
      <c r="U140" s="1">
        <f t="shared" si="13"/>
        <v>0</v>
      </c>
      <c r="AD140" s="19">
        <v>38546</v>
      </c>
      <c r="AE140">
        <v>7.3950000000000005</v>
      </c>
      <c r="AG140">
        <v>38546</v>
      </c>
      <c r="AH140" s="1">
        <v>7.3950000000000005</v>
      </c>
    </row>
    <row r="141" spans="1:34" hidden="1" x14ac:dyDescent="0.25">
      <c r="A141" s="2">
        <v>37614</v>
      </c>
      <c r="B141" s="13" t="s">
        <v>338</v>
      </c>
      <c r="C141" s="14" t="s">
        <v>39</v>
      </c>
      <c r="D141" s="15">
        <v>45302</v>
      </c>
      <c r="E141" s="2">
        <v>0</v>
      </c>
      <c r="F141" s="14" t="s">
        <v>341</v>
      </c>
      <c r="G141" t="s">
        <v>342</v>
      </c>
      <c r="H141" s="14" t="s">
        <v>42</v>
      </c>
      <c r="I141" s="2">
        <v>1</v>
      </c>
      <c r="J141" s="2">
        <v>0</v>
      </c>
      <c r="K141" s="2">
        <v>0</v>
      </c>
      <c r="L141" s="2"/>
      <c r="M141" s="2">
        <v>0</v>
      </c>
      <c r="N141" s="14"/>
      <c r="O141" s="14"/>
      <c r="P141" s="2">
        <v>985.31</v>
      </c>
      <c r="Q141" s="2">
        <v>985.31</v>
      </c>
      <c r="R141" s="2">
        <v>867.07</v>
      </c>
      <c r="S141">
        <f t="shared" si="12"/>
        <v>867.07</v>
      </c>
      <c r="T141" t="s">
        <v>184</v>
      </c>
      <c r="U141" s="1">
        <f t="shared" si="13"/>
        <v>0</v>
      </c>
      <c r="AD141" s="19">
        <v>38547</v>
      </c>
      <c r="AE141">
        <v>0</v>
      </c>
      <c r="AG141">
        <v>38547</v>
      </c>
      <c r="AH141" s="1">
        <v>0</v>
      </c>
    </row>
    <row r="142" spans="1:34" hidden="1" x14ac:dyDescent="0.25">
      <c r="A142" s="2">
        <v>37614</v>
      </c>
      <c r="B142" s="13" t="s">
        <v>338</v>
      </c>
      <c r="C142" s="14" t="s">
        <v>39</v>
      </c>
      <c r="D142" s="15">
        <v>45302</v>
      </c>
      <c r="E142" s="2">
        <v>0</v>
      </c>
      <c r="F142" s="14" t="s">
        <v>343</v>
      </c>
      <c r="G142" t="s">
        <v>344</v>
      </c>
      <c r="H142" s="14" t="s">
        <v>42</v>
      </c>
      <c r="I142" s="2">
        <v>1</v>
      </c>
      <c r="J142" s="2">
        <v>0</v>
      </c>
      <c r="K142" s="2">
        <v>0</v>
      </c>
      <c r="L142" s="2"/>
      <c r="M142" s="2">
        <v>0</v>
      </c>
      <c r="N142" s="14"/>
      <c r="O142" s="14"/>
      <c r="P142" s="2">
        <v>182</v>
      </c>
      <c r="Q142" s="2">
        <v>182</v>
      </c>
      <c r="R142" s="2">
        <v>148.49</v>
      </c>
      <c r="S142">
        <f t="shared" si="12"/>
        <v>148.49</v>
      </c>
      <c r="T142" t="s">
        <v>184</v>
      </c>
      <c r="U142" s="1">
        <f t="shared" si="13"/>
        <v>0</v>
      </c>
      <c r="AD142" s="19">
        <v>38550</v>
      </c>
      <c r="AE142">
        <v>5.6127999999999973</v>
      </c>
      <c r="AG142">
        <v>38550</v>
      </c>
      <c r="AH142" s="1">
        <v>5.6127999999999973</v>
      </c>
    </row>
    <row r="143" spans="1:34" hidden="1" x14ac:dyDescent="0.25">
      <c r="A143" s="2">
        <v>37614</v>
      </c>
      <c r="B143" s="13" t="s">
        <v>338</v>
      </c>
      <c r="C143" s="14" t="s">
        <v>39</v>
      </c>
      <c r="D143" s="15">
        <v>45302</v>
      </c>
      <c r="E143" s="2">
        <v>0</v>
      </c>
      <c r="F143" s="14" t="s">
        <v>345</v>
      </c>
      <c r="G143" t="s">
        <v>346</v>
      </c>
      <c r="H143" s="14" t="s">
        <v>42</v>
      </c>
      <c r="I143" s="2">
        <v>1</v>
      </c>
      <c r="J143" s="2">
        <v>0</v>
      </c>
      <c r="K143" s="2">
        <v>0</v>
      </c>
      <c r="L143" s="2"/>
      <c r="M143" s="2">
        <v>0</v>
      </c>
      <c r="N143" s="14"/>
      <c r="O143" s="14"/>
      <c r="P143" s="2">
        <v>165</v>
      </c>
      <c r="Q143" s="2">
        <v>165</v>
      </c>
      <c r="R143" s="2">
        <v>134.99</v>
      </c>
      <c r="S143">
        <f t="shared" si="12"/>
        <v>134.99</v>
      </c>
      <c r="T143" t="s">
        <v>184</v>
      </c>
      <c r="U143" s="1">
        <f t="shared" si="13"/>
        <v>0</v>
      </c>
      <c r="AD143" s="19">
        <v>38551</v>
      </c>
      <c r="AE143">
        <v>118.68</v>
      </c>
      <c r="AG143">
        <v>38551</v>
      </c>
      <c r="AH143" s="1">
        <v>118.68</v>
      </c>
    </row>
    <row r="144" spans="1:34" hidden="1" x14ac:dyDescent="0.25">
      <c r="A144" s="2">
        <v>37623</v>
      </c>
      <c r="B144" s="13" t="s">
        <v>347</v>
      </c>
      <c r="C144" s="14" t="s">
        <v>39</v>
      </c>
      <c r="D144" s="15">
        <v>45322</v>
      </c>
      <c r="E144" s="2">
        <v>0</v>
      </c>
      <c r="F144" s="14" t="s">
        <v>348</v>
      </c>
      <c r="G144" t="s">
        <v>349</v>
      </c>
      <c r="H144" s="14" t="s">
        <v>42</v>
      </c>
      <c r="I144" s="2">
        <v>1</v>
      </c>
      <c r="J144" s="2">
        <v>0</v>
      </c>
      <c r="K144" s="2">
        <v>0</v>
      </c>
      <c r="L144" s="2"/>
      <c r="M144" s="2">
        <v>0</v>
      </c>
      <c r="N144" s="14"/>
      <c r="O144" s="14"/>
      <c r="P144" s="2">
        <v>13471</v>
      </c>
      <c r="Q144" s="2">
        <v>13471</v>
      </c>
      <c r="R144" s="2">
        <v>11045.41</v>
      </c>
      <c r="S144">
        <f t="shared" si="12"/>
        <v>11045.41</v>
      </c>
      <c r="T144" t="s">
        <v>43</v>
      </c>
      <c r="U144" s="1">
        <f t="shared" si="13"/>
        <v>206.17515000000003</v>
      </c>
      <c r="AD144" s="19">
        <v>38553</v>
      </c>
      <c r="AE144">
        <v>19.75</v>
      </c>
      <c r="AG144">
        <v>38553</v>
      </c>
      <c r="AH144" s="1">
        <v>19.75</v>
      </c>
    </row>
    <row r="145" spans="1:34" hidden="1" x14ac:dyDescent="0.25">
      <c r="A145" s="2">
        <v>37623</v>
      </c>
      <c r="B145" s="13" t="s">
        <v>347</v>
      </c>
      <c r="C145" s="14" t="s">
        <v>39</v>
      </c>
      <c r="D145" s="15">
        <v>45322</v>
      </c>
      <c r="E145" s="2">
        <v>0</v>
      </c>
      <c r="F145" s="14" t="s">
        <v>350</v>
      </c>
      <c r="G145" t="s">
        <v>351</v>
      </c>
      <c r="H145" s="14" t="s">
        <v>42</v>
      </c>
      <c r="I145" s="2">
        <v>1</v>
      </c>
      <c r="J145" s="2">
        <v>0</v>
      </c>
      <c r="K145" s="2">
        <v>0</v>
      </c>
      <c r="L145" s="2"/>
      <c r="M145" s="2">
        <v>0</v>
      </c>
      <c r="N145" s="14"/>
      <c r="O145" s="14"/>
      <c r="P145" s="2">
        <v>1677</v>
      </c>
      <c r="Q145" s="2">
        <v>1677</v>
      </c>
      <c r="R145" s="2">
        <v>1374.52</v>
      </c>
      <c r="S145">
        <f t="shared" si="12"/>
        <v>1374.52</v>
      </c>
      <c r="T145" t="s">
        <v>43</v>
      </c>
      <c r="U145" s="1">
        <f t="shared" si="13"/>
        <v>25.710800000000003</v>
      </c>
      <c r="AD145" s="19">
        <v>38554</v>
      </c>
      <c r="AE145">
        <v>56.672799999999988</v>
      </c>
      <c r="AG145">
        <v>38554</v>
      </c>
      <c r="AH145" s="1">
        <v>56.672799999999988</v>
      </c>
    </row>
    <row r="146" spans="1:34" hidden="1" x14ac:dyDescent="0.25">
      <c r="A146" s="2">
        <v>37623</v>
      </c>
      <c r="B146" s="13" t="s">
        <v>347</v>
      </c>
      <c r="C146" s="14" t="s">
        <v>39</v>
      </c>
      <c r="D146" s="15">
        <v>45322</v>
      </c>
      <c r="E146" s="2">
        <v>0</v>
      </c>
      <c r="F146" s="14" t="s">
        <v>352</v>
      </c>
      <c r="G146" t="s">
        <v>353</v>
      </c>
      <c r="H146" s="14" t="s">
        <v>42</v>
      </c>
      <c r="I146" s="2">
        <v>2</v>
      </c>
      <c r="J146" s="2">
        <v>0</v>
      </c>
      <c r="K146" s="2">
        <v>0</v>
      </c>
      <c r="L146" s="2"/>
      <c r="M146" s="2">
        <v>0</v>
      </c>
      <c r="N146" s="14"/>
      <c r="O146" s="14"/>
      <c r="P146" s="2">
        <v>353</v>
      </c>
      <c r="Q146" s="2">
        <v>706</v>
      </c>
      <c r="R146" s="2">
        <v>288.87</v>
      </c>
      <c r="S146">
        <f t="shared" si="12"/>
        <v>577.74</v>
      </c>
      <c r="T146" t="s">
        <v>43</v>
      </c>
      <c r="U146" s="1">
        <f t="shared" si="13"/>
        <v>10.902100000000001</v>
      </c>
      <c r="AD146" s="19">
        <v>38557</v>
      </c>
      <c r="AE146">
        <v>0</v>
      </c>
      <c r="AG146">
        <v>38557</v>
      </c>
      <c r="AH146" s="1">
        <v>0</v>
      </c>
    </row>
    <row r="147" spans="1:34" hidden="1" x14ac:dyDescent="0.25">
      <c r="A147" s="2">
        <v>37623</v>
      </c>
      <c r="B147" s="13" t="s">
        <v>347</v>
      </c>
      <c r="C147" s="14" t="s">
        <v>39</v>
      </c>
      <c r="D147" s="15">
        <v>45322</v>
      </c>
      <c r="E147" s="2">
        <v>0</v>
      </c>
      <c r="F147" s="14" t="s">
        <v>354</v>
      </c>
      <c r="G147" t="s">
        <v>355</v>
      </c>
      <c r="H147" s="14" t="s">
        <v>42</v>
      </c>
      <c r="I147" s="2">
        <v>1</v>
      </c>
      <c r="J147" s="2">
        <v>0</v>
      </c>
      <c r="K147" s="2">
        <v>0</v>
      </c>
      <c r="L147" s="2"/>
      <c r="M147" s="2">
        <v>0</v>
      </c>
      <c r="N147" s="14"/>
      <c r="O147" s="14"/>
      <c r="P147" s="2">
        <v>2297</v>
      </c>
      <c r="Q147" s="2">
        <v>2297</v>
      </c>
      <c r="R147" s="2">
        <v>1883.2</v>
      </c>
      <c r="S147">
        <f t="shared" si="12"/>
        <v>1883.2</v>
      </c>
      <c r="T147" t="s">
        <v>43</v>
      </c>
      <c r="U147" s="1">
        <f t="shared" si="13"/>
        <v>35.173000000000002</v>
      </c>
      <c r="AD147" s="19">
        <v>38558</v>
      </c>
      <c r="AE147">
        <v>21.181149999999995</v>
      </c>
      <c r="AG147">
        <v>38558</v>
      </c>
      <c r="AH147" s="1">
        <v>21.181149999999995</v>
      </c>
    </row>
    <row r="148" spans="1:34" hidden="1" x14ac:dyDescent="0.25">
      <c r="A148" s="2">
        <v>37623</v>
      </c>
      <c r="B148" s="13" t="s">
        <v>347</v>
      </c>
      <c r="C148" s="14" t="s">
        <v>39</v>
      </c>
      <c r="D148" s="15">
        <v>45322</v>
      </c>
      <c r="E148" s="2">
        <v>0</v>
      </c>
      <c r="F148" s="14" t="s">
        <v>348</v>
      </c>
      <c r="G148" t="s">
        <v>349</v>
      </c>
      <c r="H148" s="14" t="s">
        <v>42</v>
      </c>
      <c r="I148" s="2">
        <v>1</v>
      </c>
      <c r="J148" s="2">
        <v>0</v>
      </c>
      <c r="K148" s="2">
        <v>0</v>
      </c>
      <c r="L148" s="2"/>
      <c r="M148" s="2">
        <v>0</v>
      </c>
      <c r="N148" s="14"/>
      <c r="O148" s="14"/>
      <c r="P148" s="2">
        <v>4442</v>
      </c>
      <c r="Q148" s="2">
        <v>4442</v>
      </c>
      <c r="R148" s="2">
        <v>3642.37</v>
      </c>
      <c r="S148">
        <f t="shared" si="12"/>
        <v>3642.37</v>
      </c>
      <c r="T148" t="s">
        <v>43</v>
      </c>
      <c r="U148" s="1">
        <f t="shared" si="13"/>
        <v>67.968550000000008</v>
      </c>
      <c r="AD148" s="19">
        <v>38562</v>
      </c>
      <c r="AE148">
        <v>8.7199999999999986E-2</v>
      </c>
      <c r="AG148">
        <v>38562</v>
      </c>
      <c r="AH148" s="1">
        <v>8.7199999999999986E-2</v>
      </c>
    </row>
    <row r="149" spans="1:34" hidden="1" x14ac:dyDescent="0.25">
      <c r="A149" s="2">
        <v>37623</v>
      </c>
      <c r="B149" s="13" t="s">
        <v>347</v>
      </c>
      <c r="C149" s="14" t="s">
        <v>39</v>
      </c>
      <c r="D149" s="15">
        <v>45322</v>
      </c>
      <c r="E149" s="2">
        <v>0</v>
      </c>
      <c r="F149" s="14" t="s">
        <v>350</v>
      </c>
      <c r="G149" t="s">
        <v>351</v>
      </c>
      <c r="H149" s="14" t="s">
        <v>42</v>
      </c>
      <c r="I149" s="2">
        <v>1</v>
      </c>
      <c r="J149" s="2">
        <v>0</v>
      </c>
      <c r="K149" s="2">
        <v>0</v>
      </c>
      <c r="L149" s="2"/>
      <c r="M149" s="2">
        <v>0</v>
      </c>
      <c r="N149" s="14"/>
      <c r="O149" s="14"/>
      <c r="P149" s="2">
        <v>830</v>
      </c>
      <c r="Q149" s="2">
        <v>830</v>
      </c>
      <c r="R149" s="2">
        <v>680.39</v>
      </c>
      <c r="S149">
        <f t="shared" si="12"/>
        <v>680.39</v>
      </c>
      <c r="T149" t="s">
        <v>43</v>
      </c>
      <c r="U149" s="1">
        <f t="shared" si="13"/>
        <v>12.716850000000003</v>
      </c>
      <c r="AD149" s="19">
        <v>38563</v>
      </c>
      <c r="AE149">
        <v>3.1831999999999994</v>
      </c>
      <c r="AG149">
        <v>38563</v>
      </c>
      <c r="AH149" s="1">
        <v>3.1831999999999994</v>
      </c>
    </row>
    <row r="150" spans="1:34" hidden="1" x14ac:dyDescent="0.25">
      <c r="A150" s="2">
        <v>37623</v>
      </c>
      <c r="B150" s="13" t="s">
        <v>347</v>
      </c>
      <c r="C150" s="14" t="s">
        <v>39</v>
      </c>
      <c r="D150" s="15">
        <v>45322</v>
      </c>
      <c r="E150" s="2">
        <v>0</v>
      </c>
      <c r="F150" s="14" t="s">
        <v>352</v>
      </c>
      <c r="G150" t="s">
        <v>353</v>
      </c>
      <c r="H150" s="14" t="s">
        <v>42</v>
      </c>
      <c r="I150" s="2">
        <v>2</v>
      </c>
      <c r="J150" s="2">
        <v>0</v>
      </c>
      <c r="K150" s="2">
        <v>0</v>
      </c>
      <c r="L150" s="2"/>
      <c r="M150" s="2">
        <v>0</v>
      </c>
      <c r="N150" s="14"/>
      <c r="O150" s="14"/>
      <c r="P150" s="2">
        <v>118</v>
      </c>
      <c r="Q150" s="2">
        <v>236</v>
      </c>
      <c r="R150" s="2">
        <v>96.16</v>
      </c>
      <c r="S150">
        <f t="shared" si="12"/>
        <v>192.32</v>
      </c>
      <c r="T150" t="s">
        <v>43</v>
      </c>
      <c r="U150" s="1">
        <f t="shared" si="13"/>
        <v>3.712800000000001</v>
      </c>
      <c r="AD150" s="19">
        <v>38568</v>
      </c>
      <c r="AE150">
        <v>7.0737000000000005</v>
      </c>
      <c r="AG150">
        <v>38568</v>
      </c>
      <c r="AH150" s="1">
        <v>7.0737000000000005</v>
      </c>
    </row>
    <row r="151" spans="1:34" hidden="1" x14ac:dyDescent="0.25">
      <c r="A151" s="2">
        <v>37623</v>
      </c>
      <c r="B151" s="13" t="s">
        <v>347</v>
      </c>
      <c r="C151" s="14" t="s">
        <v>39</v>
      </c>
      <c r="D151" s="15">
        <v>45322</v>
      </c>
      <c r="E151" s="2">
        <v>0</v>
      </c>
      <c r="F151" s="14" t="s">
        <v>354</v>
      </c>
      <c r="G151" t="s">
        <v>355</v>
      </c>
      <c r="H151" s="14" t="s">
        <v>42</v>
      </c>
      <c r="I151" s="2">
        <v>1</v>
      </c>
      <c r="J151" s="2">
        <v>0</v>
      </c>
      <c r="K151" s="2">
        <v>0</v>
      </c>
      <c r="L151" s="2"/>
      <c r="M151" s="2">
        <v>0</v>
      </c>
      <c r="N151" s="14"/>
      <c r="O151" s="14"/>
      <c r="P151" s="2">
        <v>772</v>
      </c>
      <c r="Q151" s="2">
        <v>772</v>
      </c>
      <c r="R151" s="2">
        <v>632.30999999999995</v>
      </c>
      <c r="S151">
        <f t="shared" si="12"/>
        <v>632.30999999999995</v>
      </c>
      <c r="T151" t="s">
        <v>43</v>
      </c>
      <c r="U151" s="1">
        <f t="shared" si="13"/>
        <v>11.873650000000005</v>
      </c>
      <c r="AD151" s="19">
        <v>38571</v>
      </c>
      <c r="AE151">
        <v>70.400000000000006</v>
      </c>
      <c r="AG151">
        <v>38571</v>
      </c>
      <c r="AH151" s="1">
        <v>70.400000000000006</v>
      </c>
    </row>
    <row r="152" spans="1:34" hidden="1" x14ac:dyDescent="0.25">
      <c r="A152" s="2">
        <v>37623</v>
      </c>
      <c r="B152" s="13" t="s">
        <v>347</v>
      </c>
      <c r="C152" s="14" t="s">
        <v>39</v>
      </c>
      <c r="D152" s="15">
        <v>45322</v>
      </c>
      <c r="E152" s="2">
        <v>0</v>
      </c>
      <c r="F152" s="14" t="s">
        <v>348</v>
      </c>
      <c r="G152" t="s">
        <v>349</v>
      </c>
      <c r="H152" s="14" t="s">
        <v>42</v>
      </c>
      <c r="I152" s="2">
        <v>1</v>
      </c>
      <c r="J152" s="2">
        <v>0</v>
      </c>
      <c r="K152" s="2">
        <v>0</v>
      </c>
      <c r="L152" s="2"/>
      <c r="M152" s="2">
        <v>0</v>
      </c>
      <c r="N152" s="14"/>
      <c r="O152" s="14"/>
      <c r="P152" s="2">
        <v>1492</v>
      </c>
      <c r="Q152" s="2">
        <v>1492</v>
      </c>
      <c r="R152" s="2">
        <v>1223.4100000000001</v>
      </c>
      <c r="S152">
        <f t="shared" si="12"/>
        <v>1223.4100000000001</v>
      </c>
      <c r="T152" t="s">
        <v>43</v>
      </c>
      <c r="U152" s="1">
        <f t="shared" si="13"/>
        <v>22.830149999999996</v>
      </c>
      <c r="AD152" s="19">
        <v>38572</v>
      </c>
      <c r="AE152">
        <v>66.002499999999998</v>
      </c>
      <c r="AG152">
        <v>38572</v>
      </c>
      <c r="AH152" s="1">
        <v>66.002499999999998</v>
      </c>
    </row>
    <row r="153" spans="1:34" hidden="1" x14ac:dyDescent="0.25">
      <c r="A153" s="2">
        <v>37623</v>
      </c>
      <c r="B153" s="13" t="s">
        <v>347</v>
      </c>
      <c r="C153" s="14" t="s">
        <v>39</v>
      </c>
      <c r="D153" s="15">
        <v>45322</v>
      </c>
      <c r="E153" s="2">
        <v>0</v>
      </c>
      <c r="F153" s="14" t="s">
        <v>350</v>
      </c>
      <c r="G153" t="s">
        <v>351</v>
      </c>
      <c r="H153" s="14" t="s">
        <v>42</v>
      </c>
      <c r="I153" s="2">
        <v>1</v>
      </c>
      <c r="J153" s="2">
        <v>0</v>
      </c>
      <c r="K153" s="2">
        <v>0</v>
      </c>
      <c r="L153" s="2"/>
      <c r="M153" s="2">
        <v>0</v>
      </c>
      <c r="N153" s="14"/>
      <c r="O153" s="14"/>
      <c r="P153" s="2">
        <v>5095</v>
      </c>
      <c r="Q153" s="2">
        <v>5095</v>
      </c>
      <c r="R153" s="2">
        <v>4177.38</v>
      </c>
      <c r="S153">
        <f t="shared" si="12"/>
        <v>4177.38</v>
      </c>
      <c r="T153" t="s">
        <v>43</v>
      </c>
      <c r="U153" s="1">
        <f t="shared" si="13"/>
        <v>77.997699999999995</v>
      </c>
      <c r="AD153" s="19">
        <v>38573</v>
      </c>
      <c r="AE153">
        <v>16.434750000000005</v>
      </c>
      <c r="AG153">
        <v>38573</v>
      </c>
      <c r="AH153" s="1">
        <v>16.434750000000005</v>
      </c>
    </row>
    <row r="154" spans="1:34" hidden="1" x14ac:dyDescent="0.25">
      <c r="A154" s="2">
        <v>37623</v>
      </c>
      <c r="B154" s="13" t="s">
        <v>347</v>
      </c>
      <c r="C154" s="14" t="s">
        <v>39</v>
      </c>
      <c r="D154" s="15">
        <v>45322</v>
      </c>
      <c r="E154" s="2">
        <v>0</v>
      </c>
      <c r="F154" s="14" t="s">
        <v>352</v>
      </c>
      <c r="G154" t="s">
        <v>353</v>
      </c>
      <c r="H154" s="14" t="s">
        <v>42</v>
      </c>
      <c r="I154" s="2">
        <v>2</v>
      </c>
      <c r="J154" s="2">
        <v>0</v>
      </c>
      <c r="K154" s="2">
        <v>0</v>
      </c>
      <c r="L154" s="2"/>
      <c r="M154" s="2">
        <v>0</v>
      </c>
      <c r="N154" s="14"/>
      <c r="O154" s="14"/>
      <c r="P154" s="2">
        <v>1041</v>
      </c>
      <c r="Q154" s="2">
        <v>2082</v>
      </c>
      <c r="R154" s="2">
        <v>852.87</v>
      </c>
      <c r="S154">
        <f t="shared" si="12"/>
        <v>1705.74</v>
      </c>
      <c r="T154" t="s">
        <v>43</v>
      </c>
      <c r="U154" s="1">
        <f t="shared" si="13"/>
        <v>31.982100000000003</v>
      </c>
      <c r="AD154" s="19">
        <v>38577</v>
      </c>
      <c r="AE154">
        <v>6.9512000000000009</v>
      </c>
      <c r="AG154">
        <v>38577</v>
      </c>
      <c r="AH154" s="1">
        <v>6.9512000000000009</v>
      </c>
    </row>
    <row r="155" spans="1:34" hidden="1" x14ac:dyDescent="0.25">
      <c r="A155" s="2">
        <v>37623</v>
      </c>
      <c r="B155" s="13" t="s">
        <v>347</v>
      </c>
      <c r="C155" s="14" t="s">
        <v>39</v>
      </c>
      <c r="D155" s="15">
        <v>45322</v>
      </c>
      <c r="E155" s="2">
        <v>0</v>
      </c>
      <c r="F155" s="14" t="s">
        <v>354</v>
      </c>
      <c r="G155" t="s">
        <v>355</v>
      </c>
      <c r="H155" s="14" t="s">
        <v>42</v>
      </c>
      <c r="I155" s="2">
        <v>1</v>
      </c>
      <c r="J155" s="2">
        <v>0</v>
      </c>
      <c r="K155" s="2">
        <v>0</v>
      </c>
      <c r="L155" s="2"/>
      <c r="M155" s="2">
        <v>0</v>
      </c>
      <c r="N155" s="14"/>
      <c r="O155" s="14"/>
      <c r="P155" s="2">
        <v>6924</v>
      </c>
      <c r="Q155" s="2">
        <v>6924</v>
      </c>
      <c r="R155" s="2">
        <v>5677.06</v>
      </c>
      <c r="S155">
        <f t="shared" si="12"/>
        <v>5677.06</v>
      </c>
      <c r="T155" t="s">
        <v>43</v>
      </c>
      <c r="U155" s="1">
        <f t="shared" si="13"/>
        <v>105.98989999999998</v>
      </c>
      <c r="AD155" s="19">
        <v>38581</v>
      </c>
      <c r="AE155">
        <v>1.3064</v>
      </c>
      <c r="AG155">
        <v>38581</v>
      </c>
      <c r="AH155" s="1">
        <v>1.3064</v>
      </c>
    </row>
    <row r="156" spans="1:34" hidden="1" x14ac:dyDescent="0.25">
      <c r="A156" s="2">
        <v>37673</v>
      </c>
      <c r="B156" s="13" t="s">
        <v>356</v>
      </c>
      <c r="C156" s="14" t="s">
        <v>39</v>
      </c>
      <c r="D156" s="15">
        <v>45310</v>
      </c>
      <c r="E156" s="2">
        <v>0</v>
      </c>
      <c r="F156" s="14" t="s">
        <v>357</v>
      </c>
      <c r="G156" t="s">
        <v>358</v>
      </c>
      <c r="H156" s="14" t="s">
        <v>42</v>
      </c>
      <c r="I156" s="2">
        <v>1</v>
      </c>
      <c r="J156" s="2">
        <v>0</v>
      </c>
      <c r="K156" s="2">
        <v>0</v>
      </c>
      <c r="L156" s="2"/>
      <c r="M156" s="2">
        <v>0</v>
      </c>
      <c r="N156" s="14"/>
      <c r="O156" s="14"/>
      <c r="P156" s="2">
        <v>155</v>
      </c>
      <c r="Q156" s="2">
        <v>155</v>
      </c>
      <c r="R156" s="2">
        <v>126.31</v>
      </c>
      <c r="S156">
        <f t="shared" si="12"/>
        <v>126.31</v>
      </c>
      <c r="T156" t="s">
        <v>132</v>
      </c>
      <c r="U156" s="1">
        <f t="shared" si="13"/>
        <v>2.2951999999999999</v>
      </c>
      <c r="AD156" s="19">
        <v>38582</v>
      </c>
      <c r="AE156">
        <v>0.54479999999999995</v>
      </c>
      <c r="AG156">
        <v>38582</v>
      </c>
      <c r="AH156" s="1">
        <v>0.54479999999999995</v>
      </c>
    </row>
    <row r="157" spans="1:34" hidden="1" x14ac:dyDescent="0.25">
      <c r="A157" s="2">
        <v>37673</v>
      </c>
      <c r="B157" s="13" t="s">
        <v>356</v>
      </c>
      <c r="C157" s="14" t="s">
        <v>39</v>
      </c>
      <c r="D157" s="15">
        <v>45310</v>
      </c>
      <c r="E157" s="2">
        <v>0</v>
      </c>
      <c r="F157" s="14" t="s">
        <v>359</v>
      </c>
      <c r="G157" t="s">
        <v>360</v>
      </c>
      <c r="H157" s="14" t="s">
        <v>42</v>
      </c>
      <c r="I157" s="2">
        <v>2</v>
      </c>
      <c r="J157" s="2">
        <v>0</v>
      </c>
      <c r="K157" s="2">
        <v>0</v>
      </c>
      <c r="L157" s="2"/>
      <c r="M157" s="2">
        <v>0</v>
      </c>
      <c r="N157" s="14"/>
      <c r="O157" s="14"/>
      <c r="P157" s="2">
        <v>99</v>
      </c>
      <c r="Q157" s="2">
        <v>198</v>
      </c>
      <c r="R157" s="2">
        <v>81.12</v>
      </c>
      <c r="S157">
        <f t="shared" si="12"/>
        <v>162.24</v>
      </c>
      <c r="T157" t="s">
        <v>132</v>
      </c>
      <c r="U157" s="1">
        <f t="shared" si="13"/>
        <v>2.8607999999999993</v>
      </c>
      <c r="AD157" s="19">
        <v>38586</v>
      </c>
      <c r="AE157">
        <v>0</v>
      </c>
      <c r="AG157">
        <v>38586</v>
      </c>
      <c r="AH157" s="1">
        <v>0</v>
      </c>
    </row>
    <row r="158" spans="1:34" hidden="1" x14ac:dyDescent="0.25">
      <c r="A158" s="2">
        <v>37673</v>
      </c>
      <c r="B158" s="13" t="s">
        <v>356</v>
      </c>
      <c r="C158" s="14" t="s">
        <v>39</v>
      </c>
      <c r="D158" s="15">
        <v>45310</v>
      </c>
      <c r="E158" s="2">
        <v>0</v>
      </c>
      <c r="F158" s="14" t="s">
        <v>361</v>
      </c>
      <c r="G158" t="s">
        <v>362</v>
      </c>
      <c r="H158" s="14" t="s">
        <v>42</v>
      </c>
      <c r="I158" s="2">
        <v>14</v>
      </c>
      <c r="J158" s="2">
        <v>0</v>
      </c>
      <c r="K158" s="2">
        <v>0</v>
      </c>
      <c r="L158" s="2"/>
      <c r="M158" s="2">
        <v>0</v>
      </c>
      <c r="N158" s="14"/>
      <c r="O158" s="14"/>
      <c r="P158" s="2">
        <v>116</v>
      </c>
      <c r="Q158" s="2">
        <v>1624</v>
      </c>
      <c r="R158" s="2">
        <v>94.81</v>
      </c>
      <c r="S158">
        <f t="shared" si="12"/>
        <v>1327.3400000000001</v>
      </c>
      <c r="T158" t="s">
        <v>132</v>
      </c>
      <c r="U158" s="1">
        <f t="shared" si="13"/>
        <v>23.73279999999999</v>
      </c>
      <c r="AD158" s="19">
        <v>38587</v>
      </c>
      <c r="AE158">
        <v>8.2140000000000004</v>
      </c>
      <c r="AG158">
        <v>38587</v>
      </c>
      <c r="AH158" s="1">
        <v>8.2140000000000004</v>
      </c>
    </row>
    <row r="159" spans="1:34" hidden="1" x14ac:dyDescent="0.25">
      <c r="A159" s="2">
        <v>37673</v>
      </c>
      <c r="B159" s="13" t="s">
        <v>356</v>
      </c>
      <c r="C159" s="14" t="s">
        <v>39</v>
      </c>
      <c r="D159" s="15">
        <v>45310</v>
      </c>
      <c r="E159" s="2">
        <v>0</v>
      </c>
      <c r="F159" s="14" t="s">
        <v>363</v>
      </c>
      <c r="G159" t="s">
        <v>364</v>
      </c>
      <c r="H159" s="14" t="s">
        <v>42</v>
      </c>
      <c r="I159" s="2">
        <v>3</v>
      </c>
      <c r="J159" s="2">
        <v>0</v>
      </c>
      <c r="K159" s="2">
        <v>0</v>
      </c>
      <c r="L159" s="2"/>
      <c r="M159" s="2">
        <v>0</v>
      </c>
      <c r="N159" s="14"/>
      <c r="O159" s="14"/>
      <c r="P159" s="2">
        <v>170</v>
      </c>
      <c r="Q159" s="2">
        <v>510</v>
      </c>
      <c r="R159" s="2">
        <v>139.04</v>
      </c>
      <c r="S159">
        <f t="shared" si="12"/>
        <v>417.12</v>
      </c>
      <c r="T159" t="s">
        <v>132</v>
      </c>
      <c r="U159" s="1">
        <f t="shared" si="13"/>
        <v>7.4303999999999997</v>
      </c>
      <c r="AD159" s="19">
        <v>38588</v>
      </c>
      <c r="AE159">
        <v>18.046400000000002</v>
      </c>
      <c r="AG159">
        <v>38588</v>
      </c>
      <c r="AH159" s="1">
        <v>18.046400000000002</v>
      </c>
    </row>
    <row r="160" spans="1:34" hidden="1" x14ac:dyDescent="0.25">
      <c r="A160" s="2">
        <v>37673</v>
      </c>
      <c r="B160" s="13" t="s">
        <v>356</v>
      </c>
      <c r="C160" s="14" t="s">
        <v>39</v>
      </c>
      <c r="D160" s="15">
        <v>45310</v>
      </c>
      <c r="E160" s="2">
        <v>0</v>
      </c>
      <c r="F160" s="14" t="s">
        <v>365</v>
      </c>
      <c r="G160" t="s">
        <v>366</v>
      </c>
      <c r="H160" s="14" t="s">
        <v>42</v>
      </c>
      <c r="I160" s="2">
        <v>2</v>
      </c>
      <c r="J160" s="2">
        <v>0</v>
      </c>
      <c r="K160" s="2">
        <v>0</v>
      </c>
      <c r="L160" s="2"/>
      <c r="M160" s="2">
        <v>0</v>
      </c>
      <c r="N160" s="14"/>
      <c r="O160" s="14"/>
      <c r="P160" s="2">
        <v>1284</v>
      </c>
      <c r="Q160" s="2">
        <v>2568</v>
      </c>
      <c r="R160" s="2">
        <v>1052.22</v>
      </c>
      <c r="S160">
        <f t="shared" si="12"/>
        <v>2104.44</v>
      </c>
      <c r="T160" t="s">
        <v>132</v>
      </c>
      <c r="U160" s="1">
        <f t="shared" si="13"/>
        <v>37.084799999999994</v>
      </c>
      <c r="AD160" s="19">
        <v>38590</v>
      </c>
      <c r="AE160">
        <v>128.50399999999993</v>
      </c>
      <c r="AG160">
        <v>38590</v>
      </c>
      <c r="AH160" s="1">
        <v>128.50399999999993</v>
      </c>
    </row>
    <row r="161" spans="1:34" hidden="1" x14ac:dyDescent="0.25">
      <c r="A161" s="2">
        <v>37673</v>
      </c>
      <c r="B161" s="13" t="s">
        <v>356</v>
      </c>
      <c r="C161" s="14" t="s">
        <v>39</v>
      </c>
      <c r="D161" s="15">
        <v>45310</v>
      </c>
      <c r="E161" s="2">
        <v>0</v>
      </c>
      <c r="F161" s="14" t="s">
        <v>367</v>
      </c>
      <c r="G161" t="s">
        <v>368</v>
      </c>
      <c r="H161" s="14" t="s">
        <v>42</v>
      </c>
      <c r="I161" s="2">
        <v>1</v>
      </c>
      <c r="J161" s="2">
        <v>0</v>
      </c>
      <c r="K161" s="2">
        <v>0</v>
      </c>
      <c r="L161" s="2"/>
      <c r="M161" s="2">
        <v>0</v>
      </c>
      <c r="N161" s="14"/>
      <c r="O161" s="14"/>
      <c r="P161" s="2">
        <v>879</v>
      </c>
      <c r="Q161" s="2">
        <v>879</v>
      </c>
      <c r="R161" s="2">
        <v>720.62</v>
      </c>
      <c r="S161">
        <f t="shared" si="12"/>
        <v>720.62</v>
      </c>
      <c r="T161" t="s">
        <v>132</v>
      </c>
      <c r="U161" s="1">
        <f t="shared" si="13"/>
        <v>12.670400000000001</v>
      </c>
      <c r="AD161" s="19">
        <v>38591</v>
      </c>
      <c r="AE161">
        <v>0.95000000000000007</v>
      </c>
      <c r="AG161">
        <v>38591</v>
      </c>
      <c r="AH161" s="1">
        <v>0.95000000000000007</v>
      </c>
    </row>
    <row r="162" spans="1:34" hidden="1" x14ac:dyDescent="0.25">
      <c r="A162" s="2">
        <v>37673</v>
      </c>
      <c r="B162" s="13" t="s">
        <v>356</v>
      </c>
      <c r="C162" s="14" t="s">
        <v>39</v>
      </c>
      <c r="D162" s="15">
        <v>45310</v>
      </c>
      <c r="E162" s="2">
        <v>0</v>
      </c>
      <c r="F162" s="14" t="s">
        <v>369</v>
      </c>
      <c r="G162" t="s">
        <v>370</v>
      </c>
      <c r="H162" s="14" t="s">
        <v>42</v>
      </c>
      <c r="I162" s="2">
        <v>2</v>
      </c>
      <c r="J162" s="2">
        <v>0</v>
      </c>
      <c r="K162" s="2">
        <v>0</v>
      </c>
      <c r="L162" s="2"/>
      <c r="M162" s="2">
        <v>0</v>
      </c>
      <c r="N162" s="14"/>
      <c r="O162" s="14"/>
      <c r="P162" s="2">
        <v>573</v>
      </c>
      <c r="Q162" s="2">
        <v>1146</v>
      </c>
      <c r="R162" s="2">
        <v>469.22</v>
      </c>
      <c r="S162">
        <f t="shared" si="12"/>
        <v>938.44</v>
      </c>
      <c r="T162" t="s">
        <v>132</v>
      </c>
      <c r="U162" s="1">
        <f t="shared" si="13"/>
        <v>16.604799999999997</v>
      </c>
      <c r="AD162" s="19">
        <v>38592</v>
      </c>
      <c r="AE162">
        <v>0</v>
      </c>
      <c r="AG162">
        <v>38592</v>
      </c>
      <c r="AH162" s="1">
        <v>0</v>
      </c>
    </row>
    <row r="163" spans="1:34" hidden="1" x14ac:dyDescent="0.25">
      <c r="A163" s="2">
        <v>37673</v>
      </c>
      <c r="B163" s="13" t="s">
        <v>356</v>
      </c>
      <c r="C163" s="14" t="s">
        <v>39</v>
      </c>
      <c r="D163" s="15">
        <v>45310</v>
      </c>
      <c r="E163" s="2">
        <v>0</v>
      </c>
      <c r="F163" s="14" t="s">
        <v>371</v>
      </c>
      <c r="G163" t="s">
        <v>372</v>
      </c>
      <c r="H163" s="14" t="s">
        <v>42</v>
      </c>
      <c r="I163" s="2">
        <v>2</v>
      </c>
      <c r="J163" s="2">
        <v>0</v>
      </c>
      <c r="K163" s="2">
        <v>0</v>
      </c>
      <c r="L163" s="2"/>
      <c r="M163" s="2">
        <v>0</v>
      </c>
      <c r="N163" s="14"/>
      <c r="O163" s="14"/>
      <c r="P163" s="2">
        <v>1627</v>
      </c>
      <c r="Q163" s="2">
        <v>3254</v>
      </c>
      <c r="R163" s="2">
        <v>1333.88</v>
      </c>
      <c r="S163">
        <f t="shared" si="12"/>
        <v>2667.76</v>
      </c>
      <c r="T163" t="s">
        <v>132</v>
      </c>
      <c r="U163" s="1">
        <f t="shared" si="13"/>
        <v>46.899199999999986</v>
      </c>
      <c r="AD163" s="19">
        <v>38594</v>
      </c>
      <c r="AE163">
        <v>35.985599999999998</v>
      </c>
      <c r="AG163">
        <v>38594</v>
      </c>
      <c r="AH163" s="1">
        <v>35.985599999999998</v>
      </c>
    </row>
    <row r="164" spans="1:34" hidden="1" x14ac:dyDescent="0.25">
      <c r="A164" s="2">
        <v>37673</v>
      </c>
      <c r="B164" s="13" t="s">
        <v>356</v>
      </c>
      <c r="C164" s="14" t="s">
        <v>39</v>
      </c>
      <c r="D164" s="15">
        <v>45310</v>
      </c>
      <c r="E164" s="2">
        <v>0</v>
      </c>
      <c r="F164" s="14" t="s">
        <v>373</v>
      </c>
      <c r="G164" t="s">
        <v>374</v>
      </c>
      <c r="H164" s="14" t="s">
        <v>42</v>
      </c>
      <c r="I164" s="2">
        <v>1</v>
      </c>
      <c r="J164" s="2">
        <v>0</v>
      </c>
      <c r="K164" s="2">
        <v>0</v>
      </c>
      <c r="L164" s="2"/>
      <c r="M164" s="2">
        <v>0</v>
      </c>
      <c r="N164" s="14"/>
      <c r="O164" s="14"/>
      <c r="P164" s="2">
        <v>42</v>
      </c>
      <c r="Q164" s="2">
        <v>42</v>
      </c>
      <c r="R164" s="2">
        <v>34.39</v>
      </c>
      <c r="S164">
        <f t="shared" si="12"/>
        <v>34.39</v>
      </c>
      <c r="T164" t="s">
        <v>132</v>
      </c>
      <c r="U164" s="1">
        <f t="shared" si="13"/>
        <v>0.60880000000000001</v>
      </c>
      <c r="AD164" s="19">
        <v>38595</v>
      </c>
      <c r="AE164">
        <v>48.300000000000004</v>
      </c>
      <c r="AG164">
        <v>38595</v>
      </c>
      <c r="AH164" s="1">
        <v>48.300000000000004</v>
      </c>
    </row>
    <row r="165" spans="1:34" hidden="1" x14ac:dyDescent="0.25">
      <c r="A165" s="2">
        <v>37673</v>
      </c>
      <c r="B165" s="13" t="s">
        <v>356</v>
      </c>
      <c r="C165" s="14" t="s">
        <v>39</v>
      </c>
      <c r="D165" s="15">
        <v>45310</v>
      </c>
      <c r="E165" s="2">
        <v>0</v>
      </c>
      <c r="F165" s="14" t="s">
        <v>359</v>
      </c>
      <c r="G165" t="s">
        <v>360</v>
      </c>
      <c r="H165" s="14" t="s">
        <v>42</v>
      </c>
      <c r="I165" s="2">
        <v>2</v>
      </c>
      <c r="J165" s="2">
        <v>0</v>
      </c>
      <c r="K165" s="2">
        <v>0</v>
      </c>
      <c r="L165" s="2"/>
      <c r="M165" s="2">
        <v>0</v>
      </c>
      <c r="N165" s="14"/>
      <c r="O165" s="14"/>
      <c r="P165" s="2">
        <v>108</v>
      </c>
      <c r="Q165" s="2">
        <v>216</v>
      </c>
      <c r="R165" s="2">
        <v>88.01</v>
      </c>
      <c r="S165">
        <f t="shared" si="12"/>
        <v>176.02</v>
      </c>
      <c r="T165" t="s">
        <v>132</v>
      </c>
      <c r="U165" s="1">
        <f t="shared" si="13"/>
        <v>3.1983999999999995</v>
      </c>
      <c r="AD165" s="19">
        <v>38597</v>
      </c>
      <c r="AE165">
        <v>45.86480000000001</v>
      </c>
      <c r="AG165">
        <v>38597</v>
      </c>
      <c r="AH165" s="1">
        <v>45.86480000000001</v>
      </c>
    </row>
    <row r="166" spans="1:34" hidden="1" x14ac:dyDescent="0.25">
      <c r="A166" s="2">
        <v>37673</v>
      </c>
      <c r="B166" s="13" t="s">
        <v>356</v>
      </c>
      <c r="C166" s="14" t="s">
        <v>39</v>
      </c>
      <c r="D166" s="15">
        <v>45310</v>
      </c>
      <c r="E166" s="2">
        <v>0</v>
      </c>
      <c r="F166" s="14" t="s">
        <v>375</v>
      </c>
      <c r="G166" t="s">
        <v>376</v>
      </c>
      <c r="H166" s="14" t="s">
        <v>42</v>
      </c>
      <c r="I166" s="2">
        <v>2</v>
      </c>
      <c r="J166" s="2">
        <v>0</v>
      </c>
      <c r="K166" s="2">
        <v>0</v>
      </c>
      <c r="L166" s="2"/>
      <c r="M166" s="2">
        <v>0</v>
      </c>
      <c r="N166" s="14"/>
      <c r="O166" s="14"/>
      <c r="P166" s="2">
        <v>952</v>
      </c>
      <c r="Q166" s="2">
        <v>1904</v>
      </c>
      <c r="R166" s="2">
        <v>780</v>
      </c>
      <c r="S166">
        <f t="shared" si="12"/>
        <v>1560</v>
      </c>
      <c r="T166" t="s">
        <v>132</v>
      </c>
      <c r="U166" s="1">
        <f t="shared" si="13"/>
        <v>27.52</v>
      </c>
      <c r="AD166" s="19">
        <v>38598</v>
      </c>
      <c r="AE166">
        <v>12</v>
      </c>
      <c r="AG166">
        <v>38598</v>
      </c>
      <c r="AH166" s="1">
        <v>12</v>
      </c>
    </row>
    <row r="167" spans="1:34" hidden="1" x14ac:dyDescent="0.25">
      <c r="A167" s="2">
        <v>37673</v>
      </c>
      <c r="B167" s="13" t="s">
        <v>356</v>
      </c>
      <c r="C167" s="14" t="s">
        <v>39</v>
      </c>
      <c r="D167" s="15">
        <v>45310</v>
      </c>
      <c r="E167" s="2">
        <v>0</v>
      </c>
      <c r="F167" s="14" t="s">
        <v>377</v>
      </c>
      <c r="G167" t="s">
        <v>378</v>
      </c>
      <c r="H167" s="14" t="s">
        <v>42</v>
      </c>
      <c r="I167" s="2">
        <v>17</v>
      </c>
      <c r="J167" s="2">
        <v>0</v>
      </c>
      <c r="K167" s="2">
        <v>0</v>
      </c>
      <c r="L167" s="2"/>
      <c r="M167" s="2">
        <v>0</v>
      </c>
      <c r="N167" s="14"/>
      <c r="O167" s="14"/>
      <c r="P167" s="2">
        <v>93</v>
      </c>
      <c r="Q167" s="2">
        <v>1581</v>
      </c>
      <c r="R167" s="2">
        <v>76.11</v>
      </c>
      <c r="S167">
        <f t="shared" si="12"/>
        <v>1293.8699999999999</v>
      </c>
      <c r="T167" t="s">
        <v>132</v>
      </c>
      <c r="U167" s="1">
        <f t="shared" si="13"/>
        <v>22.970400000000009</v>
      </c>
      <c r="AD167" s="19">
        <v>38609</v>
      </c>
      <c r="AE167">
        <v>0</v>
      </c>
      <c r="AG167">
        <v>38609</v>
      </c>
      <c r="AH167" s="1">
        <v>0</v>
      </c>
    </row>
    <row r="168" spans="1:34" hidden="1" x14ac:dyDescent="0.25">
      <c r="A168" s="2">
        <v>37673</v>
      </c>
      <c r="B168" s="13" t="s">
        <v>356</v>
      </c>
      <c r="C168" s="14" t="s">
        <v>39</v>
      </c>
      <c r="D168" s="15">
        <v>45310</v>
      </c>
      <c r="E168" s="2">
        <v>0</v>
      </c>
      <c r="F168" s="14" t="s">
        <v>379</v>
      </c>
      <c r="G168" t="s">
        <v>380</v>
      </c>
      <c r="H168" s="14" t="s">
        <v>42</v>
      </c>
      <c r="I168" s="2">
        <v>1</v>
      </c>
      <c r="J168" s="2">
        <v>0</v>
      </c>
      <c r="K168" s="2">
        <v>0</v>
      </c>
      <c r="L168" s="2"/>
      <c r="M168" s="2">
        <v>0</v>
      </c>
      <c r="N168" s="14"/>
      <c r="O168" s="14"/>
      <c r="P168" s="2">
        <v>483</v>
      </c>
      <c r="Q168" s="2">
        <v>483</v>
      </c>
      <c r="R168" s="2">
        <v>395.55</v>
      </c>
      <c r="S168">
        <f t="shared" si="12"/>
        <v>395.55</v>
      </c>
      <c r="T168" t="s">
        <v>132</v>
      </c>
      <c r="U168" s="1">
        <f t="shared" si="13"/>
        <v>6.9959999999999996</v>
      </c>
      <c r="AD168" s="19">
        <v>38610</v>
      </c>
      <c r="AE168">
        <v>0</v>
      </c>
      <c r="AG168">
        <v>38610</v>
      </c>
      <c r="AH168" s="1">
        <v>0</v>
      </c>
    </row>
    <row r="169" spans="1:34" hidden="1" x14ac:dyDescent="0.25">
      <c r="A169" s="2">
        <v>37744</v>
      </c>
      <c r="B169" s="13" t="s">
        <v>381</v>
      </c>
      <c r="C169" s="14" t="s">
        <v>39</v>
      </c>
      <c r="D169" s="15">
        <v>45293</v>
      </c>
      <c r="E169" s="2">
        <v>0</v>
      </c>
      <c r="F169" s="14" t="s">
        <v>382</v>
      </c>
      <c r="G169" t="s">
        <v>383</v>
      </c>
      <c r="H169" s="14" t="s">
        <v>42</v>
      </c>
      <c r="I169" s="2">
        <v>1</v>
      </c>
      <c r="J169" s="2">
        <v>0</v>
      </c>
      <c r="K169" s="2">
        <v>0</v>
      </c>
      <c r="L169" s="2"/>
      <c r="M169" s="2">
        <v>0</v>
      </c>
      <c r="N169" s="14"/>
      <c r="O169" s="14"/>
      <c r="P169" s="2">
        <v>350</v>
      </c>
      <c r="Q169" s="2">
        <v>350</v>
      </c>
      <c r="R169" s="2">
        <v>280</v>
      </c>
      <c r="S169">
        <f t="shared" si="12"/>
        <v>280</v>
      </c>
      <c r="T169" t="s">
        <v>174</v>
      </c>
      <c r="U169" s="1">
        <f t="shared" si="13"/>
        <v>0</v>
      </c>
      <c r="AD169" s="19">
        <v>38615</v>
      </c>
      <c r="AE169">
        <v>14.254</v>
      </c>
      <c r="AG169">
        <v>38615</v>
      </c>
      <c r="AH169" s="1">
        <v>14.254</v>
      </c>
    </row>
    <row r="170" spans="1:34" hidden="1" x14ac:dyDescent="0.25">
      <c r="A170" s="2">
        <v>37744</v>
      </c>
      <c r="B170" s="13" t="s">
        <v>381</v>
      </c>
      <c r="C170" s="14" t="s">
        <v>39</v>
      </c>
      <c r="D170" s="15">
        <v>45293</v>
      </c>
      <c r="E170" s="2">
        <v>0</v>
      </c>
      <c r="F170" s="14" t="s">
        <v>384</v>
      </c>
      <c r="G170" t="s">
        <v>385</v>
      </c>
      <c r="H170" s="14" t="s">
        <v>42</v>
      </c>
      <c r="I170" s="2">
        <v>1</v>
      </c>
      <c r="J170" s="2">
        <v>0</v>
      </c>
      <c r="K170" s="2">
        <v>0</v>
      </c>
      <c r="L170" s="2"/>
      <c r="M170" s="2">
        <v>0</v>
      </c>
      <c r="N170" s="14"/>
      <c r="O170" s="14"/>
      <c r="P170" s="2">
        <v>1276</v>
      </c>
      <c r="Q170" s="2">
        <v>1276</v>
      </c>
      <c r="R170" s="2">
        <v>1020.54</v>
      </c>
      <c r="S170">
        <f t="shared" si="12"/>
        <v>1020.54</v>
      </c>
      <c r="T170" t="s">
        <v>174</v>
      </c>
      <c r="U170" s="1">
        <f t="shared" si="13"/>
        <v>0</v>
      </c>
      <c r="AD170" s="19">
        <v>38616</v>
      </c>
      <c r="AE170">
        <v>9.6992000000000012</v>
      </c>
      <c r="AG170">
        <v>38616</v>
      </c>
      <c r="AH170" s="1">
        <v>9.6992000000000012</v>
      </c>
    </row>
    <row r="171" spans="1:34" hidden="1" x14ac:dyDescent="0.25">
      <c r="A171" s="2">
        <v>37766</v>
      </c>
      <c r="B171" s="13" t="s">
        <v>386</v>
      </c>
      <c r="C171" s="14" t="s">
        <v>39</v>
      </c>
      <c r="D171" s="15">
        <v>45314</v>
      </c>
      <c r="E171" s="2">
        <v>0</v>
      </c>
      <c r="F171" s="14" t="s">
        <v>387</v>
      </c>
      <c r="G171" t="s">
        <v>388</v>
      </c>
      <c r="H171" s="14" t="s">
        <v>42</v>
      </c>
      <c r="I171" s="2">
        <v>1</v>
      </c>
      <c r="J171" s="2">
        <v>0</v>
      </c>
      <c r="K171" s="2">
        <v>0</v>
      </c>
      <c r="L171" s="2"/>
      <c r="M171" s="2">
        <v>0</v>
      </c>
      <c r="N171" s="14"/>
      <c r="O171" s="14"/>
      <c r="P171" s="2">
        <v>1844</v>
      </c>
      <c r="Q171" s="2">
        <v>1844</v>
      </c>
      <c r="R171" s="2">
        <v>1512</v>
      </c>
      <c r="S171">
        <f t="shared" si="12"/>
        <v>1512</v>
      </c>
      <c r="T171" t="s">
        <v>43</v>
      </c>
      <c r="U171" s="1">
        <f t="shared" si="13"/>
        <v>28.220000000000002</v>
      </c>
      <c r="AD171" s="19">
        <v>38617</v>
      </c>
      <c r="AE171">
        <v>28.009999999999998</v>
      </c>
      <c r="AG171">
        <v>38617</v>
      </c>
      <c r="AH171" s="1">
        <v>28.009999999999998</v>
      </c>
    </row>
    <row r="172" spans="1:34" hidden="1" x14ac:dyDescent="0.25">
      <c r="A172" s="2">
        <v>37770</v>
      </c>
      <c r="B172" s="13" t="s">
        <v>389</v>
      </c>
      <c r="C172" s="14" t="s">
        <v>39</v>
      </c>
      <c r="D172" s="15">
        <v>45293</v>
      </c>
      <c r="E172" s="2">
        <v>0</v>
      </c>
      <c r="F172" s="14" t="s">
        <v>390</v>
      </c>
      <c r="G172" t="s">
        <v>391</v>
      </c>
      <c r="H172" s="14" t="s">
        <v>42</v>
      </c>
      <c r="I172" s="2">
        <v>2</v>
      </c>
      <c r="J172" s="2">
        <v>0</v>
      </c>
      <c r="K172" s="2">
        <v>0</v>
      </c>
      <c r="L172" s="2"/>
      <c r="M172" s="2">
        <v>0</v>
      </c>
      <c r="N172" s="14"/>
      <c r="O172" s="14"/>
      <c r="P172" s="2">
        <v>118</v>
      </c>
      <c r="Q172" s="2">
        <v>236</v>
      </c>
      <c r="R172" s="2">
        <v>94.4</v>
      </c>
      <c r="S172">
        <f t="shared" si="12"/>
        <v>188.8</v>
      </c>
      <c r="T172" t="s">
        <v>174</v>
      </c>
      <c r="U172" s="1">
        <f t="shared" si="13"/>
        <v>0</v>
      </c>
      <c r="AD172" s="19">
        <v>38619</v>
      </c>
      <c r="AE172">
        <v>16.978400000000004</v>
      </c>
      <c r="AG172">
        <v>38619</v>
      </c>
      <c r="AH172" s="1">
        <v>16.978400000000004</v>
      </c>
    </row>
    <row r="173" spans="1:34" hidden="1" x14ac:dyDescent="0.25">
      <c r="A173" s="2">
        <v>37770</v>
      </c>
      <c r="B173" s="13" t="s">
        <v>389</v>
      </c>
      <c r="C173" s="14" t="s">
        <v>39</v>
      </c>
      <c r="D173" s="15">
        <v>45293</v>
      </c>
      <c r="E173" s="2">
        <v>0</v>
      </c>
      <c r="F173" s="14" t="s">
        <v>237</v>
      </c>
      <c r="G173" t="s">
        <v>392</v>
      </c>
      <c r="H173" s="14" t="s">
        <v>42</v>
      </c>
      <c r="I173" s="2">
        <v>1</v>
      </c>
      <c r="J173" s="2">
        <v>0</v>
      </c>
      <c r="K173" s="2">
        <v>0</v>
      </c>
      <c r="L173" s="2"/>
      <c r="M173" s="2">
        <v>0</v>
      </c>
      <c r="N173" s="14"/>
      <c r="O173" s="14"/>
      <c r="P173" s="2">
        <v>621.6</v>
      </c>
      <c r="Q173" s="2">
        <v>621.6</v>
      </c>
      <c r="R173" s="2">
        <v>497.28</v>
      </c>
      <c r="S173">
        <f t="shared" si="12"/>
        <v>497.28</v>
      </c>
      <c r="T173" t="s">
        <v>174</v>
      </c>
      <c r="U173" s="1">
        <f t="shared" si="13"/>
        <v>0</v>
      </c>
      <c r="AD173" s="19">
        <v>38620</v>
      </c>
      <c r="AE173">
        <v>14.298399999999992</v>
      </c>
      <c r="AG173">
        <v>38620</v>
      </c>
      <c r="AH173" s="1">
        <v>14.298399999999992</v>
      </c>
    </row>
    <row r="174" spans="1:34" hidden="1" x14ac:dyDescent="0.25">
      <c r="A174" s="2">
        <v>37770</v>
      </c>
      <c r="B174" s="13" t="s">
        <v>389</v>
      </c>
      <c r="C174" s="14" t="s">
        <v>39</v>
      </c>
      <c r="D174" s="15">
        <v>45293</v>
      </c>
      <c r="E174" s="2">
        <v>0</v>
      </c>
      <c r="F174" s="14" t="s">
        <v>393</v>
      </c>
      <c r="G174" t="s">
        <v>394</v>
      </c>
      <c r="H174" s="14" t="s">
        <v>42</v>
      </c>
      <c r="I174" s="2">
        <v>1</v>
      </c>
      <c r="J174" s="2">
        <v>0</v>
      </c>
      <c r="K174" s="2">
        <v>0</v>
      </c>
      <c r="L174" s="2"/>
      <c r="M174" s="2">
        <v>0</v>
      </c>
      <c r="N174" s="14"/>
      <c r="O174" s="14"/>
      <c r="P174" s="2">
        <v>173.4</v>
      </c>
      <c r="Q174" s="2">
        <v>173.4</v>
      </c>
      <c r="R174" s="2">
        <v>138.72</v>
      </c>
      <c r="S174">
        <f t="shared" si="12"/>
        <v>138.72</v>
      </c>
      <c r="T174" t="s">
        <v>174</v>
      </c>
      <c r="U174" s="1">
        <f t="shared" si="13"/>
        <v>0</v>
      </c>
      <c r="AD174" s="19">
        <v>38624</v>
      </c>
      <c r="AE174">
        <v>-17.88</v>
      </c>
      <c r="AG174">
        <v>38624</v>
      </c>
      <c r="AH174" s="1">
        <v>-17.88</v>
      </c>
    </row>
    <row r="175" spans="1:34" x14ac:dyDescent="0.25">
      <c r="A175" s="2">
        <v>37781</v>
      </c>
      <c r="B175" s="13" t="s">
        <v>395</v>
      </c>
      <c r="C175" s="14" t="s">
        <v>39</v>
      </c>
      <c r="D175" s="15">
        <v>45317</v>
      </c>
      <c r="E175" s="2">
        <v>0</v>
      </c>
      <c r="F175" s="14" t="s">
        <v>91</v>
      </c>
      <c r="G175" t="s">
        <v>396</v>
      </c>
      <c r="H175" s="14" t="s">
        <v>93</v>
      </c>
      <c r="I175" s="2">
        <v>1</v>
      </c>
      <c r="J175" s="2">
        <v>0</v>
      </c>
      <c r="K175" s="2">
        <v>0</v>
      </c>
      <c r="L175" s="2"/>
      <c r="M175" s="2">
        <v>0</v>
      </c>
      <c r="N175" s="14"/>
      <c r="O175" s="14"/>
      <c r="P175" s="2">
        <v>6948</v>
      </c>
      <c r="Q175" s="2">
        <v>6948</v>
      </c>
      <c r="R175" s="2">
        <v>5905.8</v>
      </c>
      <c r="S175">
        <f t="shared" si="12"/>
        <v>5905.8</v>
      </c>
      <c r="T175" t="s">
        <v>105</v>
      </c>
      <c r="U175">
        <f>_xlfn.XLOOKUP(T175,$Y$2:$Y$45,$AB$2:$AB$45)*(Q175)</f>
        <v>277.92</v>
      </c>
      <c r="AD175" s="19">
        <v>38627</v>
      </c>
      <c r="AE175">
        <v>39.620200000000011</v>
      </c>
      <c r="AG175">
        <v>38627</v>
      </c>
      <c r="AH175" s="1">
        <v>39.620200000000011</v>
      </c>
    </row>
    <row r="176" spans="1:34" hidden="1" x14ac:dyDescent="0.25">
      <c r="A176" s="2">
        <v>37784</v>
      </c>
      <c r="B176" s="13" t="s">
        <v>397</v>
      </c>
      <c r="C176" s="14" t="s">
        <v>39</v>
      </c>
      <c r="D176" s="15">
        <v>45308</v>
      </c>
      <c r="E176" s="2">
        <v>0</v>
      </c>
      <c r="F176" s="14" t="s">
        <v>398</v>
      </c>
      <c r="G176" t="s">
        <v>399</v>
      </c>
      <c r="H176" s="14" t="s">
        <v>42</v>
      </c>
      <c r="I176" s="2">
        <v>1</v>
      </c>
      <c r="J176" s="2">
        <v>0</v>
      </c>
      <c r="K176" s="2">
        <v>0</v>
      </c>
      <c r="L176" s="2"/>
      <c r="M176" s="2">
        <v>0</v>
      </c>
      <c r="N176" s="14"/>
      <c r="O176" s="14"/>
      <c r="P176" s="2">
        <v>6588</v>
      </c>
      <c r="Q176" s="2">
        <v>6588</v>
      </c>
      <c r="R176" s="2">
        <v>5107.58</v>
      </c>
      <c r="S176">
        <f t="shared" si="12"/>
        <v>5107.58</v>
      </c>
      <c r="T176" t="s">
        <v>43</v>
      </c>
      <c r="U176" s="1">
        <f t="shared" ref="U176:U182" si="14">_xlfn.XLOOKUP(T176,$Y$2:$Y$45,$AA$2:$AA$45)*(Q176-S176)</f>
        <v>125.83570000000002</v>
      </c>
      <c r="AD176" s="19">
        <v>38629</v>
      </c>
      <c r="AE176">
        <v>7.1608000000000001</v>
      </c>
      <c r="AG176">
        <v>38629</v>
      </c>
      <c r="AH176" s="1">
        <v>7.1608000000000001</v>
      </c>
    </row>
    <row r="177" spans="1:34" hidden="1" x14ac:dyDescent="0.25">
      <c r="A177" s="2">
        <v>37784</v>
      </c>
      <c r="B177" s="13" t="s">
        <v>397</v>
      </c>
      <c r="C177" s="14" t="s">
        <v>39</v>
      </c>
      <c r="D177" s="15">
        <v>45308</v>
      </c>
      <c r="E177" s="2">
        <v>0</v>
      </c>
      <c r="F177" s="14" t="s">
        <v>400</v>
      </c>
      <c r="G177" t="s">
        <v>401</v>
      </c>
      <c r="H177" s="14" t="s">
        <v>42</v>
      </c>
      <c r="I177" s="2">
        <v>1</v>
      </c>
      <c r="J177" s="2">
        <v>0</v>
      </c>
      <c r="K177" s="2">
        <v>0</v>
      </c>
      <c r="L177" s="2"/>
      <c r="M177" s="2">
        <v>0</v>
      </c>
      <c r="N177" s="14"/>
      <c r="O177" s="14"/>
      <c r="P177" s="2">
        <v>339.84</v>
      </c>
      <c r="Q177" s="2">
        <v>339.84</v>
      </c>
      <c r="R177" s="2">
        <v>278.67</v>
      </c>
      <c r="S177">
        <f t="shared" si="12"/>
        <v>278.67</v>
      </c>
      <c r="T177" t="s">
        <v>43</v>
      </c>
      <c r="U177" s="1">
        <f t="shared" si="14"/>
        <v>5.199449999999997</v>
      </c>
      <c r="AD177" s="19">
        <v>38632</v>
      </c>
      <c r="AE177">
        <v>0</v>
      </c>
      <c r="AG177">
        <v>38632</v>
      </c>
      <c r="AH177" s="1">
        <v>0</v>
      </c>
    </row>
    <row r="178" spans="1:34" hidden="1" x14ac:dyDescent="0.25">
      <c r="A178" s="2">
        <v>37784</v>
      </c>
      <c r="B178" s="13" t="s">
        <v>397</v>
      </c>
      <c r="C178" s="14" t="s">
        <v>39</v>
      </c>
      <c r="D178" s="15">
        <v>45308</v>
      </c>
      <c r="E178" s="2">
        <v>0</v>
      </c>
      <c r="F178" s="14" t="s">
        <v>402</v>
      </c>
      <c r="G178" t="s">
        <v>403</v>
      </c>
      <c r="H178" s="14" t="s">
        <v>42</v>
      </c>
      <c r="I178" s="2">
        <v>29</v>
      </c>
      <c r="J178" s="2">
        <v>0</v>
      </c>
      <c r="K178" s="2">
        <v>0</v>
      </c>
      <c r="L178" s="2"/>
      <c r="M178" s="2">
        <v>0</v>
      </c>
      <c r="N178" s="14"/>
      <c r="O178" s="14"/>
      <c r="P178" s="2">
        <v>212</v>
      </c>
      <c r="Q178" s="2">
        <v>6148</v>
      </c>
      <c r="R178" s="2">
        <v>180.74</v>
      </c>
      <c r="S178">
        <f t="shared" si="12"/>
        <v>5241.46</v>
      </c>
      <c r="T178" t="s">
        <v>43</v>
      </c>
      <c r="U178" s="1">
        <f t="shared" si="14"/>
        <v>77.055900000000008</v>
      </c>
      <c r="AD178" s="19">
        <v>38638</v>
      </c>
      <c r="AE178">
        <v>12.096000000000004</v>
      </c>
      <c r="AG178">
        <v>38638</v>
      </c>
      <c r="AH178" s="1">
        <v>12.096000000000004</v>
      </c>
    </row>
    <row r="179" spans="1:34" hidden="1" x14ac:dyDescent="0.25">
      <c r="A179" s="2">
        <v>37784</v>
      </c>
      <c r="B179" s="13" t="s">
        <v>397</v>
      </c>
      <c r="C179" s="14" t="s">
        <v>39</v>
      </c>
      <c r="D179" s="15">
        <v>45308</v>
      </c>
      <c r="E179" s="2">
        <v>0</v>
      </c>
      <c r="F179" s="14" t="s">
        <v>404</v>
      </c>
      <c r="G179" t="s">
        <v>405</v>
      </c>
      <c r="H179" s="14" t="s">
        <v>42</v>
      </c>
      <c r="I179" s="2">
        <v>1</v>
      </c>
      <c r="J179" s="2">
        <v>0</v>
      </c>
      <c r="K179" s="2">
        <v>0</v>
      </c>
      <c r="L179" s="2"/>
      <c r="M179" s="2">
        <v>0</v>
      </c>
      <c r="N179" s="14"/>
      <c r="O179" s="14"/>
      <c r="P179" s="2">
        <v>6504.71</v>
      </c>
      <c r="Q179" s="2">
        <v>6504.71</v>
      </c>
      <c r="R179" s="2">
        <v>5333.86</v>
      </c>
      <c r="S179">
        <f t="shared" si="12"/>
        <v>5333.86</v>
      </c>
      <c r="T179" t="s">
        <v>43</v>
      </c>
      <c r="U179" s="1">
        <f t="shared" si="14"/>
        <v>99.522250000000042</v>
      </c>
      <c r="AD179" s="19">
        <v>38639</v>
      </c>
      <c r="AE179">
        <v>0</v>
      </c>
      <c r="AG179">
        <v>38639</v>
      </c>
      <c r="AH179" s="1">
        <v>0</v>
      </c>
    </row>
    <row r="180" spans="1:34" hidden="1" x14ac:dyDescent="0.25">
      <c r="A180" s="2">
        <v>37784</v>
      </c>
      <c r="B180" s="13" t="s">
        <v>397</v>
      </c>
      <c r="C180" s="14" t="s">
        <v>39</v>
      </c>
      <c r="D180" s="15">
        <v>45308</v>
      </c>
      <c r="E180" s="2">
        <v>0</v>
      </c>
      <c r="F180" s="14" t="s">
        <v>406</v>
      </c>
      <c r="G180" t="s">
        <v>407</v>
      </c>
      <c r="H180" s="14" t="s">
        <v>42</v>
      </c>
      <c r="I180" s="2">
        <v>1</v>
      </c>
      <c r="J180" s="2">
        <v>0</v>
      </c>
      <c r="K180" s="2">
        <v>0</v>
      </c>
      <c r="L180" s="2"/>
      <c r="M180" s="2">
        <v>0</v>
      </c>
      <c r="N180" s="14"/>
      <c r="O180" s="14"/>
      <c r="P180" s="2">
        <v>19541</v>
      </c>
      <c r="Q180" s="2">
        <v>19541</v>
      </c>
      <c r="R180" s="2">
        <v>11367.05</v>
      </c>
      <c r="S180">
        <f t="shared" si="12"/>
        <v>11367.05</v>
      </c>
      <c r="T180" t="s">
        <v>43</v>
      </c>
      <c r="U180" s="1">
        <f t="shared" si="14"/>
        <v>694.78575000000012</v>
      </c>
      <c r="AD180" s="19">
        <v>38640</v>
      </c>
      <c r="AE180">
        <v>108</v>
      </c>
      <c r="AG180">
        <v>38640</v>
      </c>
      <c r="AH180" s="1">
        <v>108</v>
      </c>
    </row>
    <row r="181" spans="1:34" hidden="1" x14ac:dyDescent="0.25">
      <c r="A181" s="2">
        <v>37784</v>
      </c>
      <c r="B181" s="13" t="s">
        <v>397</v>
      </c>
      <c r="C181" s="14" t="s">
        <v>39</v>
      </c>
      <c r="D181" s="15">
        <v>45308</v>
      </c>
      <c r="E181" s="2">
        <v>0</v>
      </c>
      <c r="F181" s="14" t="s">
        <v>408</v>
      </c>
      <c r="G181" t="s">
        <v>409</v>
      </c>
      <c r="H181" s="14" t="s">
        <v>42</v>
      </c>
      <c r="I181" s="2">
        <v>1</v>
      </c>
      <c r="J181" s="2">
        <v>0</v>
      </c>
      <c r="K181" s="2">
        <v>0</v>
      </c>
      <c r="L181" s="2"/>
      <c r="M181" s="2">
        <v>0</v>
      </c>
      <c r="N181" s="14"/>
      <c r="O181" s="14"/>
      <c r="P181" s="2">
        <v>3845</v>
      </c>
      <c r="Q181" s="2">
        <v>3845</v>
      </c>
      <c r="R181" s="2">
        <v>2236.65</v>
      </c>
      <c r="S181">
        <f t="shared" si="12"/>
        <v>2236.65</v>
      </c>
      <c r="T181" t="s">
        <v>43</v>
      </c>
      <c r="U181" s="1">
        <f t="shared" si="14"/>
        <v>136.70975000000001</v>
      </c>
      <c r="AD181" s="19">
        <v>38641</v>
      </c>
      <c r="AE181">
        <v>0</v>
      </c>
      <c r="AG181">
        <v>38641</v>
      </c>
      <c r="AH181" s="1">
        <v>0</v>
      </c>
    </row>
    <row r="182" spans="1:34" hidden="1" x14ac:dyDescent="0.25">
      <c r="A182" s="2">
        <v>37784</v>
      </c>
      <c r="B182" s="13" t="s">
        <v>397</v>
      </c>
      <c r="C182" s="14" t="s">
        <v>39</v>
      </c>
      <c r="D182" s="15">
        <v>45308</v>
      </c>
      <c r="E182" s="2">
        <v>0</v>
      </c>
      <c r="F182" s="14" t="s">
        <v>410</v>
      </c>
      <c r="G182" t="s">
        <v>411</v>
      </c>
      <c r="H182" s="14" t="s">
        <v>42</v>
      </c>
      <c r="I182" s="2">
        <v>1</v>
      </c>
      <c r="J182" s="2">
        <v>0</v>
      </c>
      <c r="K182" s="2">
        <v>0</v>
      </c>
      <c r="L182" s="2"/>
      <c r="M182" s="2">
        <v>0</v>
      </c>
      <c r="N182" s="14"/>
      <c r="O182" s="14"/>
      <c r="P182" s="2">
        <v>1606</v>
      </c>
      <c r="Q182" s="2">
        <v>1606</v>
      </c>
      <c r="R182" s="2">
        <v>1133</v>
      </c>
      <c r="S182">
        <f t="shared" si="12"/>
        <v>1133</v>
      </c>
      <c r="T182" t="s">
        <v>43</v>
      </c>
      <c r="U182" s="1">
        <f t="shared" si="14"/>
        <v>40.205000000000005</v>
      </c>
      <c r="AD182" s="19">
        <v>38642</v>
      </c>
      <c r="AE182">
        <v>483.94000000000005</v>
      </c>
      <c r="AG182">
        <v>38642</v>
      </c>
      <c r="AH182" s="1">
        <v>483.94000000000005</v>
      </c>
    </row>
    <row r="183" spans="1:34" hidden="1" x14ac:dyDescent="0.25">
      <c r="A183" s="2">
        <v>37814</v>
      </c>
      <c r="B183" s="13" t="s">
        <v>412</v>
      </c>
      <c r="C183" s="14" t="s">
        <v>39</v>
      </c>
      <c r="D183" s="15">
        <v>45303</v>
      </c>
      <c r="E183" s="2">
        <v>-327</v>
      </c>
      <c r="F183" s="14" t="s">
        <v>413</v>
      </c>
      <c r="G183" t="s">
        <v>414</v>
      </c>
      <c r="H183" s="14" t="s">
        <v>415</v>
      </c>
      <c r="I183" s="2">
        <v>1</v>
      </c>
      <c r="J183" s="2">
        <v>45</v>
      </c>
      <c r="K183" s="2">
        <v>0</v>
      </c>
      <c r="L183" s="2"/>
      <c r="M183" s="2">
        <v>45</v>
      </c>
      <c r="N183" s="14"/>
      <c r="O183" s="14"/>
      <c r="P183" s="2">
        <v>150</v>
      </c>
      <c r="Q183" s="2">
        <v>150</v>
      </c>
      <c r="R183" s="2">
        <v>1059.74</v>
      </c>
      <c r="S183">
        <f t="shared" si="12"/>
        <v>1059.74</v>
      </c>
      <c r="T183" t="s">
        <v>43</v>
      </c>
      <c r="U183">
        <f>_xlfn.XLOOKUP(T183,$Y$2:$Y$45,$AB$2:$AB$45)*(Q183)</f>
        <v>6</v>
      </c>
      <c r="AD183" s="19">
        <v>38644</v>
      </c>
      <c r="AE183">
        <v>21.192199999999996</v>
      </c>
      <c r="AG183">
        <v>38644</v>
      </c>
      <c r="AH183" s="1">
        <v>21.192199999999996</v>
      </c>
    </row>
    <row r="184" spans="1:34" x14ac:dyDescent="0.25">
      <c r="A184" s="2">
        <v>37835</v>
      </c>
      <c r="B184" s="13" t="s">
        <v>416</v>
      </c>
      <c r="C184" s="14" t="s">
        <v>39</v>
      </c>
      <c r="D184" s="15">
        <v>45306</v>
      </c>
      <c r="E184" s="2">
        <v>0</v>
      </c>
      <c r="F184" s="14" t="s">
        <v>417</v>
      </c>
      <c r="G184" t="s">
        <v>417</v>
      </c>
      <c r="H184" s="14" t="s">
        <v>93</v>
      </c>
      <c r="I184" s="2">
        <v>1</v>
      </c>
      <c r="J184" s="2">
        <v>0</v>
      </c>
      <c r="K184" s="2">
        <v>0</v>
      </c>
      <c r="L184" s="2"/>
      <c r="M184" s="2">
        <v>0</v>
      </c>
      <c r="N184" s="14"/>
      <c r="O184" s="14"/>
      <c r="P184" s="2">
        <v>250</v>
      </c>
      <c r="Q184" s="2">
        <v>250</v>
      </c>
      <c r="R184" s="2">
        <v>0</v>
      </c>
      <c r="S184">
        <f t="shared" si="12"/>
        <v>0</v>
      </c>
      <c r="T184" t="s">
        <v>132</v>
      </c>
      <c r="U184">
        <f>_xlfn.XLOOKUP(T184,$Y$2:$Y$45,$AB$2:$AB$45)*(Q184)</f>
        <v>10</v>
      </c>
      <c r="AD184" s="19">
        <v>38645</v>
      </c>
      <c r="AE184">
        <v>0</v>
      </c>
      <c r="AG184">
        <v>38645</v>
      </c>
      <c r="AH184" s="1">
        <v>0</v>
      </c>
    </row>
    <row r="185" spans="1:34" hidden="1" x14ac:dyDescent="0.25">
      <c r="A185" s="2">
        <v>37835</v>
      </c>
      <c r="B185" s="13" t="s">
        <v>416</v>
      </c>
      <c r="C185" s="14" t="s">
        <v>39</v>
      </c>
      <c r="D185" s="15">
        <v>45306</v>
      </c>
      <c r="E185" s="2">
        <v>0</v>
      </c>
      <c r="F185" s="14" t="s">
        <v>418</v>
      </c>
      <c r="G185" t="s">
        <v>419</v>
      </c>
      <c r="H185" s="14" t="s">
        <v>42</v>
      </c>
      <c r="I185" s="2">
        <v>1</v>
      </c>
      <c r="J185" s="2">
        <v>0</v>
      </c>
      <c r="K185" s="2">
        <v>0</v>
      </c>
      <c r="L185" s="2"/>
      <c r="M185" s="2">
        <v>0</v>
      </c>
      <c r="N185" s="14"/>
      <c r="O185" s="14"/>
      <c r="P185" s="2">
        <v>269.99</v>
      </c>
      <c r="Q185" s="2">
        <v>269.99</v>
      </c>
      <c r="R185" s="2">
        <v>224.99</v>
      </c>
      <c r="S185">
        <f t="shared" si="12"/>
        <v>224.99</v>
      </c>
      <c r="T185" t="s">
        <v>132</v>
      </c>
      <c r="U185" s="1">
        <f>_xlfn.XLOOKUP(T185,$Y$2:$Y$45,$AA$2:$AA$45)*(Q185-S185)</f>
        <v>3.6</v>
      </c>
      <c r="AD185" s="19">
        <v>38646</v>
      </c>
      <c r="AE185">
        <v>88</v>
      </c>
      <c r="AG185">
        <v>38646</v>
      </c>
      <c r="AH185" s="1">
        <v>88</v>
      </c>
    </row>
    <row r="186" spans="1:34" hidden="1" x14ac:dyDescent="0.25">
      <c r="A186" s="2">
        <v>37835</v>
      </c>
      <c r="B186" s="13" t="s">
        <v>416</v>
      </c>
      <c r="C186" s="14" t="s">
        <v>39</v>
      </c>
      <c r="D186" s="15">
        <v>45306</v>
      </c>
      <c r="E186" s="2">
        <v>0</v>
      </c>
      <c r="F186" s="14" t="s">
        <v>420</v>
      </c>
      <c r="G186" t="s">
        <v>421</v>
      </c>
      <c r="H186" s="14" t="s">
        <v>42</v>
      </c>
      <c r="I186" s="2">
        <v>1</v>
      </c>
      <c r="J186" s="2">
        <v>0</v>
      </c>
      <c r="K186" s="2">
        <v>0</v>
      </c>
      <c r="L186" s="2"/>
      <c r="M186" s="2">
        <v>0</v>
      </c>
      <c r="N186" s="14"/>
      <c r="O186" s="14"/>
      <c r="P186" s="2">
        <v>1696.14</v>
      </c>
      <c r="Q186" s="2">
        <v>1696.14</v>
      </c>
      <c r="R186" s="2">
        <v>1413.45</v>
      </c>
      <c r="S186">
        <f t="shared" si="12"/>
        <v>1413.45</v>
      </c>
      <c r="T186" t="s">
        <v>132</v>
      </c>
      <c r="U186" s="1">
        <f>_xlfn.XLOOKUP(T186,$Y$2:$Y$45,$AA$2:$AA$45)*(Q186-S186)</f>
        <v>22.615200000000005</v>
      </c>
      <c r="AD186" s="19">
        <v>38651</v>
      </c>
      <c r="AE186">
        <v>34.641600000000004</v>
      </c>
      <c r="AG186">
        <v>38651</v>
      </c>
      <c r="AH186" s="1">
        <v>34.641600000000004</v>
      </c>
    </row>
    <row r="187" spans="1:34" x14ac:dyDescent="0.25">
      <c r="A187" s="2">
        <v>37886</v>
      </c>
      <c r="B187" s="13" t="s">
        <v>422</v>
      </c>
      <c r="C187" s="14" t="s">
        <v>39</v>
      </c>
      <c r="D187" s="15">
        <v>45303</v>
      </c>
      <c r="E187" s="2">
        <v>0</v>
      </c>
      <c r="F187" s="14" t="s">
        <v>423</v>
      </c>
      <c r="G187" t="s">
        <v>424</v>
      </c>
      <c r="H187" s="14" t="s">
        <v>93</v>
      </c>
      <c r="I187" s="2">
        <v>100</v>
      </c>
      <c r="J187" s="2">
        <v>0</v>
      </c>
      <c r="K187" s="2">
        <v>0</v>
      </c>
      <c r="L187" s="2"/>
      <c r="M187" s="2">
        <v>0</v>
      </c>
      <c r="N187" s="14"/>
      <c r="O187" s="14"/>
      <c r="P187" s="2">
        <v>205</v>
      </c>
      <c r="Q187" s="2">
        <v>20500</v>
      </c>
      <c r="R187" s="2">
        <v>0</v>
      </c>
      <c r="S187">
        <f t="shared" si="12"/>
        <v>0</v>
      </c>
      <c r="T187" t="s">
        <v>56</v>
      </c>
      <c r="U187">
        <f>_xlfn.XLOOKUP(T187,$Y$2:$Y$45,$AB$2:$AB$45)*(Q187)</f>
        <v>820</v>
      </c>
      <c r="AD187" s="19">
        <v>38657</v>
      </c>
      <c r="AE187">
        <v>12.800000000000004</v>
      </c>
      <c r="AG187">
        <v>38657</v>
      </c>
      <c r="AH187" s="1">
        <v>12.800000000000004</v>
      </c>
    </row>
    <row r="188" spans="1:34" x14ac:dyDescent="0.25">
      <c r="A188" s="2">
        <v>37888</v>
      </c>
      <c r="B188" s="13" t="s">
        <v>425</v>
      </c>
      <c r="C188" s="14" t="s">
        <v>39</v>
      </c>
      <c r="D188" s="15">
        <v>45300</v>
      </c>
      <c r="E188" s="2">
        <v>0</v>
      </c>
      <c r="F188" s="14" t="s">
        <v>152</v>
      </c>
      <c r="G188" t="s">
        <v>153</v>
      </c>
      <c r="H188" s="14" t="s">
        <v>93</v>
      </c>
      <c r="I188" s="2">
        <v>6</v>
      </c>
      <c r="J188" s="2">
        <v>0</v>
      </c>
      <c r="K188" s="2">
        <v>0</v>
      </c>
      <c r="L188" s="2"/>
      <c r="M188" s="2">
        <v>0</v>
      </c>
      <c r="N188" s="14"/>
      <c r="O188" s="14"/>
      <c r="P188" s="2">
        <v>225</v>
      </c>
      <c r="Q188" s="2">
        <v>1350</v>
      </c>
      <c r="R188" s="2">
        <v>0</v>
      </c>
      <c r="S188">
        <f t="shared" si="12"/>
        <v>0</v>
      </c>
      <c r="T188" t="s">
        <v>132</v>
      </c>
      <c r="U188">
        <f>_xlfn.XLOOKUP(T188,$Y$2:$Y$45,$AB$2:$AB$45)*(Q188)</f>
        <v>54</v>
      </c>
      <c r="AD188" s="19">
        <v>38660</v>
      </c>
      <c r="AE188">
        <v>0.89360000000000017</v>
      </c>
      <c r="AG188">
        <v>38660</v>
      </c>
      <c r="AH188" s="1">
        <v>0.89360000000000017</v>
      </c>
    </row>
    <row r="189" spans="1:34" x14ac:dyDescent="0.25">
      <c r="A189" s="2">
        <v>37888</v>
      </c>
      <c r="B189" s="13" t="s">
        <v>425</v>
      </c>
      <c r="C189" s="14" t="s">
        <v>39</v>
      </c>
      <c r="D189" s="15">
        <v>45300</v>
      </c>
      <c r="E189" s="2">
        <v>0</v>
      </c>
      <c r="F189" s="14" t="s">
        <v>297</v>
      </c>
      <c r="G189" t="s">
        <v>298</v>
      </c>
      <c r="H189" s="14" t="s">
        <v>93</v>
      </c>
      <c r="I189" s="2">
        <v>1</v>
      </c>
      <c r="J189" s="2">
        <v>0</v>
      </c>
      <c r="K189" s="2">
        <v>0</v>
      </c>
      <c r="L189" s="2"/>
      <c r="M189" s="2">
        <v>0</v>
      </c>
      <c r="N189" s="14"/>
      <c r="O189" s="14"/>
      <c r="P189" s="2">
        <v>155</v>
      </c>
      <c r="Q189" s="2">
        <v>155</v>
      </c>
      <c r="R189" s="2">
        <v>0</v>
      </c>
      <c r="S189">
        <f t="shared" si="12"/>
        <v>0</v>
      </c>
      <c r="T189" t="s">
        <v>132</v>
      </c>
      <c r="U189">
        <f>_xlfn.XLOOKUP(T189,$Y$2:$Y$45,$AB$2:$AB$45)*(Q189)</f>
        <v>6.2</v>
      </c>
      <c r="AD189" s="19">
        <v>38663</v>
      </c>
      <c r="AE189">
        <v>100.78800000000001</v>
      </c>
      <c r="AG189">
        <v>38663</v>
      </c>
      <c r="AH189" s="1">
        <v>100.78800000000001</v>
      </c>
    </row>
    <row r="190" spans="1:34" hidden="1" x14ac:dyDescent="0.25">
      <c r="A190" s="2">
        <v>37894</v>
      </c>
      <c r="B190" s="13" t="s">
        <v>426</v>
      </c>
      <c r="C190" s="14" t="s">
        <v>39</v>
      </c>
      <c r="D190" s="15">
        <v>45294</v>
      </c>
      <c r="E190" s="2">
        <v>0</v>
      </c>
      <c r="F190" s="14" t="s">
        <v>427</v>
      </c>
      <c r="G190" t="s">
        <v>428</v>
      </c>
      <c r="H190" s="14" t="s">
        <v>42</v>
      </c>
      <c r="I190" s="2">
        <v>1</v>
      </c>
      <c r="J190" s="2">
        <v>0</v>
      </c>
      <c r="K190" s="2">
        <v>0</v>
      </c>
      <c r="L190" s="2"/>
      <c r="M190" s="2">
        <v>0</v>
      </c>
      <c r="N190" s="14"/>
      <c r="O190" s="14"/>
      <c r="P190" s="2">
        <v>1038</v>
      </c>
      <c r="Q190" s="2">
        <v>1038</v>
      </c>
      <c r="R190" s="2">
        <v>899.5</v>
      </c>
      <c r="S190">
        <f t="shared" si="12"/>
        <v>899.5</v>
      </c>
      <c r="T190" t="s">
        <v>140</v>
      </c>
      <c r="U190" s="1">
        <f t="shared" ref="U190:U195" si="15">_xlfn.XLOOKUP(T190,$Y$2:$Y$45,$AA$2:$AA$45)*(Q190-S190)</f>
        <v>11.08</v>
      </c>
      <c r="AD190" s="19">
        <v>38670</v>
      </c>
      <c r="AE190">
        <v>4.8450000000000006</v>
      </c>
      <c r="AG190">
        <v>38670</v>
      </c>
      <c r="AH190" s="1">
        <v>4.8450000000000006</v>
      </c>
    </row>
    <row r="191" spans="1:34" hidden="1" x14ac:dyDescent="0.25">
      <c r="A191" s="2">
        <v>37894</v>
      </c>
      <c r="B191" s="13" t="s">
        <v>426</v>
      </c>
      <c r="C191" s="14" t="s">
        <v>39</v>
      </c>
      <c r="D191" s="15">
        <v>45294</v>
      </c>
      <c r="E191" s="2">
        <v>0</v>
      </c>
      <c r="F191" s="14" t="s">
        <v>429</v>
      </c>
      <c r="G191" t="s">
        <v>430</v>
      </c>
      <c r="H191" s="14" t="s">
        <v>42</v>
      </c>
      <c r="I191" s="2">
        <v>1</v>
      </c>
      <c r="J191" s="2">
        <v>0</v>
      </c>
      <c r="K191" s="2">
        <v>0</v>
      </c>
      <c r="L191" s="2"/>
      <c r="M191" s="2">
        <v>0</v>
      </c>
      <c r="N191" s="14"/>
      <c r="O191" s="14"/>
      <c r="P191" s="2">
        <v>18</v>
      </c>
      <c r="Q191" s="2">
        <v>18</v>
      </c>
      <c r="R191" s="2">
        <v>0</v>
      </c>
      <c r="S191">
        <f t="shared" si="12"/>
        <v>0</v>
      </c>
      <c r="T191" t="s">
        <v>140</v>
      </c>
      <c r="U191" s="1">
        <f t="shared" si="15"/>
        <v>1.44</v>
      </c>
      <c r="AD191" s="19">
        <v>38675</v>
      </c>
      <c r="AE191">
        <v>0</v>
      </c>
      <c r="AG191">
        <v>38675</v>
      </c>
      <c r="AH191" s="1">
        <v>0</v>
      </c>
    </row>
    <row r="192" spans="1:34" hidden="1" x14ac:dyDescent="0.25">
      <c r="A192" s="2">
        <v>37894</v>
      </c>
      <c r="B192" s="13" t="s">
        <v>426</v>
      </c>
      <c r="C192" s="14" t="s">
        <v>39</v>
      </c>
      <c r="D192" s="15">
        <v>45294</v>
      </c>
      <c r="E192" s="2">
        <v>0</v>
      </c>
      <c r="F192" s="14" t="s">
        <v>431</v>
      </c>
      <c r="G192" t="s">
        <v>432</v>
      </c>
      <c r="H192" s="14" t="s">
        <v>42</v>
      </c>
      <c r="I192" s="2">
        <v>2</v>
      </c>
      <c r="J192" s="2">
        <v>0</v>
      </c>
      <c r="K192" s="2">
        <v>0</v>
      </c>
      <c r="L192" s="2"/>
      <c r="M192" s="2">
        <v>0</v>
      </c>
      <c r="N192" s="14"/>
      <c r="O192" s="14"/>
      <c r="P192" s="2">
        <v>435</v>
      </c>
      <c r="Q192" s="2">
        <v>870</v>
      </c>
      <c r="R192" s="2">
        <v>332.5</v>
      </c>
      <c r="S192">
        <f t="shared" si="12"/>
        <v>665</v>
      </c>
      <c r="T192" t="s">
        <v>140</v>
      </c>
      <c r="U192" s="1">
        <f t="shared" si="15"/>
        <v>16.399999999999999</v>
      </c>
      <c r="AD192" s="19">
        <v>38676</v>
      </c>
      <c r="AE192">
        <v>-30.72</v>
      </c>
      <c r="AG192">
        <v>38676</v>
      </c>
      <c r="AH192" s="1">
        <v>-30.72</v>
      </c>
    </row>
    <row r="193" spans="1:34" hidden="1" x14ac:dyDescent="0.25">
      <c r="A193" s="2">
        <v>37894</v>
      </c>
      <c r="B193" s="13" t="s">
        <v>426</v>
      </c>
      <c r="C193" s="14" t="s">
        <v>39</v>
      </c>
      <c r="D193" s="15">
        <v>45294</v>
      </c>
      <c r="E193" s="2">
        <v>0</v>
      </c>
      <c r="F193" s="14" t="s">
        <v>433</v>
      </c>
      <c r="G193" t="s">
        <v>434</v>
      </c>
      <c r="H193" s="14" t="s">
        <v>42</v>
      </c>
      <c r="I193" s="2">
        <v>1</v>
      </c>
      <c r="J193" s="2">
        <v>0</v>
      </c>
      <c r="K193" s="2">
        <v>0</v>
      </c>
      <c r="L193" s="2"/>
      <c r="M193" s="2">
        <v>0</v>
      </c>
      <c r="N193" s="14"/>
      <c r="O193" s="14"/>
      <c r="P193" s="2">
        <v>1323</v>
      </c>
      <c r="Q193" s="2">
        <v>1323</v>
      </c>
      <c r="R193" s="2">
        <v>1162</v>
      </c>
      <c r="S193">
        <f t="shared" si="12"/>
        <v>1162</v>
      </c>
      <c r="T193" t="s">
        <v>140</v>
      </c>
      <c r="U193" s="1">
        <f t="shared" si="15"/>
        <v>12.88</v>
      </c>
      <c r="AD193" s="19">
        <v>38678</v>
      </c>
      <c r="AE193">
        <v>0</v>
      </c>
      <c r="AG193">
        <v>38678</v>
      </c>
      <c r="AH193" s="1">
        <v>0</v>
      </c>
    </row>
    <row r="194" spans="1:34" hidden="1" x14ac:dyDescent="0.25">
      <c r="A194" s="2">
        <v>37914</v>
      </c>
      <c r="B194" s="13" t="s">
        <v>435</v>
      </c>
      <c r="C194" s="14" t="s">
        <v>39</v>
      </c>
      <c r="D194" s="15">
        <v>45293</v>
      </c>
      <c r="E194" s="2">
        <v>0</v>
      </c>
      <c r="F194" s="14" t="s">
        <v>436</v>
      </c>
      <c r="G194" t="s">
        <v>437</v>
      </c>
      <c r="H194" s="14" t="s">
        <v>173</v>
      </c>
      <c r="I194" s="2">
        <v>1</v>
      </c>
      <c r="J194" s="2">
        <v>0</v>
      </c>
      <c r="K194" s="2">
        <v>0</v>
      </c>
      <c r="L194" s="2"/>
      <c r="M194" s="2">
        <v>0</v>
      </c>
      <c r="N194" s="14"/>
      <c r="O194" s="14"/>
      <c r="P194" s="2">
        <v>36.659999999999997</v>
      </c>
      <c r="Q194" s="2">
        <v>36.659999999999997</v>
      </c>
      <c r="R194" s="2">
        <v>35.78</v>
      </c>
      <c r="S194">
        <f t="shared" ref="S194:S257" si="16">R194*I194</f>
        <v>35.78</v>
      </c>
      <c r="T194" t="s">
        <v>140</v>
      </c>
      <c r="U194" s="1">
        <f t="shared" si="15"/>
        <v>7.0399999999999643E-2</v>
      </c>
      <c r="AD194" s="19">
        <v>38681</v>
      </c>
      <c r="AE194">
        <v>3.5424000000000002</v>
      </c>
      <c r="AG194">
        <v>38681</v>
      </c>
      <c r="AH194" s="1">
        <v>3.5424000000000002</v>
      </c>
    </row>
    <row r="195" spans="1:34" hidden="1" x14ac:dyDescent="0.25">
      <c r="A195" s="2">
        <v>37915</v>
      </c>
      <c r="B195" s="13" t="s">
        <v>438</v>
      </c>
      <c r="C195" s="14" t="s">
        <v>39</v>
      </c>
      <c r="D195" s="15">
        <v>45295</v>
      </c>
      <c r="E195" s="2">
        <v>0</v>
      </c>
      <c r="F195" s="14" t="s">
        <v>49</v>
      </c>
      <c r="G195" t="s">
        <v>225</v>
      </c>
      <c r="H195" s="14" t="s">
        <v>42</v>
      </c>
      <c r="I195" s="2">
        <v>4</v>
      </c>
      <c r="J195" s="2">
        <v>0</v>
      </c>
      <c r="K195" s="2">
        <v>0</v>
      </c>
      <c r="L195" s="2"/>
      <c r="M195" s="2">
        <v>0</v>
      </c>
      <c r="N195" s="14"/>
      <c r="O195" s="14"/>
      <c r="P195" s="2">
        <v>126.44</v>
      </c>
      <c r="Q195" s="2">
        <v>505.76</v>
      </c>
      <c r="R195" s="2">
        <v>105.37</v>
      </c>
      <c r="S195">
        <f t="shared" si="16"/>
        <v>421.48</v>
      </c>
      <c r="T195" t="s">
        <v>132</v>
      </c>
      <c r="U195" s="1">
        <f t="shared" si="15"/>
        <v>6.7423999999999982</v>
      </c>
      <c r="AD195" s="19">
        <v>38682</v>
      </c>
      <c r="AE195">
        <v>119.19720000000002</v>
      </c>
      <c r="AG195">
        <v>38682</v>
      </c>
      <c r="AH195" s="1">
        <v>119.19720000000002</v>
      </c>
    </row>
    <row r="196" spans="1:34" x14ac:dyDescent="0.25">
      <c r="A196" s="2">
        <v>37929</v>
      </c>
      <c r="B196" s="13" t="s">
        <v>439</v>
      </c>
      <c r="C196" s="14" t="s">
        <v>39</v>
      </c>
      <c r="D196" s="15">
        <v>45303</v>
      </c>
      <c r="E196" s="2">
        <v>1368</v>
      </c>
      <c r="F196" s="14" t="s">
        <v>317</v>
      </c>
      <c r="G196" t="s">
        <v>318</v>
      </c>
      <c r="H196" s="14" t="s">
        <v>126</v>
      </c>
      <c r="I196" s="2">
        <v>54</v>
      </c>
      <c r="J196" s="2">
        <v>10.5</v>
      </c>
      <c r="K196" s="2">
        <v>4.5</v>
      </c>
      <c r="L196" s="2"/>
      <c r="M196" s="2">
        <v>567</v>
      </c>
      <c r="N196" s="14"/>
      <c r="O196" s="14"/>
      <c r="P196" s="2">
        <v>15.25</v>
      </c>
      <c r="Q196" s="2">
        <v>823.5</v>
      </c>
      <c r="R196" s="2">
        <v>0</v>
      </c>
      <c r="S196">
        <f t="shared" si="16"/>
        <v>0</v>
      </c>
      <c r="T196" t="s">
        <v>1874</v>
      </c>
      <c r="U196">
        <f>_xlfn.XLOOKUP(T196,$Y$2:$Y$45,$AB$2:$AB$45)*(Q196)</f>
        <v>32.94</v>
      </c>
      <c r="AD196" s="19">
        <v>38685</v>
      </c>
      <c r="AE196">
        <v>36.171199999999992</v>
      </c>
      <c r="AG196">
        <v>38685</v>
      </c>
      <c r="AH196" s="1">
        <v>36.171199999999992</v>
      </c>
    </row>
    <row r="197" spans="1:34" x14ac:dyDescent="0.25">
      <c r="A197" s="2">
        <v>37937</v>
      </c>
      <c r="B197" s="13" t="s">
        <v>440</v>
      </c>
      <c r="C197" s="14" t="s">
        <v>39</v>
      </c>
      <c r="D197" s="15">
        <v>45294</v>
      </c>
      <c r="E197" s="2">
        <v>-2511.8000000000002</v>
      </c>
      <c r="F197" s="14" t="s">
        <v>317</v>
      </c>
      <c r="G197" t="s">
        <v>318</v>
      </c>
      <c r="H197" s="14" t="s">
        <v>126</v>
      </c>
      <c r="I197" s="2">
        <v>12</v>
      </c>
      <c r="J197" s="2">
        <v>10.5</v>
      </c>
      <c r="K197" s="2">
        <v>4.5</v>
      </c>
      <c r="L197" s="2"/>
      <c r="M197" s="2">
        <v>126</v>
      </c>
      <c r="N197" s="14"/>
      <c r="O197" s="14"/>
      <c r="P197" s="2">
        <v>15.25</v>
      </c>
      <c r="Q197" s="2">
        <v>183</v>
      </c>
      <c r="R197" s="2">
        <v>0</v>
      </c>
      <c r="S197">
        <f t="shared" si="16"/>
        <v>0</v>
      </c>
      <c r="T197" t="s">
        <v>1874</v>
      </c>
      <c r="U197">
        <f>_xlfn.XLOOKUP(T197,$Y$2:$Y$45,$AB$2:$AB$45)*(Q197)</f>
        <v>7.32</v>
      </c>
      <c r="AD197" s="19">
        <v>38689</v>
      </c>
      <c r="AE197">
        <v>28.095199999999998</v>
      </c>
      <c r="AG197">
        <v>38689</v>
      </c>
      <c r="AH197" s="1">
        <v>28.095199999999998</v>
      </c>
    </row>
    <row r="198" spans="1:34" x14ac:dyDescent="0.25">
      <c r="A198" s="2">
        <v>37937</v>
      </c>
      <c r="B198" s="13" t="s">
        <v>440</v>
      </c>
      <c r="C198" s="14" t="s">
        <v>39</v>
      </c>
      <c r="D198" s="15">
        <v>45294</v>
      </c>
      <c r="E198" s="2">
        <v>-2511.8000000000002</v>
      </c>
      <c r="F198" s="14" t="s">
        <v>441</v>
      </c>
      <c r="G198" t="s">
        <v>442</v>
      </c>
      <c r="H198" s="14" t="s">
        <v>126</v>
      </c>
      <c r="I198" s="2">
        <v>1</v>
      </c>
      <c r="J198" s="2">
        <v>300</v>
      </c>
      <c r="K198" s="2">
        <v>15</v>
      </c>
      <c r="L198" s="2"/>
      <c r="M198" s="2">
        <v>300</v>
      </c>
      <c r="N198" s="14"/>
      <c r="O198" s="14"/>
      <c r="P198" s="2">
        <v>300</v>
      </c>
      <c r="Q198" s="2">
        <v>300</v>
      </c>
      <c r="R198" s="2">
        <v>0</v>
      </c>
      <c r="S198">
        <f t="shared" si="16"/>
        <v>0</v>
      </c>
      <c r="T198" t="s">
        <v>1874</v>
      </c>
      <c r="U198">
        <f>_xlfn.XLOOKUP(T198,$Y$2:$Y$45,$AB$2:$AB$45)*(Q198)</f>
        <v>12</v>
      </c>
      <c r="AD198" s="19">
        <v>38691</v>
      </c>
      <c r="AE198">
        <v>38.281599999999997</v>
      </c>
      <c r="AG198">
        <v>38691</v>
      </c>
      <c r="AH198" s="1">
        <v>38.281599999999997</v>
      </c>
    </row>
    <row r="199" spans="1:34" hidden="1" x14ac:dyDescent="0.25">
      <c r="A199" s="2">
        <v>37950</v>
      </c>
      <c r="B199" s="13" t="s">
        <v>443</v>
      </c>
      <c r="C199" s="14" t="s">
        <v>39</v>
      </c>
      <c r="D199" s="15">
        <v>45300</v>
      </c>
      <c r="E199" s="2">
        <v>0</v>
      </c>
      <c r="F199" s="14" t="s">
        <v>444</v>
      </c>
      <c r="G199" t="s">
        <v>445</v>
      </c>
      <c r="H199" s="14" t="s">
        <v>42</v>
      </c>
      <c r="I199" s="2">
        <v>1</v>
      </c>
      <c r="J199" s="2">
        <v>0</v>
      </c>
      <c r="K199" s="2">
        <v>0</v>
      </c>
      <c r="L199" s="2"/>
      <c r="M199" s="2">
        <v>0</v>
      </c>
      <c r="N199" s="14"/>
      <c r="O199" s="14"/>
      <c r="P199" s="2">
        <v>677</v>
      </c>
      <c r="Q199" s="2">
        <v>677</v>
      </c>
      <c r="R199" s="2">
        <v>554.65</v>
      </c>
      <c r="S199">
        <f t="shared" si="16"/>
        <v>554.65</v>
      </c>
      <c r="T199" t="s">
        <v>132</v>
      </c>
      <c r="U199" s="1">
        <f>_xlfn.XLOOKUP(T199,$Y$2:$Y$45,$AA$2:$AA$45)*(Q199-S199)</f>
        <v>9.788000000000002</v>
      </c>
      <c r="AD199" s="19">
        <v>38693</v>
      </c>
      <c r="AE199">
        <v>58.51639999999999</v>
      </c>
      <c r="AG199">
        <v>38693</v>
      </c>
      <c r="AH199" s="1">
        <v>58.51639999999999</v>
      </c>
    </row>
    <row r="200" spans="1:34" hidden="1" x14ac:dyDescent="0.25">
      <c r="A200" s="2">
        <v>37983</v>
      </c>
      <c r="B200" s="13" t="s">
        <v>446</v>
      </c>
      <c r="C200" s="14" t="s">
        <v>39</v>
      </c>
      <c r="D200" s="15">
        <v>45306</v>
      </c>
      <c r="E200" s="2">
        <v>0</v>
      </c>
      <c r="F200" s="14" t="s">
        <v>447</v>
      </c>
      <c r="G200" t="s">
        <v>448</v>
      </c>
      <c r="H200" s="14" t="s">
        <v>42</v>
      </c>
      <c r="I200" s="2">
        <v>1</v>
      </c>
      <c r="J200" s="2">
        <v>0</v>
      </c>
      <c r="K200" s="2">
        <v>0</v>
      </c>
      <c r="L200" s="2"/>
      <c r="M200" s="2">
        <v>0</v>
      </c>
      <c r="N200" s="14"/>
      <c r="O200" s="14"/>
      <c r="P200" s="2">
        <v>61</v>
      </c>
      <c r="Q200" s="2">
        <v>61</v>
      </c>
      <c r="R200" s="2">
        <v>49.89</v>
      </c>
      <c r="S200">
        <f t="shared" si="16"/>
        <v>49.89</v>
      </c>
      <c r="T200" t="s">
        <v>1874</v>
      </c>
      <c r="U200" s="1">
        <f>_xlfn.XLOOKUP(T200,$Y$2:$Y$45,$AA$2:$AA$45)*(Q200-S200)</f>
        <v>0.88879999999999992</v>
      </c>
      <c r="AD200" s="19">
        <v>38694</v>
      </c>
      <c r="AE200">
        <v>45.479199999999999</v>
      </c>
      <c r="AG200">
        <v>38694</v>
      </c>
      <c r="AH200" s="1">
        <v>45.479199999999999</v>
      </c>
    </row>
    <row r="201" spans="1:34" x14ac:dyDescent="0.25">
      <c r="A201" s="2">
        <v>37992</v>
      </c>
      <c r="B201" s="13" t="s">
        <v>449</v>
      </c>
      <c r="C201" s="14" t="s">
        <v>39</v>
      </c>
      <c r="D201" s="15">
        <v>45295</v>
      </c>
      <c r="E201" s="2">
        <v>0</v>
      </c>
      <c r="F201" s="14" t="s">
        <v>260</v>
      </c>
      <c r="G201" t="s">
        <v>450</v>
      </c>
      <c r="H201" s="14" t="s">
        <v>93</v>
      </c>
      <c r="I201" s="2">
        <v>4</v>
      </c>
      <c r="J201" s="2">
        <v>0</v>
      </c>
      <c r="K201" s="2">
        <v>0</v>
      </c>
      <c r="L201" s="2"/>
      <c r="M201" s="2">
        <v>0</v>
      </c>
      <c r="N201" s="14"/>
      <c r="O201" s="14"/>
      <c r="P201" s="2">
        <v>195</v>
      </c>
      <c r="Q201" s="2">
        <v>780</v>
      </c>
      <c r="R201" s="2">
        <v>0</v>
      </c>
      <c r="S201">
        <f t="shared" si="16"/>
        <v>0</v>
      </c>
      <c r="T201" t="s">
        <v>184</v>
      </c>
      <c r="U201">
        <f>_xlfn.XLOOKUP(T201,$Y$2:$Y$45,$AB$2:$AB$45)*(Q201)</f>
        <v>0</v>
      </c>
      <c r="AD201" s="19">
        <v>38695</v>
      </c>
      <c r="AE201">
        <v>30.680800000000001</v>
      </c>
      <c r="AG201">
        <v>38695</v>
      </c>
      <c r="AH201" s="1">
        <v>30.680800000000001</v>
      </c>
    </row>
    <row r="202" spans="1:34" hidden="1" x14ac:dyDescent="0.25">
      <c r="A202" s="2">
        <v>37992</v>
      </c>
      <c r="B202" s="13" t="s">
        <v>449</v>
      </c>
      <c r="C202" s="14" t="s">
        <v>39</v>
      </c>
      <c r="D202" s="15">
        <v>45295</v>
      </c>
      <c r="E202" s="2">
        <v>0</v>
      </c>
      <c r="F202" s="14" t="s">
        <v>451</v>
      </c>
      <c r="G202" t="s">
        <v>452</v>
      </c>
      <c r="H202" s="14" t="s">
        <v>42</v>
      </c>
      <c r="I202" s="2">
        <v>2</v>
      </c>
      <c r="J202" s="2">
        <v>0</v>
      </c>
      <c r="K202" s="2">
        <v>0</v>
      </c>
      <c r="L202" s="2"/>
      <c r="M202" s="2">
        <v>0</v>
      </c>
      <c r="N202" s="14"/>
      <c r="O202" s="14"/>
      <c r="P202" s="2">
        <v>622.89</v>
      </c>
      <c r="Q202" s="2">
        <v>1245.78</v>
      </c>
      <c r="R202" s="2">
        <v>603.09</v>
      </c>
      <c r="S202">
        <f t="shared" si="16"/>
        <v>1206.18</v>
      </c>
      <c r="T202" t="s">
        <v>184</v>
      </c>
      <c r="U202" s="1">
        <f>_xlfn.XLOOKUP(T202,$Y$2:$Y$45,$AA$2:$AA$45)*(Q202-S202)</f>
        <v>0</v>
      </c>
      <c r="AD202" s="19">
        <v>38696</v>
      </c>
      <c r="AE202">
        <v>75.700999999999993</v>
      </c>
      <c r="AG202">
        <v>38696</v>
      </c>
      <c r="AH202" s="1">
        <v>75.700999999999993</v>
      </c>
    </row>
    <row r="203" spans="1:34" x14ac:dyDescent="0.25">
      <c r="A203" s="2">
        <v>38002</v>
      </c>
      <c r="B203" s="13" t="s">
        <v>453</v>
      </c>
      <c r="C203" s="14" t="s">
        <v>39</v>
      </c>
      <c r="D203" s="15">
        <v>45301</v>
      </c>
      <c r="E203" s="2">
        <v>450</v>
      </c>
      <c r="F203" s="14" t="s">
        <v>152</v>
      </c>
      <c r="G203" t="s">
        <v>153</v>
      </c>
      <c r="H203" s="14" t="s">
        <v>93</v>
      </c>
      <c r="I203" s="2">
        <v>24</v>
      </c>
      <c r="J203" s="2">
        <v>0</v>
      </c>
      <c r="K203" s="2">
        <v>0</v>
      </c>
      <c r="L203" s="2"/>
      <c r="M203" s="2">
        <v>0</v>
      </c>
      <c r="N203" s="14"/>
      <c r="O203" s="14"/>
      <c r="P203" s="2">
        <v>240</v>
      </c>
      <c r="Q203" s="2">
        <v>5760</v>
      </c>
      <c r="R203" s="2">
        <v>0</v>
      </c>
      <c r="S203">
        <f t="shared" si="16"/>
        <v>0</v>
      </c>
      <c r="T203" t="s">
        <v>132</v>
      </c>
      <c r="U203">
        <f t="shared" ref="U203:U208" si="17">_xlfn.XLOOKUP(T203,$Y$2:$Y$45,$AB$2:$AB$45)*(Q203)</f>
        <v>230.4</v>
      </c>
      <c r="AD203" s="19">
        <v>38699</v>
      </c>
      <c r="AE203">
        <v>12</v>
      </c>
      <c r="AG203">
        <v>38699</v>
      </c>
      <c r="AH203" s="1">
        <v>12</v>
      </c>
    </row>
    <row r="204" spans="1:34" x14ac:dyDescent="0.25">
      <c r="A204" s="2">
        <v>38002</v>
      </c>
      <c r="B204" s="13" t="s">
        <v>453</v>
      </c>
      <c r="C204" s="14" t="s">
        <v>39</v>
      </c>
      <c r="D204" s="15">
        <v>45301</v>
      </c>
      <c r="E204" s="2">
        <v>450</v>
      </c>
      <c r="F204" s="14" t="s">
        <v>154</v>
      </c>
      <c r="G204" t="s">
        <v>155</v>
      </c>
      <c r="H204" s="14" t="s">
        <v>93</v>
      </c>
      <c r="I204" s="2">
        <v>6</v>
      </c>
      <c r="J204" s="2">
        <v>0</v>
      </c>
      <c r="K204" s="2">
        <v>0</v>
      </c>
      <c r="L204" s="2"/>
      <c r="M204" s="2">
        <v>0</v>
      </c>
      <c r="N204" s="14"/>
      <c r="O204" s="14"/>
      <c r="P204" s="2">
        <v>275</v>
      </c>
      <c r="Q204" s="2">
        <v>1650</v>
      </c>
      <c r="R204" s="2">
        <v>0</v>
      </c>
      <c r="S204">
        <f t="shared" si="16"/>
        <v>0</v>
      </c>
      <c r="T204" t="s">
        <v>132</v>
      </c>
      <c r="U204">
        <f t="shared" si="17"/>
        <v>66</v>
      </c>
      <c r="AD204" s="19">
        <v>38707</v>
      </c>
      <c r="AE204">
        <v>0.85839999999999972</v>
      </c>
      <c r="AG204">
        <v>38707</v>
      </c>
      <c r="AH204" s="1">
        <v>0.85839999999999972</v>
      </c>
    </row>
    <row r="205" spans="1:34" x14ac:dyDescent="0.25">
      <c r="A205" s="2">
        <v>38045</v>
      </c>
      <c r="B205" s="13" t="s">
        <v>454</v>
      </c>
      <c r="C205" s="14" t="s">
        <v>39</v>
      </c>
      <c r="D205" s="15">
        <v>45303</v>
      </c>
      <c r="E205" s="2">
        <v>0</v>
      </c>
      <c r="F205" s="14" t="s">
        <v>154</v>
      </c>
      <c r="G205" t="s">
        <v>155</v>
      </c>
      <c r="H205" s="14" t="s">
        <v>93</v>
      </c>
      <c r="I205" s="2">
        <v>10</v>
      </c>
      <c r="J205" s="2">
        <v>0</v>
      </c>
      <c r="K205" s="2">
        <v>0</v>
      </c>
      <c r="L205" s="2"/>
      <c r="M205" s="2">
        <v>0</v>
      </c>
      <c r="N205" s="14"/>
      <c r="O205" s="14"/>
      <c r="P205" s="2">
        <v>150</v>
      </c>
      <c r="Q205" s="2">
        <v>1500</v>
      </c>
      <c r="R205" s="2">
        <v>0</v>
      </c>
      <c r="S205">
        <f t="shared" si="16"/>
        <v>0</v>
      </c>
      <c r="T205" t="s">
        <v>132</v>
      </c>
      <c r="U205">
        <f t="shared" si="17"/>
        <v>60</v>
      </c>
      <c r="AD205" s="19">
        <v>38708</v>
      </c>
      <c r="AE205">
        <v>0</v>
      </c>
      <c r="AG205">
        <v>38708</v>
      </c>
      <c r="AH205" s="1">
        <v>0</v>
      </c>
    </row>
    <row r="206" spans="1:34" x14ac:dyDescent="0.25">
      <c r="A206" s="2">
        <v>38045</v>
      </c>
      <c r="B206" s="13" t="s">
        <v>454</v>
      </c>
      <c r="C206" s="14" t="s">
        <v>39</v>
      </c>
      <c r="D206" s="15">
        <v>45303</v>
      </c>
      <c r="E206" s="2">
        <v>0</v>
      </c>
      <c r="F206" s="14" t="s">
        <v>152</v>
      </c>
      <c r="G206" t="s">
        <v>153</v>
      </c>
      <c r="H206" s="14" t="s">
        <v>93</v>
      </c>
      <c r="I206" s="2">
        <v>40</v>
      </c>
      <c r="J206" s="2">
        <v>0</v>
      </c>
      <c r="K206" s="2">
        <v>0</v>
      </c>
      <c r="L206" s="2"/>
      <c r="M206" s="2">
        <v>0</v>
      </c>
      <c r="N206" s="14"/>
      <c r="O206" s="14"/>
      <c r="P206" s="2">
        <v>150</v>
      </c>
      <c r="Q206" s="2">
        <v>6000</v>
      </c>
      <c r="R206" s="2">
        <v>0</v>
      </c>
      <c r="S206">
        <f t="shared" si="16"/>
        <v>0</v>
      </c>
      <c r="T206" t="s">
        <v>132</v>
      </c>
      <c r="U206">
        <f t="shared" si="17"/>
        <v>240</v>
      </c>
      <c r="AD206" s="19">
        <v>38711</v>
      </c>
      <c r="AE206">
        <v>2.1800000000000002</v>
      </c>
      <c r="AG206">
        <v>38711</v>
      </c>
      <c r="AH206" s="1">
        <v>2.1800000000000002</v>
      </c>
    </row>
    <row r="207" spans="1:34" x14ac:dyDescent="0.25">
      <c r="A207" s="2">
        <v>38045</v>
      </c>
      <c r="B207" s="13" t="s">
        <v>454</v>
      </c>
      <c r="C207" s="14" t="s">
        <v>39</v>
      </c>
      <c r="D207" s="15">
        <v>45303</v>
      </c>
      <c r="E207" s="2">
        <v>0</v>
      </c>
      <c r="F207" s="14" t="s">
        <v>455</v>
      </c>
      <c r="G207" t="s">
        <v>456</v>
      </c>
      <c r="H207" s="14" t="s">
        <v>93</v>
      </c>
      <c r="I207" s="2">
        <v>6</v>
      </c>
      <c r="J207" s="2">
        <v>0</v>
      </c>
      <c r="K207" s="2">
        <v>0</v>
      </c>
      <c r="L207" s="2"/>
      <c r="M207" s="2">
        <v>0</v>
      </c>
      <c r="N207" s="14"/>
      <c r="O207" s="14"/>
      <c r="P207" s="2">
        <v>120</v>
      </c>
      <c r="Q207" s="2">
        <v>720</v>
      </c>
      <c r="R207" s="2">
        <v>0</v>
      </c>
      <c r="S207">
        <f t="shared" si="16"/>
        <v>0</v>
      </c>
      <c r="T207" t="s">
        <v>132</v>
      </c>
      <c r="U207">
        <f t="shared" si="17"/>
        <v>28.8</v>
      </c>
      <c r="AD207" s="19">
        <v>38712</v>
      </c>
      <c r="AE207">
        <v>17.778400000000005</v>
      </c>
      <c r="AG207">
        <v>38712</v>
      </c>
      <c r="AH207" s="1">
        <v>17.778400000000005</v>
      </c>
    </row>
    <row r="208" spans="1:34" x14ac:dyDescent="0.25">
      <c r="A208" s="2">
        <v>38066</v>
      </c>
      <c r="B208" s="13" t="s">
        <v>457</v>
      </c>
      <c r="C208" s="14" t="s">
        <v>39</v>
      </c>
      <c r="D208" s="15">
        <v>45300</v>
      </c>
      <c r="E208" s="2">
        <v>0</v>
      </c>
      <c r="F208" s="14" t="s">
        <v>152</v>
      </c>
      <c r="G208" t="s">
        <v>153</v>
      </c>
      <c r="H208" s="14" t="s">
        <v>93</v>
      </c>
      <c r="I208" s="2">
        <v>1</v>
      </c>
      <c r="J208" s="2">
        <v>0</v>
      </c>
      <c r="K208" s="2">
        <v>0</v>
      </c>
      <c r="L208" s="2"/>
      <c r="M208" s="2">
        <v>0</v>
      </c>
      <c r="N208" s="14"/>
      <c r="O208" s="14"/>
      <c r="P208" s="2">
        <v>240</v>
      </c>
      <c r="Q208" s="2">
        <v>240</v>
      </c>
      <c r="R208" s="2">
        <v>0</v>
      </c>
      <c r="S208">
        <f t="shared" si="16"/>
        <v>0</v>
      </c>
      <c r="T208" t="s">
        <v>1874</v>
      </c>
      <c r="U208">
        <f t="shared" si="17"/>
        <v>9.6</v>
      </c>
      <c r="AD208" s="19">
        <v>38717</v>
      </c>
      <c r="AE208">
        <v>0</v>
      </c>
      <c r="AG208">
        <v>38717</v>
      </c>
      <c r="AH208" s="1">
        <v>0</v>
      </c>
    </row>
    <row r="209" spans="1:34" hidden="1" x14ac:dyDescent="0.25">
      <c r="A209" s="2">
        <v>38066</v>
      </c>
      <c r="B209" s="13" t="s">
        <v>457</v>
      </c>
      <c r="C209" s="14" t="s">
        <v>39</v>
      </c>
      <c r="D209" s="15">
        <v>45300</v>
      </c>
      <c r="E209" s="2">
        <v>0</v>
      </c>
      <c r="F209" s="14" t="s">
        <v>458</v>
      </c>
      <c r="G209" t="s">
        <v>459</v>
      </c>
      <c r="H209" s="14" t="s">
        <v>42</v>
      </c>
      <c r="I209" s="2">
        <v>2</v>
      </c>
      <c r="J209" s="2">
        <v>0</v>
      </c>
      <c r="K209" s="2">
        <v>0</v>
      </c>
      <c r="L209" s="2"/>
      <c r="M209" s="2">
        <v>0</v>
      </c>
      <c r="N209" s="14"/>
      <c r="O209" s="14"/>
      <c r="P209" s="2">
        <v>348</v>
      </c>
      <c r="Q209" s="2">
        <v>696</v>
      </c>
      <c r="R209" s="2">
        <v>283.44</v>
      </c>
      <c r="S209">
        <f t="shared" si="16"/>
        <v>566.88</v>
      </c>
      <c r="T209" t="s">
        <v>1874</v>
      </c>
      <c r="U209" s="1">
        <f>_xlfn.XLOOKUP(T209,$Y$2:$Y$45,$AA$2:$AA$45)*(Q209-S209)</f>
        <v>10.329600000000001</v>
      </c>
      <c r="AD209" s="19">
        <v>38722</v>
      </c>
      <c r="AE209">
        <v>244.8</v>
      </c>
      <c r="AG209">
        <v>38722</v>
      </c>
      <c r="AH209" s="1">
        <v>244.8</v>
      </c>
    </row>
    <row r="210" spans="1:34" x14ac:dyDescent="0.25">
      <c r="A210" s="2">
        <v>38070</v>
      </c>
      <c r="B210" s="13" t="s">
        <v>460</v>
      </c>
      <c r="C210" s="14" t="s">
        <v>39</v>
      </c>
      <c r="D210" s="15">
        <v>45310</v>
      </c>
      <c r="E210" s="2">
        <v>9153.5400000000009</v>
      </c>
      <c r="F210" s="14" t="s">
        <v>317</v>
      </c>
      <c r="G210" t="s">
        <v>318</v>
      </c>
      <c r="H210" s="14" t="s">
        <v>126</v>
      </c>
      <c r="I210" s="2">
        <v>75</v>
      </c>
      <c r="J210" s="2">
        <v>9.5</v>
      </c>
      <c r="K210" s="2">
        <v>4.5</v>
      </c>
      <c r="L210" s="2"/>
      <c r="M210" s="2">
        <v>712.5</v>
      </c>
      <c r="N210" s="14"/>
      <c r="O210" s="14"/>
      <c r="P210" s="2">
        <v>15.75</v>
      </c>
      <c r="Q210" s="2">
        <v>1181.25</v>
      </c>
      <c r="R210" s="2">
        <v>0</v>
      </c>
      <c r="S210">
        <f t="shared" si="16"/>
        <v>0</v>
      </c>
      <c r="T210" t="s">
        <v>90</v>
      </c>
      <c r="U210">
        <f t="shared" ref="U210:U215" si="18">_xlfn.XLOOKUP(T210,$Y$2:$Y$45,$AB$2:$AB$45)*(Q210)</f>
        <v>47.25</v>
      </c>
      <c r="AD210" s="19">
        <v>38723</v>
      </c>
      <c r="AE210">
        <v>246</v>
      </c>
      <c r="AG210">
        <v>38723</v>
      </c>
      <c r="AH210" s="1">
        <v>246</v>
      </c>
    </row>
    <row r="211" spans="1:34" x14ac:dyDescent="0.25">
      <c r="A211" s="2">
        <v>38070</v>
      </c>
      <c r="B211" s="13" t="s">
        <v>460</v>
      </c>
      <c r="C211" s="14" t="s">
        <v>39</v>
      </c>
      <c r="D211" s="15">
        <v>45310</v>
      </c>
      <c r="E211" s="2">
        <v>9153.5400000000009</v>
      </c>
      <c r="F211" s="14" t="s">
        <v>441</v>
      </c>
      <c r="G211" t="s">
        <v>442</v>
      </c>
      <c r="H211" s="14" t="s">
        <v>126</v>
      </c>
      <c r="I211" s="2">
        <v>1</v>
      </c>
      <c r="J211" s="2">
        <v>300</v>
      </c>
      <c r="K211" s="2">
        <v>15</v>
      </c>
      <c r="L211" s="2"/>
      <c r="M211" s="2">
        <v>300</v>
      </c>
      <c r="N211" s="14"/>
      <c r="O211" s="14"/>
      <c r="P211" s="2">
        <v>300</v>
      </c>
      <c r="Q211" s="2">
        <v>300</v>
      </c>
      <c r="R211" s="2">
        <v>0</v>
      </c>
      <c r="S211">
        <f t="shared" si="16"/>
        <v>0</v>
      </c>
      <c r="T211" t="s">
        <v>90</v>
      </c>
      <c r="U211">
        <f t="shared" si="18"/>
        <v>12</v>
      </c>
      <c r="AD211" s="19">
        <v>38724</v>
      </c>
      <c r="AE211">
        <v>7.6567999999999845</v>
      </c>
      <c r="AG211">
        <v>38724</v>
      </c>
      <c r="AH211" s="1">
        <v>7.6567999999999845</v>
      </c>
    </row>
    <row r="212" spans="1:34" hidden="1" x14ac:dyDescent="0.25">
      <c r="A212" s="2">
        <v>38070</v>
      </c>
      <c r="B212" s="13" t="s">
        <v>460</v>
      </c>
      <c r="C212" s="14" t="s">
        <v>39</v>
      </c>
      <c r="D212" s="15">
        <v>45310</v>
      </c>
      <c r="E212" s="2">
        <v>9153.5400000000009</v>
      </c>
      <c r="F212" s="14" t="s">
        <v>461</v>
      </c>
      <c r="G212" t="s">
        <v>462</v>
      </c>
      <c r="H212" s="14" t="s">
        <v>104</v>
      </c>
      <c r="I212" s="2">
        <v>1</v>
      </c>
      <c r="J212" s="2">
        <v>625</v>
      </c>
      <c r="K212" s="2">
        <v>0</v>
      </c>
      <c r="L212" s="2"/>
      <c r="M212" s="2">
        <v>625</v>
      </c>
      <c r="N212" s="14"/>
      <c r="O212" s="14"/>
      <c r="P212" s="2">
        <v>315</v>
      </c>
      <c r="Q212" s="2">
        <v>315</v>
      </c>
      <c r="R212" s="2">
        <v>0</v>
      </c>
      <c r="S212">
        <f t="shared" si="16"/>
        <v>0</v>
      </c>
      <c r="T212" t="s">
        <v>90</v>
      </c>
      <c r="U212">
        <f t="shared" si="18"/>
        <v>12.6</v>
      </c>
      <c r="AD212" s="19">
        <v>38725</v>
      </c>
      <c r="AE212">
        <v>0</v>
      </c>
      <c r="AG212">
        <v>38725</v>
      </c>
      <c r="AH212" s="1">
        <v>0</v>
      </c>
    </row>
    <row r="213" spans="1:34" hidden="1" x14ac:dyDescent="0.25">
      <c r="A213" s="2">
        <v>38070</v>
      </c>
      <c r="B213" s="13" t="s">
        <v>460</v>
      </c>
      <c r="C213" s="14" t="s">
        <v>39</v>
      </c>
      <c r="D213" s="15">
        <v>45310</v>
      </c>
      <c r="E213" s="2">
        <v>9153.5400000000009</v>
      </c>
      <c r="F213" s="14" t="s">
        <v>315</v>
      </c>
      <c r="G213" t="s">
        <v>316</v>
      </c>
      <c r="H213" s="14" t="s">
        <v>104</v>
      </c>
      <c r="I213" s="2">
        <v>2</v>
      </c>
      <c r="J213" s="2">
        <v>0</v>
      </c>
      <c r="K213" s="2">
        <v>0</v>
      </c>
      <c r="L213" s="2"/>
      <c r="M213" s="2">
        <v>0</v>
      </c>
      <c r="N213" s="14"/>
      <c r="O213" s="14"/>
      <c r="P213" s="2">
        <v>3000</v>
      </c>
      <c r="Q213" s="2">
        <v>6000</v>
      </c>
      <c r="R213" s="2">
        <v>0</v>
      </c>
      <c r="S213">
        <f t="shared" si="16"/>
        <v>0</v>
      </c>
      <c r="T213" t="s">
        <v>90</v>
      </c>
      <c r="U213">
        <f t="shared" si="18"/>
        <v>240</v>
      </c>
      <c r="AD213" s="19">
        <v>38728</v>
      </c>
      <c r="AE213">
        <v>1.4104000000000001</v>
      </c>
      <c r="AG213">
        <v>38728</v>
      </c>
      <c r="AH213" s="1">
        <v>1.4104000000000001</v>
      </c>
    </row>
    <row r="214" spans="1:34" x14ac:dyDescent="0.25">
      <c r="A214" s="2">
        <v>38070</v>
      </c>
      <c r="B214" s="13" t="s">
        <v>460</v>
      </c>
      <c r="C214" s="14" t="s">
        <v>39</v>
      </c>
      <c r="D214" s="15">
        <v>45310</v>
      </c>
      <c r="E214" s="2">
        <v>9153.5400000000009</v>
      </c>
      <c r="F214" s="14" t="s">
        <v>463</v>
      </c>
      <c r="G214" t="s">
        <v>464</v>
      </c>
      <c r="H214" s="14" t="s">
        <v>93</v>
      </c>
      <c r="I214" s="2">
        <v>1</v>
      </c>
      <c r="J214" s="2">
        <v>0</v>
      </c>
      <c r="K214" s="2">
        <v>0</v>
      </c>
      <c r="L214" s="2"/>
      <c r="M214" s="2">
        <v>0</v>
      </c>
      <c r="N214" s="14"/>
      <c r="O214" s="14"/>
      <c r="P214" s="2">
        <v>-7796.25</v>
      </c>
      <c r="Q214" s="2">
        <v>-7796.25</v>
      </c>
      <c r="R214" s="2">
        <v>0</v>
      </c>
      <c r="S214">
        <f t="shared" si="16"/>
        <v>0</v>
      </c>
      <c r="T214" t="s">
        <v>90</v>
      </c>
      <c r="U214">
        <f t="shared" si="18"/>
        <v>-311.85000000000002</v>
      </c>
      <c r="AD214" s="19">
        <v>38730</v>
      </c>
      <c r="AE214">
        <v>585</v>
      </c>
      <c r="AG214">
        <v>38730</v>
      </c>
      <c r="AH214" s="1">
        <v>585</v>
      </c>
    </row>
    <row r="215" spans="1:34" x14ac:dyDescent="0.25">
      <c r="A215" s="2">
        <v>38074</v>
      </c>
      <c r="B215" s="13" t="s">
        <v>465</v>
      </c>
      <c r="C215" s="14" t="s">
        <v>39</v>
      </c>
      <c r="D215" s="15">
        <v>45294</v>
      </c>
      <c r="E215" s="2">
        <v>0</v>
      </c>
      <c r="F215" s="14" t="s">
        <v>260</v>
      </c>
      <c r="G215" t="s">
        <v>279</v>
      </c>
      <c r="H215" s="14" t="s">
        <v>93</v>
      </c>
      <c r="I215" s="2">
        <v>1</v>
      </c>
      <c r="J215" s="2">
        <v>0</v>
      </c>
      <c r="K215" s="2">
        <v>0</v>
      </c>
      <c r="L215" s="2"/>
      <c r="M215" s="2">
        <v>0</v>
      </c>
      <c r="N215" s="14"/>
      <c r="O215" s="14"/>
      <c r="P215" s="2">
        <v>200</v>
      </c>
      <c r="Q215" s="2">
        <v>200</v>
      </c>
      <c r="R215" s="2">
        <v>0</v>
      </c>
      <c r="S215">
        <f t="shared" si="16"/>
        <v>0</v>
      </c>
      <c r="T215" t="s">
        <v>184</v>
      </c>
      <c r="U215">
        <f t="shared" si="18"/>
        <v>0</v>
      </c>
      <c r="AD215" s="19">
        <v>38731</v>
      </c>
      <c r="AE215">
        <v>0</v>
      </c>
      <c r="AG215">
        <v>38731</v>
      </c>
      <c r="AH215" s="1">
        <v>0</v>
      </c>
    </row>
    <row r="216" spans="1:34" hidden="1" x14ac:dyDescent="0.25">
      <c r="A216" s="2">
        <v>38074</v>
      </c>
      <c r="B216" s="13" t="s">
        <v>465</v>
      </c>
      <c r="C216" s="14" t="s">
        <v>39</v>
      </c>
      <c r="D216" s="15">
        <v>45294</v>
      </c>
      <c r="E216" s="2">
        <v>0</v>
      </c>
      <c r="F216" s="14" t="s">
        <v>466</v>
      </c>
      <c r="G216" t="s">
        <v>467</v>
      </c>
      <c r="H216" s="14" t="s">
        <v>42</v>
      </c>
      <c r="I216" s="2">
        <v>1</v>
      </c>
      <c r="J216" s="2">
        <v>0</v>
      </c>
      <c r="K216" s="2">
        <v>0</v>
      </c>
      <c r="L216" s="2"/>
      <c r="M216" s="2">
        <v>0</v>
      </c>
      <c r="N216" s="14"/>
      <c r="O216" s="14"/>
      <c r="P216" s="2">
        <v>3548.25</v>
      </c>
      <c r="Q216" s="2">
        <v>3548.25</v>
      </c>
      <c r="R216" s="2">
        <v>3370.84</v>
      </c>
      <c r="S216">
        <f t="shared" si="16"/>
        <v>3370.84</v>
      </c>
      <c r="T216" t="s">
        <v>184</v>
      </c>
      <c r="U216" s="1">
        <f>_xlfn.XLOOKUP(T216,$Y$2:$Y$45,$AA$2:$AA$45)*(Q216-S216)</f>
        <v>0</v>
      </c>
      <c r="AD216" s="19">
        <v>38733</v>
      </c>
      <c r="AE216">
        <v>18.564</v>
      </c>
      <c r="AG216">
        <v>38733</v>
      </c>
      <c r="AH216" s="1">
        <v>18.564</v>
      </c>
    </row>
    <row r="217" spans="1:34" x14ac:dyDescent="0.25">
      <c r="A217" s="2">
        <v>38075</v>
      </c>
      <c r="B217" s="13" t="s">
        <v>468</v>
      </c>
      <c r="C217" s="14" t="s">
        <v>39</v>
      </c>
      <c r="D217" s="15">
        <v>45317</v>
      </c>
      <c r="E217" s="2">
        <v>425</v>
      </c>
      <c r="F217" s="14" t="s">
        <v>152</v>
      </c>
      <c r="G217" t="s">
        <v>153</v>
      </c>
      <c r="H217" s="14" t="s">
        <v>93</v>
      </c>
      <c r="I217" s="2">
        <v>3</v>
      </c>
      <c r="J217" s="2">
        <v>0</v>
      </c>
      <c r="K217" s="2">
        <v>0</v>
      </c>
      <c r="L217" s="2"/>
      <c r="M217" s="2">
        <v>0</v>
      </c>
      <c r="N217" s="14"/>
      <c r="O217" s="14"/>
      <c r="P217" s="2">
        <v>180</v>
      </c>
      <c r="Q217" s="2">
        <v>540</v>
      </c>
      <c r="R217" s="2">
        <v>0</v>
      </c>
      <c r="S217">
        <f t="shared" si="16"/>
        <v>0</v>
      </c>
      <c r="T217" t="s">
        <v>132</v>
      </c>
      <c r="U217">
        <f t="shared" ref="U217:U222" si="19">_xlfn.XLOOKUP(T217,$Y$2:$Y$45,$AB$2:$AB$45)*(Q217)</f>
        <v>21.6</v>
      </c>
      <c r="AD217" s="19">
        <v>38735</v>
      </c>
      <c r="AE217">
        <v>40.239000000000011</v>
      </c>
      <c r="AG217">
        <v>38735</v>
      </c>
      <c r="AH217" s="1">
        <v>40.239000000000011</v>
      </c>
    </row>
    <row r="218" spans="1:34" x14ac:dyDescent="0.25">
      <c r="A218" s="2">
        <v>38075</v>
      </c>
      <c r="B218" s="13" t="s">
        <v>468</v>
      </c>
      <c r="C218" s="14" t="s">
        <v>39</v>
      </c>
      <c r="D218" s="15">
        <v>45317</v>
      </c>
      <c r="E218" s="2">
        <v>425</v>
      </c>
      <c r="F218" s="14" t="s">
        <v>154</v>
      </c>
      <c r="G218" t="s">
        <v>155</v>
      </c>
      <c r="H218" s="14" t="s">
        <v>93</v>
      </c>
      <c r="I218" s="2">
        <v>1</v>
      </c>
      <c r="J218" s="2">
        <v>0</v>
      </c>
      <c r="K218" s="2">
        <v>0</v>
      </c>
      <c r="L218" s="2"/>
      <c r="M218" s="2">
        <v>0</v>
      </c>
      <c r="N218" s="14"/>
      <c r="O218" s="14"/>
      <c r="P218" s="2">
        <v>210</v>
      </c>
      <c r="Q218" s="2">
        <v>210</v>
      </c>
      <c r="R218" s="2">
        <v>0</v>
      </c>
      <c r="S218">
        <f t="shared" si="16"/>
        <v>0</v>
      </c>
      <c r="T218" t="s">
        <v>132</v>
      </c>
      <c r="U218">
        <f t="shared" si="19"/>
        <v>8.4</v>
      </c>
      <c r="AD218" s="19">
        <v>38737</v>
      </c>
      <c r="AE218">
        <v>20.655000000000005</v>
      </c>
      <c r="AG218">
        <v>38737</v>
      </c>
      <c r="AH218" s="1">
        <v>20.655000000000005</v>
      </c>
    </row>
    <row r="219" spans="1:34" x14ac:dyDescent="0.25">
      <c r="A219" s="2">
        <v>38085</v>
      </c>
      <c r="B219" s="13" t="s">
        <v>469</v>
      </c>
      <c r="C219" s="14" t="s">
        <v>39</v>
      </c>
      <c r="D219" s="15">
        <v>45302</v>
      </c>
      <c r="E219" s="2">
        <v>0</v>
      </c>
      <c r="F219" s="14" t="s">
        <v>154</v>
      </c>
      <c r="G219" t="s">
        <v>155</v>
      </c>
      <c r="H219" s="14" t="s">
        <v>93</v>
      </c>
      <c r="I219" s="2">
        <v>23</v>
      </c>
      <c r="J219" s="2">
        <v>0</v>
      </c>
      <c r="K219" s="2">
        <v>0</v>
      </c>
      <c r="L219" s="2"/>
      <c r="M219" s="2">
        <v>0</v>
      </c>
      <c r="N219" s="14"/>
      <c r="O219" s="14"/>
      <c r="P219" s="2">
        <v>150</v>
      </c>
      <c r="Q219" s="2">
        <v>3450</v>
      </c>
      <c r="R219" s="2">
        <v>0</v>
      </c>
      <c r="S219">
        <f t="shared" si="16"/>
        <v>0</v>
      </c>
      <c r="T219" t="s">
        <v>132</v>
      </c>
      <c r="U219">
        <f t="shared" si="19"/>
        <v>138</v>
      </c>
      <c r="AD219" s="19">
        <v>38741</v>
      </c>
      <c r="AE219">
        <v>0</v>
      </c>
      <c r="AG219">
        <v>38741</v>
      </c>
      <c r="AH219" s="1">
        <v>0</v>
      </c>
    </row>
    <row r="220" spans="1:34" x14ac:dyDescent="0.25">
      <c r="A220" s="2">
        <v>38085</v>
      </c>
      <c r="B220" s="13" t="s">
        <v>469</v>
      </c>
      <c r="C220" s="14" t="s">
        <v>39</v>
      </c>
      <c r="D220" s="15">
        <v>45302</v>
      </c>
      <c r="E220" s="2">
        <v>0</v>
      </c>
      <c r="F220" s="14" t="s">
        <v>152</v>
      </c>
      <c r="G220" t="s">
        <v>153</v>
      </c>
      <c r="H220" s="14" t="s">
        <v>93</v>
      </c>
      <c r="I220" s="2">
        <v>95</v>
      </c>
      <c r="J220" s="2">
        <v>0</v>
      </c>
      <c r="K220" s="2">
        <v>0</v>
      </c>
      <c r="L220" s="2"/>
      <c r="M220" s="2">
        <v>0</v>
      </c>
      <c r="N220" s="14"/>
      <c r="O220" s="14"/>
      <c r="P220" s="2">
        <v>150</v>
      </c>
      <c r="Q220" s="2">
        <v>14250</v>
      </c>
      <c r="R220" s="2">
        <v>0</v>
      </c>
      <c r="S220">
        <f t="shared" si="16"/>
        <v>0</v>
      </c>
      <c r="T220" t="s">
        <v>132</v>
      </c>
      <c r="U220">
        <f t="shared" si="19"/>
        <v>570</v>
      </c>
      <c r="AD220" s="19">
        <v>38745</v>
      </c>
      <c r="AE220">
        <v>0</v>
      </c>
      <c r="AG220">
        <v>38745</v>
      </c>
      <c r="AH220" s="1">
        <v>0</v>
      </c>
    </row>
    <row r="221" spans="1:34" x14ac:dyDescent="0.25">
      <c r="A221" s="2">
        <v>38095</v>
      </c>
      <c r="B221" s="13" t="s">
        <v>470</v>
      </c>
      <c r="C221" s="14" t="s">
        <v>39</v>
      </c>
      <c r="D221" s="15">
        <v>45308</v>
      </c>
      <c r="E221" s="2">
        <v>0</v>
      </c>
      <c r="F221" s="14" t="s">
        <v>154</v>
      </c>
      <c r="G221" t="s">
        <v>155</v>
      </c>
      <c r="H221" s="14" t="s">
        <v>93</v>
      </c>
      <c r="I221" s="2">
        <v>4</v>
      </c>
      <c r="J221" s="2">
        <v>0</v>
      </c>
      <c r="K221" s="2">
        <v>0</v>
      </c>
      <c r="L221" s="2"/>
      <c r="M221" s="2">
        <v>0</v>
      </c>
      <c r="N221" s="14"/>
      <c r="O221" s="14"/>
      <c r="P221" s="2">
        <v>275</v>
      </c>
      <c r="Q221" s="2">
        <v>1100</v>
      </c>
      <c r="R221" s="2">
        <v>0</v>
      </c>
      <c r="S221">
        <f t="shared" si="16"/>
        <v>0</v>
      </c>
      <c r="T221" t="s">
        <v>47</v>
      </c>
      <c r="U221">
        <f t="shared" si="19"/>
        <v>44</v>
      </c>
      <c r="AD221" s="19">
        <v>38751</v>
      </c>
      <c r="AE221">
        <v>22.42</v>
      </c>
      <c r="AG221">
        <v>38751</v>
      </c>
      <c r="AH221" s="1">
        <v>22.42</v>
      </c>
    </row>
    <row r="222" spans="1:34" x14ac:dyDescent="0.25">
      <c r="A222" s="2">
        <v>38095</v>
      </c>
      <c r="B222" s="13" t="s">
        <v>470</v>
      </c>
      <c r="C222" s="14" t="s">
        <v>39</v>
      </c>
      <c r="D222" s="15">
        <v>45308</v>
      </c>
      <c r="E222" s="2">
        <v>0</v>
      </c>
      <c r="F222" s="14" t="s">
        <v>152</v>
      </c>
      <c r="G222" t="s">
        <v>153</v>
      </c>
      <c r="H222" s="14" t="s">
        <v>93</v>
      </c>
      <c r="I222" s="2">
        <v>12</v>
      </c>
      <c r="J222" s="2">
        <v>0</v>
      </c>
      <c r="K222" s="2">
        <v>0</v>
      </c>
      <c r="L222" s="2"/>
      <c r="M222" s="2">
        <v>0</v>
      </c>
      <c r="N222" s="14"/>
      <c r="O222" s="14"/>
      <c r="P222" s="2">
        <v>240</v>
      </c>
      <c r="Q222" s="2">
        <v>2880</v>
      </c>
      <c r="R222" s="2">
        <v>0</v>
      </c>
      <c r="S222">
        <f t="shared" si="16"/>
        <v>0</v>
      </c>
      <c r="T222" t="s">
        <v>47</v>
      </c>
      <c r="U222">
        <f t="shared" si="19"/>
        <v>115.2</v>
      </c>
      <c r="AD222" s="19">
        <v>38753</v>
      </c>
      <c r="AE222">
        <v>0</v>
      </c>
      <c r="AG222">
        <v>38753</v>
      </c>
      <c r="AH222" s="1">
        <v>0</v>
      </c>
    </row>
    <row r="223" spans="1:34" hidden="1" x14ac:dyDescent="0.25">
      <c r="A223" s="2">
        <v>38095</v>
      </c>
      <c r="B223" s="13" t="s">
        <v>470</v>
      </c>
      <c r="C223" s="14" t="s">
        <v>39</v>
      </c>
      <c r="D223" s="15">
        <v>45308</v>
      </c>
      <c r="E223" s="2">
        <v>0</v>
      </c>
      <c r="F223" s="14" t="s">
        <v>471</v>
      </c>
      <c r="G223" t="s">
        <v>472</v>
      </c>
      <c r="H223" s="14" t="s">
        <v>42</v>
      </c>
      <c r="I223" s="2">
        <v>1</v>
      </c>
      <c r="J223" s="2">
        <v>0</v>
      </c>
      <c r="K223" s="2">
        <v>0</v>
      </c>
      <c r="L223" s="2"/>
      <c r="M223" s="2">
        <v>0</v>
      </c>
      <c r="N223" s="14"/>
      <c r="O223" s="14"/>
      <c r="P223" s="2">
        <v>1948</v>
      </c>
      <c r="Q223" s="2">
        <v>1948</v>
      </c>
      <c r="R223" s="2">
        <v>1596.61</v>
      </c>
      <c r="S223">
        <f t="shared" si="16"/>
        <v>1596.61</v>
      </c>
      <c r="T223" t="s">
        <v>47</v>
      </c>
      <c r="U223" s="1">
        <f t="shared" ref="U223:U228" si="20">_xlfn.XLOOKUP(T223,$Y$2:$Y$45,$AA$2:$AA$45)*(Q223-S223)</f>
        <v>29.868150000000011</v>
      </c>
      <c r="AD223" s="19">
        <v>38755</v>
      </c>
      <c r="AE223">
        <v>0</v>
      </c>
      <c r="AG223">
        <v>38755</v>
      </c>
      <c r="AH223" s="1">
        <v>0</v>
      </c>
    </row>
    <row r="224" spans="1:34" hidden="1" x14ac:dyDescent="0.25">
      <c r="A224" s="2">
        <v>38116</v>
      </c>
      <c r="B224" s="13" t="s">
        <v>473</v>
      </c>
      <c r="C224" s="14" t="s">
        <v>39</v>
      </c>
      <c r="D224" s="15">
        <v>45301</v>
      </c>
      <c r="E224" s="2">
        <v>0</v>
      </c>
      <c r="F224" s="14" t="s">
        <v>474</v>
      </c>
      <c r="G224" t="s">
        <v>475</v>
      </c>
      <c r="H224" s="14" t="s">
        <v>42</v>
      </c>
      <c r="I224" s="2">
        <v>5</v>
      </c>
      <c r="J224" s="2">
        <v>0</v>
      </c>
      <c r="K224" s="2">
        <v>0</v>
      </c>
      <c r="L224" s="2"/>
      <c r="M224" s="2">
        <v>0</v>
      </c>
      <c r="N224" s="14"/>
      <c r="O224" s="14"/>
      <c r="P224" s="2">
        <v>988</v>
      </c>
      <c r="Q224" s="2">
        <v>4940</v>
      </c>
      <c r="R224" s="2">
        <v>809.81</v>
      </c>
      <c r="S224">
        <f t="shared" si="16"/>
        <v>4049.0499999999997</v>
      </c>
      <c r="T224" t="s">
        <v>132</v>
      </c>
      <c r="U224" s="1">
        <f t="shared" si="20"/>
        <v>71.276000000000025</v>
      </c>
      <c r="AD224" s="19">
        <v>38756</v>
      </c>
      <c r="AE224">
        <v>5.9040000000000008</v>
      </c>
      <c r="AG224">
        <v>38756</v>
      </c>
      <c r="AH224" s="1">
        <v>5.9040000000000008</v>
      </c>
    </row>
    <row r="225" spans="1:34" hidden="1" x14ac:dyDescent="0.25">
      <c r="A225" s="2">
        <v>38116</v>
      </c>
      <c r="B225" s="13" t="s">
        <v>473</v>
      </c>
      <c r="C225" s="14" t="s">
        <v>39</v>
      </c>
      <c r="D225" s="15">
        <v>45301</v>
      </c>
      <c r="E225" s="2">
        <v>0</v>
      </c>
      <c r="F225" s="14" t="s">
        <v>476</v>
      </c>
      <c r="G225" t="s">
        <v>477</v>
      </c>
      <c r="H225" s="14" t="s">
        <v>42</v>
      </c>
      <c r="I225" s="2">
        <v>1</v>
      </c>
      <c r="J225" s="2">
        <v>0</v>
      </c>
      <c r="K225" s="2">
        <v>0</v>
      </c>
      <c r="L225" s="2"/>
      <c r="M225" s="2">
        <v>0</v>
      </c>
      <c r="N225" s="14"/>
      <c r="O225" s="14"/>
      <c r="P225" s="2">
        <v>344</v>
      </c>
      <c r="Q225" s="2">
        <v>344</v>
      </c>
      <c r="R225" s="2">
        <v>499.52</v>
      </c>
      <c r="S225">
        <f t="shared" si="16"/>
        <v>499.52</v>
      </c>
      <c r="T225" t="s">
        <v>132</v>
      </c>
      <c r="U225" s="1">
        <f t="shared" si="20"/>
        <v>-12.441599999999999</v>
      </c>
      <c r="AD225" s="19">
        <v>38758</v>
      </c>
      <c r="AE225">
        <v>8.4040000000000017</v>
      </c>
      <c r="AG225">
        <v>38758</v>
      </c>
      <c r="AH225" s="1">
        <v>8.4040000000000017</v>
      </c>
    </row>
    <row r="226" spans="1:34" hidden="1" x14ac:dyDescent="0.25">
      <c r="A226" s="2">
        <v>38116</v>
      </c>
      <c r="B226" s="13" t="s">
        <v>473</v>
      </c>
      <c r="C226" s="14" t="s">
        <v>39</v>
      </c>
      <c r="D226" s="15">
        <v>45301</v>
      </c>
      <c r="E226" s="2">
        <v>0</v>
      </c>
      <c r="F226" s="14" t="s">
        <v>478</v>
      </c>
      <c r="G226" t="s">
        <v>479</v>
      </c>
      <c r="H226" s="14" t="s">
        <v>42</v>
      </c>
      <c r="I226" s="2">
        <v>2</v>
      </c>
      <c r="J226" s="2">
        <v>0</v>
      </c>
      <c r="K226" s="2">
        <v>0</v>
      </c>
      <c r="L226" s="2"/>
      <c r="M226" s="2">
        <v>0</v>
      </c>
      <c r="N226" s="14"/>
      <c r="O226" s="14"/>
      <c r="P226" s="2">
        <v>216</v>
      </c>
      <c r="Q226" s="2">
        <v>432</v>
      </c>
      <c r="R226" s="2">
        <v>176.74</v>
      </c>
      <c r="S226">
        <f t="shared" si="16"/>
        <v>353.48</v>
      </c>
      <c r="T226" t="s">
        <v>132</v>
      </c>
      <c r="U226" s="1">
        <f t="shared" si="20"/>
        <v>6.2815999999999983</v>
      </c>
      <c r="AD226" s="19">
        <v>38759</v>
      </c>
      <c r="AE226">
        <v>15.6052</v>
      </c>
      <c r="AG226">
        <v>38759</v>
      </c>
      <c r="AH226" s="1">
        <v>15.6052</v>
      </c>
    </row>
    <row r="227" spans="1:34" hidden="1" x14ac:dyDescent="0.25">
      <c r="A227" s="2">
        <v>38116</v>
      </c>
      <c r="B227" s="13" t="s">
        <v>473</v>
      </c>
      <c r="C227" s="14" t="s">
        <v>39</v>
      </c>
      <c r="D227" s="15">
        <v>45301</v>
      </c>
      <c r="E227" s="2">
        <v>0</v>
      </c>
      <c r="F227" s="14" t="s">
        <v>480</v>
      </c>
      <c r="G227" t="s">
        <v>481</v>
      </c>
      <c r="H227" s="14" t="s">
        <v>42</v>
      </c>
      <c r="I227" s="2">
        <v>1</v>
      </c>
      <c r="J227" s="2">
        <v>0</v>
      </c>
      <c r="K227" s="2">
        <v>0</v>
      </c>
      <c r="L227" s="2"/>
      <c r="M227" s="2">
        <v>0</v>
      </c>
      <c r="N227" s="14"/>
      <c r="O227" s="14"/>
      <c r="P227" s="2">
        <v>468</v>
      </c>
      <c r="Q227" s="2">
        <v>468</v>
      </c>
      <c r="R227" s="2">
        <v>383.71</v>
      </c>
      <c r="S227">
        <f t="shared" si="16"/>
        <v>383.71</v>
      </c>
      <c r="T227" t="s">
        <v>132</v>
      </c>
      <c r="U227" s="1">
        <f t="shared" si="20"/>
        <v>6.7432000000000016</v>
      </c>
      <c r="AD227" s="19">
        <v>38761</v>
      </c>
      <c r="AE227">
        <v>1.3712</v>
      </c>
      <c r="AG227">
        <v>38761</v>
      </c>
      <c r="AH227" s="1">
        <v>1.3712</v>
      </c>
    </row>
    <row r="228" spans="1:34" hidden="1" x14ac:dyDescent="0.25">
      <c r="A228" s="2">
        <v>38116</v>
      </c>
      <c r="B228" s="13" t="s">
        <v>473</v>
      </c>
      <c r="C228" s="14" t="s">
        <v>39</v>
      </c>
      <c r="D228" s="15">
        <v>45301</v>
      </c>
      <c r="E228" s="2">
        <v>0</v>
      </c>
      <c r="F228" s="14" t="s">
        <v>482</v>
      </c>
      <c r="G228" t="s">
        <v>483</v>
      </c>
      <c r="H228" s="14" t="s">
        <v>42</v>
      </c>
      <c r="I228" s="2">
        <v>10</v>
      </c>
      <c r="J228" s="2">
        <v>0</v>
      </c>
      <c r="K228" s="2">
        <v>0</v>
      </c>
      <c r="L228" s="2"/>
      <c r="M228" s="2">
        <v>0</v>
      </c>
      <c r="N228" s="14"/>
      <c r="O228" s="14"/>
      <c r="P228" s="2">
        <v>155</v>
      </c>
      <c r="Q228" s="2">
        <v>1550</v>
      </c>
      <c r="R228" s="2">
        <v>126.38</v>
      </c>
      <c r="S228">
        <f t="shared" si="16"/>
        <v>1263.8</v>
      </c>
      <c r="T228" t="s">
        <v>132</v>
      </c>
      <c r="U228" s="1">
        <f t="shared" si="20"/>
        <v>22.896000000000004</v>
      </c>
      <c r="AD228" s="19">
        <v>38764</v>
      </c>
      <c r="AE228">
        <v>0</v>
      </c>
      <c r="AG228">
        <v>38764</v>
      </c>
      <c r="AH228" s="1">
        <v>0</v>
      </c>
    </row>
    <row r="229" spans="1:34" x14ac:dyDescent="0.25">
      <c r="A229" s="2">
        <v>38116</v>
      </c>
      <c r="B229" s="13" t="s">
        <v>473</v>
      </c>
      <c r="C229" s="14" t="s">
        <v>39</v>
      </c>
      <c r="D229" s="15">
        <v>45301</v>
      </c>
      <c r="E229" s="2">
        <v>0</v>
      </c>
      <c r="F229" s="14" t="s">
        <v>260</v>
      </c>
      <c r="G229" t="s">
        <v>484</v>
      </c>
      <c r="H229" s="14" t="s">
        <v>93</v>
      </c>
      <c r="I229" s="2">
        <v>26</v>
      </c>
      <c r="J229" s="2">
        <v>0</v>
      </c>
      <c r="K229" s="2">
        <v>0</v>
      </c>
      <c r="L229" s="2"/>
      <c r="M229" s="2">
        <v>0</v>
      </c>
      <c r="N229" s="14"/>
      <c r="O229" s="14"/>
      <c r="P229" s="2">
        <v>120</v>
      </c>
      <c r="Q229" s="2">
        <v>3120</v>
      </c>
      <c r="R229" s="2">
        <v>0</v>
      </c>
      <c r="S229">
        <f t="shared" si="16"/>
        <v>0</v>
      </c>
      <c r="T229" t="s">
        <v>132</v>
      </c>
      <c r="U229">
        <f>_xlfn.XLOOKUP(T229,$Y$2:$Y$45,$AB$2:$AB$45)*(Q229)</f>
        <v>124.8</v>
      </c>
      <c r="AD229" s="19">
        <v>38771</v>
      </c>
      <c r="AE229">
        <v>9.5839999999999961</v>
      </c>
      <c r="AG229">
        <v>38771</v>
      </c>
      <c r="AH229" s="1">
        <v>9.5839999999999961</v>
      </c>
    </row>
    <row r="230" spans="1:34" hidden="1" x14ac:dyDescent="0.25">
      <c r="A230" s="2">
        <v>38116</v>
      </c>
      <c r="B230" s="13" t="s">
        <v>473</v>
      </c>
      <c r="C230" s="14" t="s">
        <v>39</v>
      </c>
      <c r="D230" s="15">
        <v>45301</v>
      </c>
      <c r="E230" s="2">
        <v>0</v>
      </c>
      <c r="F230" s="14" t="s">
        <v>485</v>
      </c>
      <c r="G230" t="s">
        <v>486</v>
      </c>
      <c r="H230" s="14" t="s">
        <v>42</v>
      </c>
      <c r="I230" s="2">
        <v>6</v>
      </c>
      <c r="J230" s="2">
        <v>0</v>
      </c>
      <c r="K230" s="2">
        <v>0</v>
      </c>
      <c r="L230" s="2"/>
      <c r="M230" s="2">
        <v>0</v>
      </c>
      <c r="N230" s="14"/>
      <c r="O230" s="14"/>
      <c r="P230" s="2">
        <v>172</v>
      </c>
      <c r="Q230" s="2">
        <v>1032</v>
      </c>
      <c r="R230" s="2">
        <v>188.38</v>
      </c>
      <c r="S230">
        <f t="shared" si="16"/>
        <v>1130.28</v>
      </c>
      <c r="T230" t="s">
        <v>132</v>
      </c>
      <c r="U230" s="1">
        <f t="shared" ref="U230:U236" si="21">_xlfn.XLOOKUP(T230,$Y$2:$Y$45,$AA$2:$AA$45)*(Q230-S230)</f>
        <v>-7.8623999999999983</v>
      </c>
      <c r="AD230" s="19">
        <v>38773</v>
      </c>
      <c r="AE230">
        <v>0</v>
      </c>
      <c r="AG230">
        <v>38773</v>
      </c>
      <c r="AH230" s="1">
        <v>0</v>
      </c>
    </row>
    <row r="231" spans="1:34" hidden="1" x14ac:dyDescent="0.25">
      <c r="A231" s="2">
        <v>38116</v>
      </c>
      <c r="B231" s="13" t="s">
        <v>473</v>
      </c>
      <c r="C231" s="14" t="s">
        <v>39</v>
      </c>
      <c r="D231" s="15">
        <v>45301</v>
      </c>
      <c r="E231" s="2">
        <v>0</v>
      </c>
      <c r="F231" s="14" t="s">
        <v>487</v>
      </c>
      <c r="G231" t="s">
        <v>488</v>
      </c>
      <c r="H231" s="14" t="s">
        <v>146</v>
      </c>
      <c r="I231" s="2">
        <v>1</v>
      </c>
      <c r="J231" s="2">
        <v>0</v>
      </c>
      <c r="K231" s="2">
        <v>0</v>
      </c>
      <c r="L231" s="2"/>
      <c r="M231" s="2">
        <v>0</v>
      </c>
      <c r="N231" s="14"/>
      <c r="O231" s="14"/>
      <c r="P231" s="2">
        <v>1836.47</v>
      </c>
      <c r="Q231" s="2">
        <v>1836.47</v>
      </c>
      <c r="R231" s="2">
        <v>1761.7</v>
      </c>
      <c r="S231">
        <f t="shared" si="16"/>
        <v>1761.7</v>
      </c>
      <c r="T231" t="s">
        <v>132</v>
      </c>
      <c r="U231" s="1">
        <f t="shared" si="21"/>
        <v>5.9815999999999985</v>
      </c>
      <c r="AD231" s="19">
        <v>38775</v>
      </c>
      <c r="AE231">
        <v>2.4383999999999992</v>
      </c>
      <c r="AG231">
        <v>38775</v>
      </c>
      <c r="AH231" s="1">
        <v>2.4383999999999992</v>
      </c>
    </row>
    <row r="232" spans="1:34" hidden="1" x14ac:dyDescent="0.25">
      <c r="A232" s="2">
        <v>38116</v>
      </c>
      <c r="B232" s="13" t="s">
        <v>473</v>
      </c>
      <c r="C232" s="14" t="s">
        <v>39</v>
      </c>
      <c r="D232" s="15">
        <v>45301</v>
      </c>
      <c r="E232" s="2">
        <v>0</v>
      </c>
      <c r="F232" s="14" t="s">
        <v>489</v>
      </c>
      <c r="G232" t="s">
        <v>490</v>
      </c>
      <c r="H232" s="14" t="s">
        <v>42</v>
      </c>
      <c r="I232" s="2">
        <v>1</v>
      </c>
      <c r="J232" s="2">
        <v>0</v>
      </c>
      <c r="K232" s="2">
        <v>0</v>
      </c>
      <c r="L232" s="2"/>
      <c r="M232" s="2">
        <v>0</v>
      </c>
      <c r="N232" s="14"/>
      <c r="O232" s="14"/>
      <c r="P232" s="2">
        <v>160.59</v>
      </c>
      <c r="Q232" s="2">
        <v>160.59</v>
      </c>
      <c r="R232" s="2">
        <v>154.05000000000001</v>
      </c>
      <c r="S232">
        <f t="shared" si="16"/>
        <v>154.05000000000001</v>
      </c>
      <c r="T232" t="s">
        <v>132</v>
      </c>
      <c r="U232" s="1">
        <f t="shared" si="21"/>
        <v>0.52319999999999933</v>
      </c>
      <c r="AD232" s="19">
        <v>38779</v>
      </c>
      <c r="AE232">
        <v>43.884</v>
      </c>
      <c r="AG232">
        <v>38779</v>
      </c>
      <c r="AH232" s="1">
        <v>43.884</v>
      </c>
    </row>
    <row r="233" spans="1:34" hidden="1" x14ac:dyDescent="0.25">
      <c r="A233" s="2">
        <v>38116</v>
      </c>
      <c r="B233" s="13" t="s">
        <v>473</v>
      </c>
      <c r="C233" s="14" t="s">
        <v>39</v>
      </c>
      <c r="D233" s="15">
        <v>45301</v>
      </c>
      <c r="E233" s="2">
        <v>0</v>
      </c>
      <c r="F233" s="14" t="s">
        <v>491</v>
      </c>
      <c r="G233" t="s">
        <v>492</v>
      </c>
      <c r="H233" s="14" t="s">
        <v>42</v>
      </c>
      <c r="I233" s="2">
        <v>5</v>
      </c>
      <c r="J233" s="2">
        <v>0</v>
      </c>
      <c r="K233" s="2">
        <v>0</v>
      </c>
      <c r="L233" s="2"/>
      <c r="M233" s="2">
        <v>0</v>
      </c>
      <c r="N233" s="14"/>
      <c r="O233" s="14"/>
      <c r="P233" s="2">
        <v>895</v>
      </c>
      <c r="Q233" s="2">
        <v>4475</v>
      </c>
      <c r="R233" s="2">
        <v>733.6</v>
      </c>
      <c r="S233">
        <f t="shared" si="16"/>
        <v>3668</v>
      </c>
      <c r="T233" t="s">
        <v>132</v>
      </c>
      <c r="U233" s="1">
        <f t="shared" si="21"/>
        <v>64.56</v>
      </c>
      <c r="AD233" s="19">
        <v>38782</v>
      </c>
      <c r="AE233">
        <v>87.277999999999992</v>
      </c>
      <c r="AG233">
        <v>38782</v>
      </c>
      <c r="AH233" s="1">
        <v>87.277999999999992</v>
      </c>
    </row>
    <row r="234" spans="1:34" hidden="1" x14ac:dyDescent="0.25">
      <c r="A234" s="2">
        <v>38116</v>
      </c>
      <c r="B234" s="13" t="s">
        <v>473</v>
      </c>
      <c r="C234" s="14" t="s">
        <v>39</v>
      </c>
      <c r="D234" s="15">
        <v>45301</v>
      </c>
      <c r="E234" s="2">
        <v>0</v>
      </c>
      <c r="F234" s="14" t="s">
        <v>493</v>
      </c>
      <c r="G234" t="s">
        <v>494</v>
      </c>
      <c r="H234" s="14" t="s">
        <v>42</v>
      </c>
      <c r="I234" s="2">
        <v>10</v>
      </c>
      <c r="J234" s="2">
        <v>0</v>
      </c>
      <c r="K234" s="2">
        <v>0</v>
      </c>
      <c r="L234" s="2"/>
      <c r="M234" s="2">
        <v>0</v>
      </c>
      <c r="N234" s="14"/>
      <c r="O234" s="14"/>
      <c r="P234" s="2">
        <v>88</v>
      </c>
      <c r="Q234" s="2">
        <v>880</v>
      </c>
      <c r="R234" s="2">
        <v>71.42</v>
      </c>
      <c r="S234">
        <f t="shared" si="16"/>
        <v>714.2</v>
      </c>
      <c r="T234" t="s">
        <v>132</v>
      </c>
      <c r="U234" s="1">
        <f t="shared" si="21"/>
        <v>13.263999999999996</v>
      </c>
      <c r="AD234" s="19">
        <v>38788</v>
      </c>
      <c r="AE234">
        <v>32.416450000000026</v>
      </c>
      <c r="AG234">
        <v>38788</v>
      </c>
      <c r="AH234" s="1">
        <v>32.416450000000026</v>
      </c>
    </row>
    <row r="235" spans="1:34" hidden="1" x14ac:dyDescent="0.25">
      <c r="A235" s="2">
        <v>38116</v>
      </c>
      <c r="B235" s="13" t="s">
        <v>473</v>
      </c>
      <c r="C235" s="14" t="s">
        <v>39</v>
      </c>
      <c r="D235" s="15">
        <v>45301</v>
      </c>
      <c r="E235" s="2">
        <v>0</v>
      </c>
      <c r="F235" s="14" t="s">
        <v>495</v>
      </c>
      <c r="G235" t="s">
        <v>496</v>
      </c>
      <c r="H235" s="14" t="s">
        <v>42</v>
      </c>
      <c r="I235" s="2">
        <v>5</v>
      </c>
      <c r="J235" s="2">
        <v>0</v>
      </c>
      <c r="K235" s="2">
        <v>0</v>
      </c>
      <c r="L235" s="2"/>
      <c r="M235" s="2">
        <v>0</v>
      </c>
      <c r="N235" s="14"/>
      <c r="O235" s="14"/>
      <c r="P235" s="2">
        <v>82</v>
      </c>
      <c r="Q235" s="2">
        <v>410</v>
      </c>
      <c r="R235" s="2">
        <v>66.7</v>
      </c>
      <c r="S235">
        <f t="shared" si="16"/>
        <v>333.5</v>
      </c>
      <c r="T235" t="s">
        <v>132</v>
      </c>
      <c r="U235" s="1">
        <f t="shared" si="21"/>
        <v>6.12</v>
      </c>
      <c r="AD235" s="19">
        <v>38792</v>
      </c>
      <c r="AE235">
        <v>616.35099999999989</v>
      </c>
      <c r="AG235">
        <v>38792</v>
      </c>
      <c r="AH235" s="1">
        <v>616.35099999999989</v>
      </c>
    </row>
    <row r="236" spans="1:34" hidden="1" x14ac:dyDescent="0.25">
      <c r="A236" s="2">
        <v>38116</v>
      </c>
      <c r="B236" s="13" t="s">
        <v>473</v>
      </c>
      <c r="C236" s="14" t="s">
        <v>39</v>
      </c>
      <c r="D236" s="15">
        <v>45301</v>
      </c>
      <c r="E236" s="2">
        <v>0</v>
      </c>
      <c r="F236" s="14" t="s">
        <v>444</v>
      </c>
      <c r="G236" t="s">
        <v>445</v>
      </c>
      <c r="H236" s="14" t="s">
        <v>42</v>
      </c>
      <c r="I236" s="2">
        <v>1</v>
      </c>
      <c r="J236" s="2">
        <v>0</v>
      </c>
      <c r="K236" s="2">
        <v>0</v>
      </c>
      <c r="L236" s="2"/>
      <c r="M236" s="2">
        <v>0</v>
      </c>
      <c r="N236" s="14"/>
      <c r="O236" s="14"/>
      <c r="P236" s="2">
        <v>677</v>
      </c>
      <c r="Q236" s="2">
        <v>677</v>
      </c>
      <c r="R236" s="2">
        <v>554.65</v>
      </c>
      <c r="S236">
        <f t="shared" si="16"/>
        <v>554.65</v>
      </c>
      <c r="T236" t="s">
        <v>132</v>
      </c>
      <c r="U236" s="1">
        <f t="shared" si="21"/>
        <v>9.788000000000002</v>
      </c>
      <c r="AD236" s="19">
        <v>38793</v>
      </c>
      <c r="AE236">
        <v>0</v>
      </c>
      <c r="AG236">
        <v>38793</v>
      </c>
      <c r="AH236" s="1">
        <v>0</v>
      </c>
    </row>
    <row r="237" spans="1:34" x14ac:dyDescent="0.25">
      <c r="A237" s="2">
        <v>38116</v>
      </c>
      <c r="B237" s="13" t="s">
        <v>473</v>
      </c>
      <c r="C237" s="14" t="s">
        <v>39</v>
      </c>
      <c r="D237" s="15">
        <v>45301</v>
      </c>
      <c r="E237" s="2">
        <v>0</v>
      </c>
      <c r="F237" s="14" t="s">
        <v>152</v>
      </c>
      <c r="G237" t="s">
        <v>153</v>
      </c>
      <c r="H237" s="14" t="s">
        <v>93</v>
      </c>
      <c r="I237" s="2">
        <v>20</v>
      </c>
      <c r="J237" s="2">
        <v>0</v>
      </c>
      <c r="K237" s="2">
        <v>0</v>
      </c>
      <c r="L237" s="2"/>
      <c r="M237" s="2">
        <v>0</v>
      </c>
      <c r="N237" s="14"/>
      <c r="O237" s="14"/>
      <c r="P237" s="2">
        <v>150</v>
      </c>
      <c r="Q237" s="2">
        <v>3000</v>
      </c>
      <c r="R237" s="2">
        <v>0</v>
      </c>
      <c r="S237">
        <f t="shared" si="16"/>
        <v>0</v>
      </c>
      <c r="T237" t="s">
        <v>132</v>
      </c>
      <c r="U237">
        <f>_xlfn.XLOOKUP(T237,$Y$2:$Y$45,$AB$2:$AB$45)*(Q237)</f>
        <v>120</v>
      </c>
      <c r="AD237" s="19">
        <v>38803</v>
      </c>
      <c r="AE237">
        <v>38.516800000000003</v>
      </c>
      <c r="AG237">
        <v>38803</v>
      </c>
      <c r="AH237" s="1">
        <v>38.516800000000003</v>
      </c>
    </row>
    <row r="238" spans="1:34" x14ac:dyDescent="0.25">
      <c r="A238" s="2">
        <v>38116</v>
      </c>
      <c r="B238" s="13" t="s">
        <v>473</v>
      </c>
      <c r="C238" s="14" t="s">
        <v>39</v>
      </c>
      <c r="D238" s="15">
        <v>45301</v>
      </c>
      <c r="E238" s="2">
        <v>0</v>
      </c>
      <c r="F238" s="14" t="s">
        <v>154</v>
      </c>
      <c r="G238" t="s">
        <v>155</v>
      </c>
      <c r="H238" s="14" t="s">
        <v>93</v>
      </c>
      <c r="I238" s="2">
        <v>6</v>
      </c>
      <c r="J238" s="2">
        <v>0</v>
      </c>
      <c r="K238" s="2">
        <v>0</v>
      </c>
      <c r="L238" s="2"/>
      <c r="M238" s="2">
        <v>0</v>
      </c>
      <c r="N238" s="14"/>
      <c r="O238" s="14"/>
      <c r="P238" s="2">
        <v>150</v>
      </c>
      <c r="Q238" s="2">
        <v>900</v>
      </c>
      <c r="R238" s="2">
        <v>0</v>
      </c>
      <c r="S238">
        <f t="shared" si="16"/>
        <v>0</v>
      </c>
      <c r="T238" t="s">
        <v>132</v>
      </c>
      <c r="U238">
        <f>_xlfn.XLOOKUP(T238,$Y$2:$Y$45,$AB$2:$AB$45)*(Q238)</f>
        <v>36</v>
      </c>
      <c r="AD238" s="19">
        <v>38807</v>
      </c>
      <c r="AE238">
        <v>184</v>
      </c>
      <c r="AG238">
        <v>38807</v>
      </c>
      <c r="AH238" s="1">
        <v>184</v>
      </c>
    </row>
    <row r="239" spans="1:34" hidden="1" x14ac:dyDescent="0.25">
      <c r="A239" s="2">
        <v>38140</v>
      </c>
      <c r="B239" s="13" t="s">
        <v>497</v>
      </c>
      <c r="C239" s="14" t="s">
        <v>39</v>
      </c>
      <c r="D239" s="15">
        <v>45316</v>
      </c>
      <c r="E239" s="2">
        <v>0</v>
      </c>
      <c r="F239" s="14" t="s">
        <v>498</v>
      </c>
      <c r="G239" t="s">
        <v>499</v>
      </c>
      <c r="H239" s="14" t="s">
        <v>42</v>
      </c>
      <c r="I239" s="2">
        <v>3</v>
      </c>
      <c r="J239" s="2">
        <v>0</v>
      </c>
      <c r="K239" s="2">
        <v>0</v>
      </c>
      <c r="L239" s="2"/>
      <c r="M239" s="2">
        <v>0</v>
      </c>
      <c r="N239" s="14"/>
      <c r="O239" s="14"/>
      <c r="P239" s="2">
        <v>448</v>
      </c>
      <c r="Q239" s="2">
        <v>1344</v>
      </c>
      <c r="R239" s="2">
        <v>366.76</v>
      </c>
      <c r="S239">
        <f t="shared" si="16"/>
        <v>1100.28</v>
      </c>
      <c r="T239" t="s">
        <v>140</v>
      </c>
      <c r="U239" s="1">
        <f>_xlfn.XLOOKUP(T239,$Y$2:$Y$45,$AA$2:$AA$45)*(Q239-S239)</f>
        <v>19.497600000000002</v>
      </c>
      <c r="AD239" s="19">
        <v>38809</v>
      </c>
      <c r="AE239">
        <v>7.1328000000000022</v>
      </c>
      <c r="AG239">
        <v>38809</v>
      </c>
      <c r="AH239" s="1">
        <v>7.1328000000000022</v>
      </c>
    </row>
    <row r="240" spans="1:34" hidden="1" x14ac:dyDescent="0.25">
      <c r="A240" s="2">
        <v>38140</v>
      </c>
      <c r="B240" s="13" t="s">
        <v>497</v>
      </c>
      <c r="C240" s="14" t="s">
        <v>39</v>
      </c>
      <c r="D240" s="15">
        <v>45316</v>
      </c>
      <c r="E240" s="2">
        <v>0</v>
      </c>
      <c r="F240" s="14" t="s">
        <v>500</v>
      </c>
      <c r="G240" t="s">
        <v>501</v>
      </c>
      <c r="H240" s="14" t="s">
        <v>42</v>
      </c>
      <c r="I240" s="2">
        <v>1</v>
      </c>
      <c r="J240" s="2">
        <v>0</v>
      </c>
      <c r="K240" s="2">
        <v>0</v>
      </c>
      <c r="L240" s="2"/>
      <c r="M240" s="2">
        <v>0</v>
      </c>
      <c r="N240" s="14"/>
      <c r="O240" s="14"/>
      <c r="P240" s="2">
        <v>635</v>
      </c>
      <c r="Q240" s="2">
        <v>635</v>
      </c>
      <c r="R240" s="2">
        <v>520</v>
      </c>
      <c r="S240">
        <f t="shared" si="16"/>
        <v>520</v>
      </c>
      <c r="T240" t="s">
        <v>140</v>
      </c>
      <c r="U240" s="1">
        <f>_xlfn.XLOOKUP(T240,$Y$2:$Y$45,$AA$2:$AA$45)*(Q240-S240)</f>
        <v>9.2000000000000011</v>
      </c>
      <c r="AD240" s="19">
        <v>38815</v>
      </c>
      <c r="AE240">
        <v>0</v>
      </c>
      <c r="AG240">
        <v>38815</v>
      </c>
      <c r="AH240" s="1">
        <v>0</v>
      </c>
    </row>
    <row r="241" spans="1:34" hidden="1" x14ac:dyDescent="0.25">
      <c r="A241" s="2">
        <v>38140</v>
      </c>
      <c r="B241" s="13" t="s">
        <v>497</v>
      </c>
      <c r="C241" s="14" t="s">
        <v>39</v>
      </c>
      <c r="D241" s="15">
        <v>45316</v>
      </c>
      <c r="E241" s="2">
        <v>0</v>
      </c>
      <c r="F241" s="14" t="s">
        <v>49</v>
      </c>
      <c r="G241" t="s">
        <v>225</v>
      </c>
      <c r="H241" s="14" t="s">
        <v>42</v>
      </c>
      <c r="I241" s="2">
        <v>4</v>
      </c>
      <c r="J241" s="2">
        <v>0</v>
      </c>
      <c r="K241" s="2">
        <v>0</v>
      </c>
      <c r="L241" s="2"/>
      <c r="M241" s="2">
        <v>0</v>
      </c>
      <c r="N241" s="14"/>
      <c r="O241" s="14"/>
      <c r="P241" s="2">
        <v>125</v>
      </c>
      <c r="Q241" s="2">
        <v>500</v>
      </c>
      <c r="R241" s="2">
        <v>102.35</v>
      </c>
      <c r="S241">
        <f t="shared" si="16"/>
        <v>409.4</v>
      </c>
      <c r="T241" t="s">
        <v>140</v>
      </c>
      <c r="U241" s="1">
        <f>_xlfn.XLOOKUP(T241,$Y$2:$Y$45,$AA$2:$AA$45)*(Q241-S241)</f>
        <v>7.248000000000002</v>
      </c>
      <c r="AD241" s="19">
        <v>38817</v>
      </c>
      <c r="AE241">
        <v>103.8419</v>
      </c>
      <c r="AG241">
        <v>38817</v>
      </c>
      <c r="AH241" s="1">
        <v>103.8419</v>
      </c>
    </row>
    <row r="242" spans="1:34" hidden="1" x14ac:dyDescent="0.25">
      <c r="A242" s="2">
        <v>38143</v>
      </c>
      <c r="B242" s="13" t="s">
        <v>502</v>
      </c>
      <c r="C242" s="14" t="s">
        <v>39</v>
      </c>
      <c r="D242" s="15">
        <v>45322</v>
      </c>
      <c r="E242" s="2">
        <v>1.1000000000000001</v>
      </c>
      <c r="F242" s="14" t="s">
        <v>503</v>
      </c>
      <c r="G242" t="s">
        <v>504</v>
      </c>
      <c r="H242" s="14" t="s">
        <v>505</v>
      </c>
      <c r="I242" s="2">
        <v>1</v>
      </c>
      <c r="J242" s="2">
        <v>18</v>
      </c>
      <c r="K242" s="2">
        <v>5.38</v>
      </c>
      <c r="L242" s="2"/>
      <c r="M242" s="2">
        <v>18</v>
      </c>
      <c r="N242" s="14"/>
      <c r="O242" s="14"/>
      <c r="P242" s="2">
        <v>50</v>
      </c>
      <c r="Q242" s="2">
        <v>50</v>
      </c>
      <c r="R242" s="2">
        <v>0</v>
      </c>
      <c r="S242">
        <f t="shared" si="16"/>
        <v>0</v>
      </c>
      <c r="T242" t="s">
        <v>132</v>
      </c>
      <c r="U242">
        <f t="shared" ref="U242:U247" si="22">_xlfn.XLOOKUP(T242,$Y$2:$Y$45,$AB$2:$AB$45)*(Q242)</f>
        <v>2</v>
      </c>
      <c r="AD242" s="19">
        <v>38818</v>
      </c>
      <c r="AE242">
        <v>0</v>
      </c>
      <c r="AG242">
        <v>38818</v>
      </c>
      <c r="AH242" s="1">
        <v>0</v>
      </c>
    </row>
    <row r="243" spans="1:34" hidden="1" x14ac:dyDescent="0.25">
      <c r="A243" s="2">
        <v>38143</v>
      </c>
      <c r="B243" s="13" t="s">
        <v>502</v>
      </c>
      <c r="C243" s="14" t="s">
        <v>39</v>
      </c>
      <c r="D243" s="15">
        <v>45322</v>
      </c>
      <c r="E243" s="2">
        <v>1.1000000000000001</v>
      </c>
      <c r="F243" s="14" t="s">
        <v>503</v>
      </c>
      <c r="G243" t="s">
        <v>504</v>
      </c>
      <c r="H243" s="14" t="s">
        <v>505</v>
      </c>
      <c r="I243" s="2">
        <v>1</v>
      </c>
      <c r="J243" s="2">
        <v>18</v>
      </c>
      <c r="K243" s="2">
        <v>5.38</v>
      </c>
      <c r="L243" s="2"/>
      <c r="M243" s="2">
        <v>18</v>
      </c>
      <c r="N243" s="14"/>
      <c r="O243" s="14"/>
      <c r="P243" s="2">
        <v>50</v>
      </c>
      <c r="Q243" s="2">
        <v>50</v>
      </c>
      <c r="R243" s="2">
        <v>0</v>
      </c>
      <c r="S243">
        <f t="shared" si="16"/>
        <v>0</v>
      </c>
      <c r="T243" t="s">
        <v>132</v>
      </c>
      <c r="U243">
        <f t="shared" si="22"/>
        <v>2</v>
      </c>
      <c r="AD243" s="19">
        <v>38823</v>
      </c>
      <c r="AE243">
        <v>13.497600000000002</v>
      </c>
      <c r="AG243">
        <v>38823</v>
      </c>
      <c r="AH243" s="1">
        <v>13.497600000000002</v>
      </c>
    </row>
    <row r="244" spans="1:34" hidden="1" x14ac:dyDescent="0.25">
      <c r="A244" s="2">
        <v>38143</v>
      </c>
      <c r="B244" s="13" t="s">
        <v>502</v>
      </c>
      <c r="C244" s="14" t="s">
        <v>39</v>
      </c>
      <c r="D244" s="15">
        <v>45322</v>
      </c>
      <c r="E244" s="2">
        <v>1.1000000000000001</v>
      </c>
      <c r="F244" s="14" t="s">
        <v>506</v>
      </c>
      <c r="G244" t="s">
        <v>507</v>
      </c>
      <c r="H244" s="14" t="s">
        <v>508</v>
      </c>
      <c r="I244" s="2">
        <v>10</v>
      </c>
      <c r="J244" s="2">
        <v>10.5</v>
      </c>
      <c r="K244" s="2">
        <v>3.21</v>
      </c>
      <c r="L244" s="2"/>
      <c r="M244" s="2">
        <v>105</v>
      </c>
      <c r="N244" s="14"/>
      <c r="O244" s="14"/>
      <c r="P244" s="2">
        <v>50</v>
      </c>
      <c r="Q244" s="2">
        <v>500</v>
      </c>
      <c r="R244" s="2">
        <v>0</v>
      </c>
      <c r="S244">
        <f t="shared" si="16"/>
        <v>0</v>
      </c>
      <c r="T244" t="s">
        <v>132</v>
      </c>
      <c r="U244">
        <f t="shared" si="22"/>
        <v>20</v>
      </c>
      <c r="AD244" s="19">
        <v>38827</v>
      </c>
      <c r="AE244">
        <v>0</v>
      </c>
      <c r="AG244">
        <v>38827</v>
      </c>
      <c r="AH244" s="1">
        <v>0</v>
      </c>
    </row>
    <row r="245" spans="1:34" hidden="1" x14ac:dyDescent="0.25">
      <c r="A245" s="2">
        <v>38143</v>
      </c>
      <c r="B245" s="13" t="s">
        <v>502</v>
      </c>
      <c r="C245" s="14" t="s">
        <v>39</v>
      </c>
      <c r="D245" s="15">
        <v>45322</v>
      </c>
      <c r="E245" s="2">
        <v>1.1000000000000001</v>
      </c>
      <c r="F245" s="14" t="s">
        <v>503</v>
      </c>
      <c r="G245" t="s">
        <v>504</v>
      </c>
      <c r="H245" s="14" t="s">
        <v>505</v>
      </c>
      <c r="I245" s="2">
        <v>1</v>
      </c>
      <c r="J245" s="2">
        <v>18</v>
      </c>
      <c r="K245" s="2">
        <v>5.38</v>
      </c>
      <c r="L245" s="2"/>
      <c r="M245" s="2">
        <v>18</v>
      </c>
      <c r="N245" s="14"/>
      <c r="O245" s="14"/>
      <c r="P245" s="2">
        <v>50</v>
      </c>
      <c r="Q245" s="2">
        <v>50</v>
      </c>
      <c r="R245" s="2">
        <v>0</v>
      </c>
      <c r="S245">
        <f t="shared" si="16"/>
        <v>0</v>
      </c>
      <c r="T245" t="s">
        <v>132</v>
      </c>
      <c r="U245">
        <f t="shared" si="22"/>
        <v>2</v>
      </c>
      <c r="AD245" s="19">
        <v>38828</v>
      </c>
      <c r="AE245">
        <v>14.159999999999995</v>
      </c>
      <c r="AG245">
        <v>38828</v>
      </c>
      <c r="AH245" s="1">
        <v>14.159999999999995</v>
      </c>
    </row>
    <row r="246" spans="1:34" hidden="1" x14ac:dyDescent="0.25">
      <c r="A246" s="2">
        <v>38143</v>
      </c>
      <c r="B246" s="13" t="s">
        <v>502</v>
      </c>
      <c r="C246" s="14" t="s">
        <v>39</v>
      </c>
      <c r="D246" s="15">
        <v>45322</v>
      </c>
      <c r="E246" s="2">
        <v>1.1000000000000001</v>
      </c>
      <c r="F246" s="14" t="s">
        <v>503</v>
      </c>
      <c r="G246" t="s">
        <v>504</v>
      </c>
      <c r="H246" s="14" t="s">
        <v>505</v>
      </c>
      <c r="I246" s="2">
        <v>1</v>
      </c>
      <c r="J246" s="2">
        <v>18</v>
      </c>
      <c r="K246" s="2">
        <v>5.38</v>
      </c>
      <c r="L246" s="2"/>
      <c r="M246" s="2">
        <v>18</v>
      </c>
      <c r="N246" s="14"/>
      <c r="O246" s="14"/>
      <c r="P246" s="2">
        <v>50</v>
      </c>
      <c r="Q246" s="2">
        <v>50</v>
      </c>
      <c r="R246" s="2">
        <v>0</v>
      </c>
      <c r="S246">
        <f t="shared" si="16"/>
        <v>0</v>
      </c>
      <c r="T246" t="s">
        <v>132</v>
      </c>
      <c r="U246">
        <f t="shared" si="22"/>
        <v>2</v>
      </c>
      <c r="AD246" s="19">
        <v>38850</v>
      </c>
      <c r="AE246">
        <v>26.367199999999997</v>
      </c>
      <c r="AG246">
        <v>38850</v>
      </c>
      <c r="AH246" s="1">
        <v>26.367199999999997</v>
      </c>
    </row>
    <row r="247" spans="1:34" hidden="1" x14ac:dyDescent="0.25">
      <c r="A247" s="2">
        <v>38143</v>
      </c>
      <c r="B247" s="13" t="s">
        <v>502</v>
      </c>
      <c r="C247" s="14" t="s">
        <v>39</v>
      </c>
      <c r="D247" s="15">
        <v>45322</v>
      </c>
      <c r="E247" s="2">
        <v>1.1000000000000001</v>
      </c>
      <c r="F247" s="14" t="s">
        <v>506</v>
      </c>
      <c r="G247" t="s">
        <v>507</v>
      </c>
      <c r="H247" s="14" t="s">
        <v>508</v>
      </c>
      <c r="I247" s="2">
        <v>5</v>
      </c>
      <c r="J247" s="2">
        <v>10.5</v>
      </c>
      <c r="K247" s="2">
        <v>3.21</v>
      </c>
      <c r="L247" s="2"/>
      <c r="M247" s="2">
        <v>52.5</v>
      </c>
      <c r="N247" s="14"/>
      <c r="O247" s="14"/>
      <c r="P247" s="2">
        <v>50</v>
      </c>
      <c r="Q247" s="2">
        <v>250</v>
      </c>
      <c r="R247" s="2">
        <v>0</v>
      </c>
      <c r="S247">
        <f t="shared" si="16"/>
        <v>0</v>
      </c>
      <c r="T247" t="s">
        <v>132</v>
      </c>
      <c r="U247">
        <f t="shared" si="22"/>
        <v>10</v>
      </c>
      <c r="AD247" s="19">
        <v>38854</v>
      </c>
      <c r="AE247">
        <v>0</v>
      </c>
      <c r="AG247">
        <v>38854</v>
      </c>
      <c r="AH247" s="1">
        <v>0</v>
      </c>
    </row>
    <row r="248" spans="1:34" hidden="1" x14ac:dyDescent="0.25">
      <c r="A248" s="2">
        <v>38171</v>
      </c>
      <c r="B248" s="13" t="s">
        <v>509</v>
      </c>
      <c r="C248" s="14" t="s">
        <v>39</v>
      </c>
      <c r="D248" s="15">
        <v>45299</v>
      </c>
      <c r="E248" s="2">
        <v>0</v>
      </c>
      <c r="F248" s="14" t="s">
        <v>510</v>
      </c>
      <c r="G248" t="s">
        <v>511</v>
      </c>
      <c r="H248" s="14" t="s">
        <v>173</v>
      </c>
      <c r="I248" s="2">
        <v>50</v>
      </c>
      <c r="J248" s="2">
        <v>0</v>
      </c>
      <c r="K248" s="2">
        <v>0</v>
      </c>
      <c r="L248" s="2"/>
      <c r="M248" s="2">
        <v>0</v>
      </c>
      <c r="N248" s="14"/>
      <c r="O248" s="14"/>
      <c r="P248" s="2">
        <v>4.95</v>
      </c>
      <c r="Q248" s="2">
        <v>247.5</v>
      </c>
      <c r="R248" s="2">
        <v>2.95</v>
      </c>
      <c r="S248">
        <f t="shared" si="16"/>
        <v>147.5</v>
      </c>
      <c r="T248" t="s">
        <v>105</v>
      </c>
      <c r="U248" s="1">
        <f>_xlfn.XLOOKUP(T248,$Y$2:$Y$45,$AA$2:$AA$45)*(Q248-S248)</f>
        <v>4</v>
      </c>
      <c r="AD248" s="19">
        <v>38859</v>
      </c>
      <c r="AE248">
        <v>0</v>
      </c>
      <c r="AG248">
        <v>38859</v>
      </c>
      <c r="AH248" s="1">
        <v>0</v>
      </c>
    </row>
    <row r="249" spans="1:34" hidden="1" x14ac:dyDescent="0.25">
      <c r="A249" s="2">
        <v>38182</v>
      </c>
      <c r="B249" s="13" t="s">
        <v>512</v>
      </c>
      <c r="C249" s="14" t="s">
        <v>39</v>
      </c>
      <c r="D249" s="15">
        <v>45309</v>
      </c>
      <c r="E249" s="2">
        <v>25.5</v>
      </c>
      <c r="F249" s="14" t="s">
        <v>513</v>
      </c>
      <c r="G249" t="s">
        <v>514</v>
      </c>
      <c r="H249" s="14" t="s">
        <v>508</v>
      </c>
      <c r="I249" s="2">
        <v>1</v>
      </c>
      <c r="J249" s="2">
        <v>14</v>
      </c>
      <c r="K249" s="2">
        <v>5.38</v>
      </c>
      <c r="L249" s="2"/>
      <c r="M249" s="2">
        <v>14</v>
      </c>
      <c r="N249" s="14"/>
      <c r="O249" s="14"/>
      <c r="P249" s="2">
        <v>3</v>
      </c>
      <c r="Q249" s="2">
        <v>3</v>
      </c>
      <c r="R249" s="2">
        <v>9</v>
      </c>
      <c r="S249">
        <f t="shared" si="16"/>
        <v>9</v>
      </c>
      <c r="T249" t="s">
        <v>147</v>
      </c>
      <c r="U249">
        <f>_xlfn.XLOOKUP(T249,$Y$2:$Y$45,$AB$2:$AB$45)*(Q249)</f>
        <v>0.12</v>
      </c>
      <c r="AD249" s="19">
        <v>38870</v>
      </c>
      <c r="AE249">
        <v>52.94905</v>
      </c>
      <c r="AG249">
        <v>38870</v>
      </c>
      <c r="AH249" s="1">
        <v>52.94905</v>
      </c>
    </row>
    <row r="250" spans="1:34" hidden="1" x14ac:dyDescent="0.25">
      <c r="A250" s="2">
        <v>38182</v>
      </c>
      <c r="B250" s="13" t="s">
        <v>512</v>
      </c>
      <c r="C250" s="14" t="s">
        <v>39</v>
      </c>
      <c r="D250" s="15">
        <v>45309</v>
      </c>
      <c r="E250" s="2">
        <v>25.5</v>
      </c>
      <c r="F250" s="14" t="s">
        <v>515</v>
      </c>
      <c r="G250" t="s">
        <v>516</v>
      </c>
      <c r="H250" s="14" t="s">
        <v>508</v>
      </c>
      <c r="I250" s="2">
        <v>23</v>
      </c>
      <c r="J250" s="2">
        <v>0.5</v>
      </c>
      <c r="K250" s="2">
        <v>0.17</v>
      </c>
      <c r="L250" s="2"/>
      <c r="M250" s="2">
        <v>11.5</v>
      </c>
      <c r="N250" s="14"/>
      <c r="O250" s="14"/>
      <c r="P250" s="2">
        <v>3</v>
      </c>
      <c r="Q250" s="2">
        <v>69</v>
      </c>
      <c r="R250" s="2">
        <v>9</v>
      </c>
      <c r="S250">
        <f t="shared" si="16"/>
        <v>207</v>
      </c>
      <c r="T250" t="s">
        <v>147</v>
      </c>
      <c r="U250">
        <f>_xlfn.XLOOKUP(T250,$Y$2:$Y$45,$AB$2:$AB$45)*(Q250)</f>
        <v>2.7600000000000002</v>
      </c>
      <c r="AD250" s="19">
        <v>38872</v>
      </c>
      <c r="AE250">
        <v>0</v>
      </c>
      <c r="AG250">
        <v>38872</v>
      </c>
      <c r="AH250" s="1">
        <v>0</v>
      </c>
    </row>
    <row r="251" spans="1:34" hidden="1" x14ac:dyDescent="0.25">
      <c r="A251" s="2">
        <v>38217</v>
      </c>
      <c r="B251" s="13" t="s">
        <v>517</v>
      </c>
      <c r="C251" s="14" t="s">
        <v>39</v>
      </c>
      <c r="D251" s="15">
        <v>45301</v>
      </c>
      <c r="E251" s="2">
        <v>0</v>
      </c>
      <c r="F251" s="14" t="s">
        <v>518</v>
      </c>
      <c r="G251" t="s">
        <v>519</v>
      </c>
      <c r="H251" s="14" t="s">
        <v>42</v>
      </c>
      <c r="I251" s="2">
        <v>1</v>
      </c>
      <c r="J251" s="2">
        <v>0</v>
      </c>
      <c r="K251" s="2">
        <v>0</v>
      </c>
      <c r="L251" s="2"/>
      <c r="M251" s="2">
        <v>0</v>
      </c>
      <c r="N251" s="14"/>
      <c r="O251" s="14"/>
      <c r="P251" s="2">
        <v>860.24</v>
      </c>
      <c r="Q251" s="2">
        <v>860.24</v>
      </c>
      <c r="R251" s="2">
        <v>714</v>
      </c>
      <c r="S251">
        <f t="shared" si="16"/>
        <v>714</v>
      </c>
      <c r="T251" t="s">
        <v>184</v>
      </c>
      <c r="U251" s="1">
        <f>_xlfn.XLOOKUP(T251,$Y$2:$Y$45,$AA$2:$AA$45)*(Q251-S251)</f>
        <v>0</v>
      </c>
      <c r="AD251" s="19">
        <v>38875</v>
      </c>
      <c r="AE251">
        <v>0</v>
      </c>
      <c r="AG251">
        <v>38875</v>
      </c>
      <c r="AH251" s="1">
        <v>0</v>
      </c>
    </row>
    <row r="252" spans="1:34" hidden="1" x14ac:dyDescent="0.25">
      <c r="A252" s="2">
        <v>38217</v>
      </c>
      <c r="B252" s="13" t="s">
        <v>517</v>
      </c>
      <c r="C252" s="14" t="s">
        <v>39</v>
      </c>
      <c r="D252" s="15">
        <v>45301</v>
      </c>
      <c r="E252" s="2">
        <v>0</v>
      </c>
      <c r="F252" s="14" t="s">
        <v>520</v>
      </c>
      <c r="G252" t="s">
        <v>521</v>
      </c>
      <c r="H252" s="14" t="s">
        <v>42</v>
      </c>
      <c r="I252" s="2">
        <v>2</v>
      </c>
      <c r="J252" s="2">
        <v>0</v>
      </c>
      <c r="K252" s="2">
        <v>0</v>
      </c>
      <c r="L252" s="2"/>
      <c r="M252" s="2">
        <v>0</v>
      </c>
      <c r="N252" s="14"/>
      <c r="O252" s="14"/>
      <c r="P252" s="2">
        <v>258.58</v>
      </c>
      <c r="Q252" s="2">
        <v>517.16</v>
      </c>
      <c r="R252" s="2">
        <v>214.62</v>
      </c>
      <c r="S252">
        <f t="shared" si="16"/>
        <v>429.24</v>
      </c>
      <c r="T252" t="s">
        <v>184</v>
      </c>
      <c r="U252" s="1">
        <f>_xlfn.XLOOKUP(T252,$Y$2:$Y$45,$AA$2:$AA$45)*(Q252-S252)</f>
        <v>0</v>
      </c>
      <c r="AD252" s="19">
        <v>38881</v>
      </c>
      <c r="AE252">
        <v>7.7208000000000006</v>
      </c>
      <c r="AG252">
        <v>38881</v>
      </c>
      <c r="AH252" s="1">
        <v>7.7208000000000006</v>
      </c>
    </row>
    <row r="253" spans="1:34" x14ac:dyDescent="0.25">
      <c r="A253" s="2">
        <v>38229</v>
      </c>
      <c r="B253" s="13" t="s">
        <v>522</v>
      </c>
      <c r="C253" s="14" t="s">
        <v>39</v>
      </c>
      <c r="D253" s="15">
        <v>45303</v>
      </c>
      <c r="E253" s="2">
        <v>0</v>
      </c>
      <c r="F253" s="14" t="s">
        <v>152</v>
      </c>
      <c r="G253" t="s">
        <v>523</v>
      </c>
      <c r="H253" s="14" t="s">
        <v>93</v>
      </c>
      <c r="I253" s="2">
        <v>2</v>
      </c>
      <c r="J253" s="2">
        <v>0</v>
      </c>
      <c r="K253" s="2">
        <v>0</v>
      </c>
      <c r="L253" s="2"/>
      <c r="M253" s="2">
        <v>0</v>
      </c>
      <c r="N253" s="14"/>
      <c r="O253" s="14"/>
      <c r="P253" s="2">
        <v>150</v>
      </c>
      <c r="Q253" s="2">
        <v>300</v>
      </c>
      <c r="R253" s="2">
        <v>0</v>
      </c>
      <c r="S253">
        <f t="shared" si="16"/>
        <v>0</v>
      </c>
      <c r="T253" t="s">
        <v>132</v>
      </c>
      <c r="U253">
        <f>_xlfn.XLOOKUP(T253,$Y$2:$Y$45,$AB$2:$AB$45)*(Q253)</f>
        <v>12</v>
      </c>
      <c r="AD253" s="19">
        <v>38883</v>
      </c>
      <c r="AE253">
        <v>0</v>
      </c>
      <c r="AG253">
        <v>38883</v>
      </c>
      <c r="AH253" s="1">
        <v>0</v>
      </c>
    </row>
    <row r="254" spans="1:34" hidden="1" x14ac:dyDescent="0.25">
      <c r="A254" s="2">
        <v>38254</v>
      </c>
      <c r="B254" s="13" t="s">
        <v>524</v>
      </c>
      <c r="C254" s="14" t="s">
        <v>39</v>
      </c>
      <c r="D254" s="15">
        <v>45306</v>
      </c>
      <c r="E254" s="2">
        <v>0</v>
      </c>
      <c r="F254" s="14" t="s">
        <v>525</v>
      </c>
      <c r="G254" t="s">
        <v>526</v>
      </c>
      <c r="H254" s="14" t="s">
        <v>42</v>
      </c>
      <c r="I254" s="2">
        <v>1</v>
      </c>
      <c r="J254" s="2">
        <v>0</v>
      </c>
      <c r="K254" s="2">
        <v>0</v>
      </c>
      <c r="L254" s="2"/>
      <c r="M254" s="2">
        <v>0</v>
      </c>
      <c r="N254" s="14"/>
      <c r="O254" s="14"/>
      <c r="P254" s="2">
        <v>56.46</v>
      </c>
      <c r="Q254" s="2">
        <v>56.46</v>
      </c>
      <c r="R254" s="2">
        <v>45.17</v>
      </c>
      <c r="S254">
        <f t="shared" si="16"/>
        <v>45.17</v>
      </c>
      <c r="T254" t="s">
        <v>107</v>
      </c>
      <c r="U254" s="1">
        <f>_xlfn.XLOOKUP(T254,$Y$2:$Y$45,$AA$2:$AA$45)*(Q254-S254)</f>
        <v>0.4516</v>
      </c>
      <c r="AD254" s="19">
        <v>38886</v>
      </c>
      <c r="AE254">
        <v>0</v>
      </c>
      <c r="AG254">
        <v>38886</v>
      </c>
      <c r="AH254" s="1">
        <v>0</v>
      </c>
    </row>
    <row r="255" spans="1:34" hidden="1" x14ac:dyDescent="0.25">
      <c r="A255" s="2">
        <v>38254</v>
      </c>
      <c r="B255" s="13" t="s">
        <v>524</v>
      </c>
      <c r="C255" s="14" t="s">
        <v>39</v>
      </c>
      <c r="D255" s="15">
        <v>45306</v>
      </c>
      <c r="E255" s="2">
        <v>0</v>
      </c>
      <c r="F255" s="14" t="s">
        <v>387</v>
      </c>
      <c r="G255" t="s">
        <v>527</v>
      </c>
      <c r="H255" s="14" t="s">
        <v>42</v>
      </c>
      <c r="I255" s="2">
        <v>1</v>
      </c>
      <c r="J255" s="2">
        <v>0</v>
      </c>
      <c r="K255" s="2">
        <v>0</v>
      </c>
      <c r="L255" s="2"/>
      <c r="M255" s="2">
        <v>0</v>
      </c>
      <c r="N255" s="14"/>
      <c r="O255" s="14"/>
      <c r="P255" s="2">
        <v>2023.52</v>
      </c>
      <c r="Q255" s="2">
        <v>2023.52</v>
      </c>
      <c r="R255" s="2">
        <v>1623.21</v>
      </c>
      <c r="S255">
        <f t="shared" si="16"/>
        <v>1623.21</v>
      </c>
      <c r="T255" t="s">
        <v>107</v>
      </c>
      <c r="U255" s="1">
        <f>_xlfn.XLOOKUP(T255,$Y$2:$Y$45,$AA$2:$AA$45)*(Q255-S255)</f>
        <v>16.0124</v>
      </c>
      <c r="AD255" s="19">
        <v>38888</v>
      </c>
      <c r="AE255">
        <v>7.1608000000000001</v>
      </c>
      <c r="AG255">
        <v>38888</v>
      </c>
      <c r="AH255" s="1">
        <v>7.1608000000000001</v>
      </c>
    </row>
    <row r="256" spans="1:34" hidden="1" x14ac:dyDescent="0.25">
      <c r="A256" s="2">
        <v>38254</v>
      </c>
      <c r="B256" s="13" t="s">
        <v>524</v>
      </c>
      <c r="C256" s="14" t="s">
        <v>39</v>
      </c>
      <c r="D256" s="15">
        <v>45306</v>
      </c>
      <c r="E256" s="2">
        <v>0</v>
      </c>
      <c r="F256" s="14" t="s">
        <v>528</v>
      </c>
      <c r="G256" t="s">
        <v>526</v>
      </c>
      <c r="H256" s="14" t="s">
        <v>42</v>
      </c>
      <c r="I256" s="2">
        <v>10</v>
      </c>
      <c r="J256" s="2">
        <v>0</v>
      </c>
      <c r="K256" s="2">
        <v>0</v>
      </c>
      <c r="L256" s="2"/>
      <c r="M256" s="2">
        <v>0</v>
      </c>
      <c r="N256" s="14"/>
      <c r="O256" s="14"/>
      <c r="P256" s="2">
        <v>198.85</v>
      </c>
      <c r="Q256" s="2">
        <v>1988.5</v>
      </c>
      <c r="R256" s="2">
        <v>158.63999999999999</v>
      </c>
      <c r="S256">
        <f t="shared" si="16"/>
        <v>1586.3999999999999</v>
      </c>
      <c r="T256" t="s">
        <v>107</v>
      </c>
      <c r="U256" s="1">
        <f>_xlfn.XLOOKUP(T256,$Y$2:$Y$45,$AA$2:$AA$45)*(Q256-S256)</f>
        <v>16.084000000000007</v>
      </c>
      <c r="AD256" s="19">
        <v>38890</v>
      </c>
      <c r="AE256">
        <v>0</v>
      </c>
      <c r="AG256">
        <v>38890</v>
      </c>
      <c r="AH256" s="1">
        <v>0</v>
      </c>
    </row>
    <row r="257" spans="1:34" hidden="1" x14ac:dyDescent="0.25">
      <c r="A257" s="2">
        <v>38271</v>
      </c>
      <c r="B257" s="13" t="s">
        <v>529</v>
      </c>
      <c r="C257" s="14" t="s">
        <v>39</v>
      </c>
      <c r="D257" s="15">
        <v>45301</v>
      </c>
      <c r="E257" s="2">
        <v>0</v>
      </c>
      <c r="F257" s="14" t="s">
        <v>530</v>
      </c>
      <c r="G257" t="s">
        <v>531</v>
      </c>
      <c r="H257" s="14" t="s">
        <v>42</v>
      </c>
      <c r="I257" s="2">
        <v>10</v>
      </c>
      <c r="J257" s="2">
        <v>0</v>
      </c>
      <c r="K257" s="2">
        <v>0</v>
      </c>
      <c r="L257" s="2"/>
      <c r="M257" s="2">
        <v>0</v>
      </c>
      <c r="N257" s="14"/>
      <c r="O257" s="14"/>
      <c r="P257" s="2">
        <v>174</v>
      </c>
      <c r="Q257" s="2">
        <v>1740</v>
      </c>
      <c r="R257" s="2">
        <v>142.02000000000001</v>
      </c>
      <c r="S257">
        <f t="shared" si="16"/>
        <v>1420.2</v>
      </c>
      <c r="T257" t="s">
        <v>47</v>
      </c>
      <c r="U257" s="1">
        <f>_xlfn.XLOOKUP(T257,$Y$2:$Y$45,$AA$2:$AA$45)*(Q257-S257)</f>
        <v>27.183</v>
      </c>
      <c r="AD257" s="19">
        <v>38892</v>
      </c>
      <c r="AE257">
        <v>0</v>
      </c>
      <c r="AG257">
        <v>38892</v>
      </c>
      <c r="AH257" s="1">
        <v>0</v>
      </c>
    </row>
    <row r="258" spans="1:34" x14ac:dyDescent="0.25">
      <c r="A258" s="2">
        <v>38272</v>
      </c>
      <c r="B258" s="13" t="s">
        <v>532</v>
      </c>
      <c r="C258" s="14" t="s">
        <v>39</v>
      </c>
      <c r="D258" s="15">
        <v>45296</v>
      </c>
      <c r="E258" s="2">
        <v>0</v>
      </c>
      <c r="F258" s="14" t="s">
        <v>533</v>
      </c>
      <c r="G258" t="s">
        <v>534</v>
      </c>
      <c r="H258" s="14" t="s">
        <v>93</v>
      </c>
      <c r="I258" s="2">
        <v>1</v>
      </c>
      <c r="J258" s="2">
        <v>0</v>
      </c>
      <c r="K258" s="2">
        <v>0</v>
      </c>
      <c r="L258" s="2"/>
      <c r="M258" s="2">
        <v>0</v>
      </c>
      <c r="N258" s="14"/>
      <c r="O258" s="14"/>
      <c r="P258" s="2">
        <v>149</v>
      </c>
      <c r="Q258" s="2">
        <v>149</v>
      </c>
      <c r="R258" s="2">
        <v>0</v>
      </c>
      <c r="S258">
        <f t="shared" ref="S258:S321" si="23">R258*I258</f>
        <v>0</v>
      </c>
      <c r="T258" t="s">
        <v>1874</v>
      </c>
      <c r="U258">
        <f>_xlfn.XLOOKUP(T258,$Y$2:$Y$45,$AB$2:$AB$45)*(Q258)</f>
        <v>5.96</v>
      </c>
      <c r="AD258" s="19">
        <v>38894</v>
      </c>
      <c r="AE258">
        <v>95.451200000000028</v>
      </c>
      <c r="AG258">
        <v>38894</v>
      </c>
      <c r="AH258" s="1">
        <v>95.451200000000028</v>
      </c>
    </row>
    <row r="259" spans="1:34" hidden="1" x14ac:dyDescent="0.25">
      <c r="A259" s="2">
        <v>38272</v>
      </c>
      <c r="B259" s="13" t="s">
        <v>532</v>
      </c>
      <c r="C259" s="14" t="s">
        <v>39</v>
      </c>
      <c r="D259" s="15">
        <v>45296</v>
      </c>
      <c r="E259" s="2">
        <v>0</v>
      </c>
      <c r="F259" s="14" t="s">
        <v>535</v>
      </c>
      <c r="G259" t="s">
        <v>536</v>
      </c>
      <c r="H259" s="14" t="s">
        <v>42</v>
      </c>
      <c r="I259" s="2">
        <v>2</v>
      </c>
      <c r="J259" s="2">
        <v>0</v>
      </c>
      <c r="K259" s="2">
        <v>0</v>
      </c>
      <c r="L259" s="2"/>
      <c r="M259" s="2">
        <v>0</v>
      </c>
      <c r="N259" s="14"/>
      <c r="O259" s="14"/>
      <c r="P259" s="2">
        <v>12.16</v>
      </c>
      <c r="Q259" s="2">
        <v>24.32</v>
      </c>
      <c r="R259" s="2">
        <v>13.79</v>
      </c>
      <c r="S259">
        <f t="shared" si="23"/>
        <v>27.58</v>
      </c>
      <c r="T259" t="s">
        <v>1874</v>
      </c>
      <c r="U259" s="1">
        <f t="shared" ref="U259:U270" si="24">_xlfn.XLOOKUP(T259,$Y$2:$Y$45,$AA$2:$AA$45)*(Q259-S259)</f>
        <v>-0.26079999999999987</v>
      </c>
      <c r="AD259" s="19">
        <v>38895</v>
      </c>
      <c r="AE259">
        <v>0</v>
      </c>
      <c r="AG259">
        <v>38895</v>
      </c>
      <c r="AH259" s="1">
        <v>0</v>
      </c>
    </row>
    <row r="260" spans="1:34" hidden="1" x14ac:dyDescent="0.25">
      <c r="A260" s="2">
        <v>38272</v>
      </c>
      <c r="B260" s="13" t="s">
        <v>532</v>
      </c>
      <c r="C260" s="14" t="s">
        <v>39</v>
      </c>
      <c r="D260" s="15">
        <v>45296</v>
      </c>
      <c r="E260" s="2">
        <v>0</v>
      </c>
      <c r="F260" s="14" t="s">
        <v>537</v>
      </c>
      <c r="G260" t="s">
        <v>538</v>
      </c>
      <c r="H260" s="14" t="s">
        <v>42</v>
      </c>
      <c r="I260" s="2">
        <v>1</v>
      </c>
      <c r="J260" s="2">
        <v>0</v>
      </c>
      <c r="K260" s="2">
        <v>0</v>
      </c>
      <c r="L260" s="2"/>
      <c r="M260" s="2">
        <v>0</v>
      </c>
      <c r="N260" s="14"/>
      <c r="O260" s="14"/>
      <c r="P260" s="2">
        <v>221.27</v>
      </c>
      <c r="Q260" s="2">
        <v>221.27</v>
      </c>
      <c r="R260" s="2">
        <v>192.42</v>
      </c>
      <c r="S260">
        <f t="shared" si="23"/>
        <v>192.42</v>
      </c>
      <c r="T260" t="s">
        <v>1874</v>
      </c>
      <c r="U260" s="1">
        <f t="shared" si="24"/>
        <v>2.308000000000002</v>
      </c>
      <c r="AD260" s="19">
        <v>38896</v>
      </c>
      <c r="AE260">
        <v>0</v>
      </c>
      <c r="AG260">
        <v>38896</v>
      </c>
      <c r="AH260" s="1">
        <v>0</v>
      </c>
    </row>
    <row r="261" spans="1:34" hidden="1" x14ac:dyDescent="0.25">
      <c r="A261" s="2">
        <v>38272</v>
      </c>
      <c r="B261" s="13" t="s">
        <v>532</v>
      </c>
      <c r="C261" s="14" t="s">
        <v>39</v>
      </c>
      <c r="D261" s="15">
        <v>45296</v>
      </c>
      <c r="E261" s="2">
        <v>0</v>
      </c>
      <c r="F261" s="14" t="s">
        <v>539</v>
      </c>
      <c r="G261" t="s">
        <v>540</v>
      </c>
      <c r="H261" s="14" t="s">
        <v>42</v>
      </c>
      <c r="I261" s="2">
        <v>1</v>
      </c>
      <c r="J261" s="2">
        <v>0</v>
      </c>
      <c r="K261" s="2">
        <v>0</v>
      </c>
      <c r="L261" s="2"/>
      <c r="M261" s="2">
        <v>0</v>
      </c>
      <c r="N261" s="14"/>
      <c r="O261" s="14"/>
      <c r="P261" s="2">
        <v>113.68</v>
      </c>
      <c r="Q261" s="2">
        <v>113.68</v>
      </c>
      <c r="R261" s="2">
        <v>98.85</v>
      </c>
      <c r="S261">
        <f t="shared" si="23"/>
        <v>98.85</v>
      </c>
      <c r="T261" t="s">
        <v>1874</v>
      </c>
      <c r="U261" s="1">
        <f t="shared" si="24"/>
        <v>1.186400000000001</v>
      </c>
      <c r="AD261" s="19">
        <v>38899</v>
      </c>
      <c r="AE261">
        <v>8.9079999999999995</v>
      </c>
      <c r="AG261">
        <v>38899</v>
      </c>
      <c r="AH261" s="1">
        <v>8.9079999999999995</v>
      </c>
    </row>
    <row r="262" spans="1:34" hidden="1" x14ac:dyDescent="0.25">
      <c r="A262" s="2">
        <v>38272</v>
      </c>
      <c r="B262" s="13" t="s">
        <v>532</v>
      </c>
      <c r="C262" s="14" t="s">
        <v>39</v>
      </c>
      <c r="D262" s="15">
        <v>45296</v>
      </c>
      <c r="E262" s="2">
        <v>0</v>
      </c>
      <c r="F262" s="14" t="s">
        <v>541</v>
      </c>
      <c r="G262" t="s">
        <v>542</v>
      </c>
      <c r="H262" s="14" t="s">
        <v>42</v>
      </c>
      <c r="I262" s="2">
        <v>1</v>
      </c>
      <c r="J262" s="2">
        <v>0</v>
      </c>
      <c r="K262" s="2">
        <v>0</v>
      </c>
      <c r="L262" s="2"/>
      <c r="M262" s="2">
        <v>0</v>
      </c>
      <c r="N262" s="14"/>
      <c r="O262" s="14"/>
      <c r="P262" s="2">
        <v>28.18</v>
      </c>
      <c r="Q262" s="2">
        <v>28.18</v>
      </c>
      <c r="R262" s="2">
        <v>25.33</v>
      </c>
      <c r="S262">
        <f t="shared" si="23"/>
        <v>25.33</v>
      </c>
      <c r="T262" t="s">
        <v>1874</v>
      </c>
      <c r="U262" s="1">
        <f t="shared" si="24"/>
        <v>0.22800000000000012</v>
      </c>
      <c r="AD262" s="19">
        <v>38900</v>
      </c>
      <c r="AE262">
        <v>0</v>
      </c>
      <c r="AG262">
        <v>38900</v>
      </c>
      <c r="AH262" s="1">
        <v>0</v>
      </c>
    </row>
    <row r="263" spans="1:34" hidden="1" x14ac:dyDescent="0.25">
      <c r="A263" s="2">
        <v>38272</v>
      </c>
      <c r="B263" s="13" t="s">
        <v>532</v>
      </c>
      <c r="C263" s="14" t="s">
        <v>39</v>
      </c>
      <c r="D263" s="15">
        <v>45296</v>
      </c>
      <c r="E263" s="2">
        <v>0</v>
      </c>
      <c r="F263" s="14" t="s">
        <v>543</v>
      </c>
      <c r="G263" t="s">
        <v>544</v>
      </c>
      <c r="H263" s="14" t="s">
        <v>42</v>
      </c>
      <c r="I263" s="2">
        <v>1</v>
      </c>
      <c r="J263" s="2">
        <v>0</v>
      </c>
      <c r="K263" s="2">
        <v>0</v>
      </c>
      <c r="L263" s="2"/>
      <c r="M263" s="2">
        <v>0</v>
      </c>
      <c r="N263" s="14"/>
      <c r="O263" s="14"/>
      <c r="P263" s="2">
        <v>301.07</v>
      </c>
      <c r="Q263" s="2">
        <v>301.07</v>
      </c>
      <c r="R263" s="2">
        <v>277.62</v>
      </c>
      <c r="S263">
        <f t="shared" si="23"/>
        <v>277.62</v>
      </c>
      <c r="T263" t="s">
        <v>1874</v>
      </c>
      <c r="U263" s="1">
        <f t="shared" si="24"/>
        <v>1.8759999999999992</v>
      </c>
      <c r="AD263" s="19">
        <v>38903</v>
      </c>
      <c r="AE263">
        <v>0</v>
      </c>
      <c r="AG263">
        <v>38903</v>
      </c>
      <c r="AH263" s="1">
        <v>0</v>
      </c>
    </row>
    <row r="264" spans="1:34" hidden="1" x14ac:dyDescent="0.25">
      <c r="A264" s="2">
        <v>38272</v>
      </c>
      <c r="B264" s="13" t="s">
        <v>532</v>
      </c>
      <c r="C264" s="14" t="s">
        <v>39</v>
      </c>
      <c r="D264" s="15">
        <v>45296</v>
      </c>
      <c r="E264" s="2">
        <v>0</v>
      </c>
      <c r="F264" s="14" t="s">
        <v>545</v>
      </c>
      <c r="G264" t="s">
        <v>546</v>
      </c>
      <c r="H264" s="14" t="s">
        <v>42</v>
      </c>
      <c r="I264" s="2">
        <v>1</v>
      </c>
      <c r="J264" s="2">
        <v>0</v>
      </c>
      <c r="K264" s="2">
        <v>0</v>
      </c>
      <c r="L264" s="2"/>
      <c r="M264" s="2">
        <v>0</v>
      </c>
      <c r="N264" s="14"/>
      <c r="O264" s="14"/>
      <c r="P264" s="2">
        <v>4080.14</v>
      </c>
      <c r="Q264" s="2">
        <v>4080.14</v>
      </c>
      <c r="R264" s="2">
        <v>3931.73</v>
      </c>
      <c r="S264">
        <f t="shared" si="23"/>
        <v>3931.73</v>
      </c>
      <c r="T264" t="s">
        <v>1874</v>
      </c>
      <c r="U264" s="1">
        <f t="shared" si="24"/>
        <v>11.872799999999989</v>
      </c>
      <c r="AD264" s="19">
        <v>38905</v>
      </c>
      <c r="AE264">
        <v>27</v>
      </c>
      <c r="AG264">
        <v>38905</v>
      </c>
      <c r="AH264" s="1">
        <v>27</v>
      </c>
    </row>
    <row r="265" spans="1:34" hidden="1" x14ac:dyDescent="0.25">
      <c r="A265" s="2">
        <v>38272</v>
      </c>
      <c r="B265" s="13" t="s">
        <v>532</v>
      </c>
      <c r="C265" s="14" t="s">
        <v>39</v>
      </c>
      <c r="D265" s="15">
        <v>45296</v>
      </c>
      <c r="E265" s="2">
        <v>0</v>
      </c>
      <c r="F265" s="14" t="s">
        <v>547</v>
      </c>
      <c r="G265" t="s">
        <v>548</v>
      </c>
      <c r="H265" s="14" t="s">
        <v>42</v>
      </c>
      <c r="I265" s="2">
        <v>1</v>
      </c>
      <c r="J265" s="2">
        <v>0</v>
      </c>
      <c r="K265" s="2">
        <v>0</v>
      </c>
      <c r="L265" s="2"/>
      <c r="M265" s="2">
        <v>0</v>
      </c>
      <c r="N265" s="14"/>
      <c r="O265" s="14"/>
      <c r="P265" s="2">
        <v>5</v>
      </c>
      <c r="Q265" s="2">
        <v>5</v>
      </c>
      <c r="R265" s="2">
        <v>7.39</v>
      </c>
      <c r="S265">
        <f t="shared" si="23"/>
        <v>7.39</v>
      </c>
      <c r="T265" t="s">
        <v>1874</v>
      </c>
      <c r="U265" s="1">
        <f t="shared" si="24"/>
        <v>-0.19119999999999998</v>
      </c>
      <c r="AD265" s="19">
        <v>38906</v>
      </c>
      <c r="AE265">
        <v>24.8</v>
      </c>
      <c r="AG265">
        <v>38906</v>
      </c>
      <c r="AH265" s="1">
        <v>24.8</v>
      </c>
    </row>
    <row r="266" spans="1:34" hidden="1" x14ac:dyDescent="0.25">
      <c r="A266" s="2">
        <v>38272</v>
      </c>
      <c r="B266" s="13" t="s">
        <v>532</v>
      </c>
      <c r="C266" s="14" t="s">
        <v>39</v>
      </c>
      <c r="D266" s="15">
        <v>45296</v>
      </c>
      <c r="E266" s="2">
        <v>0</v>
      </c>
      <c r="F266" s="14" t="s">
        <v>549</v>
      </c>
      <c r="G266" t="s">
        <v>550</v>
      </c>
      <c r="H266" s="14" t="s">
        <v>42</v>
      </c>
      <c r="I266" s="2">
        <v>1</v>
      </c>
      <c r="J266" s="2">
        <v>0</v>
      </c>
      <c r="K266" s="2">
        <v>0</v>
      </c>
      <c r="L266" s="2"/>
      <c r="M266" s="2">
        <v>0</v>
      </c>
      <c r="N266" s="14"/>
      <c r="O266" s="14"/>
      <c r="P266" s="2">
        <v>18.940000000000001</v>
      </c>
      <c r="Q266" s="2">
        <v>18.940000000000001</v>
      </c>
      <c r="R266" s="2">
        <v>12.54</v>
      </c>
      <c r="S266">
        <f t="shared" si="23"/>
        <v>12.54</v>
      </c>
      <c r="T266" t="s">
        <v>1874</v>
      </c>
      <c r="U266" s="1">
        <f t="shared" si="24"/>
        <v>0.51200000000000023</v>
      </c>
      <c r="AD266" s="19">
        <v>38907</v>
      </c>
      <c r="AE266">
        <v>0</v>
      </c>
      <c r="AG266">
        <v>38907</v>
      </c>
      <c r="AH266" s="1">
        <v>0</v>
      </c>
    </row>
    <row r="267" spans="1:34" hidden="1" x14ac:dyDescent="0.25">
      <c r="A267" s="2">
        <v>38284</v>
      </c>
      <c r="B267" s="13" t="s">
        <v>551</v>
      </c>
      <c r="C267" s="14" t="s">
        <v>39</v>
      </c>
      <c r="D267" s="15">
        <v>45306</v>
      </c>
      <c r="E267" s="2">
        <v>0</v>
      </c>
      <c r="F267" s="14" t="s">
        <v>552</v>
      </c>
      <c r="G267" t="s">
        <v>553</v>
      </c>
      <c r="H267" s="14" t="s">
        <v>42</v>
      </c>
      <c r="I267" s="2">
        <v>1</v>
      </c>
      <c r="J267" s="2">
        <v>0</v>
      </c>
      <c r="K267" s="2">
        <v>0</v>
      </c>
      <c r="L267" s="2"/>
      <c r="M267" s="2">
        <v>0</v>
      </c>
      <c r="N267" s="14"/>
      <c r="O267" s="14"/>
      <c r="P267" s="2">
        <v>1201.54</v>
      </c>
      <c r="Q267" s="2">
        <v>1201.54</v>
      </c>
      <c r="R267" s="2">
        <v>937.2</v>
      </c>
      <c r="S267">
        <f t="shared" si="23"/>
        <v>937.2</v>
      </c>
      <c r="T267" t="s">
        <v>132</v>
      </c>
      <c r="U267" s="1">
        <f t="shared" si="24"/>
        <v>21.147199999999994</v>
      </c>
      <c r="AD267" s="19">
        <v>38908</v>
      </c>
      <c r="AE267">
        <v>8.64</v>
      </c>
      <c r="AG267">
        <v>38908</v>
      </c>
      <c r="AH267" s="1">
        <v>8.64</v>
      </c>
    </row>
    <row r="268" spans="1:34" hidden="1" x14ac:dyDescent="0.25">
      <c r="A268" s="2">
        <v>38284</v>
      </c>
      <c r="B268" s="13" t="s">
        <v>551</v>
      </c>
      <c r="C268" s="14" t="s">
        <v>39</v>
      </c>
      <c r="D268" s="15">
        <v>45306</v>
      </c>
      <c r="E268" s="2">
        <v>0</v>
      </c>
      <c r="F268" s="14" t="s">
        <v>554</v>
      </c>
      <c r="G268" t="s">
        <v>555</v>
      </c>
      <c r="H268" s="14" t="s">
        <v>42</v>
      </c>
      <c r="I268" s="2">
        <v>1</v>
      </c>
      <c r="J268" s="2">
        <v>0</v>
      </c>
      <c r="K268" s="2">
        <v>0</v>
      </c>
      <c r="L268" s="2"/>
      <c r="M268" s="2">
        <v>0</v>
      </c>
      <c r="N268" s="14"/>
      <c r="O268" s="14"/>
      <c r="P268" s="2">
        <v>981.54</v>
      </c>
      <c r="Q268" s="2">
        <v>981.54</v>
      </c>
      <c r="R268" s="2">
        <v>765.6</v>
      </c>
      <c r="S268">
        <f t="shared" si="23"/>
        <v>765.6</v>
      </c>
      <c r="T268" t="s">
        <v>132</v>
      </c>
      <c r="U268" s="1">
        <f t="shared" si="24"/>
        <v>17.275199999999995</v>
      </c>
      <c r="AD268" s="19">
        <v>38910</v>
      </c>
      <c r="AE268">
        <v>7.120000000000001</v>
      </c>
      <c r="AG268">
        <v>38910</v>
      </c>
      <c r="AH268" s="1">
        <v>7.120000000000001</v>
      </c>
    </row>
    <row r="269" spans="1:34" hidden="1" x14ac:dyDescent="0.25">
      <c r="A269" s="2">
        <v>38284</v>
      </c>
      <c r="B269" s="13" t="s">
        <v>551</v>
      </c>
      <c r="C269" s="14" t="s">
        <v>39</v>
      </c>
      <c r="D269" s="15">
        <v>45306</v>
      </c>
      <c r="E269" s="2">
        <v>0</v>
      </c>
      <c r="F269" s="14" t="s">
        <v>556</v>
      </c>
      <c r="G269" t="s">
        <v>557</v>
      </c>
      <c r="H269" s="14" t="s">
        <v>42</v>
      </c>
      <c r="I269" s="2">
        <v>1</v>
      </c>
      <c r="J269" s="2">
        <v>0</v>
      </c>
      <c r="K269" s="2">
        <v>0</v>
      </c>
      <c r="L269" s="2"/>
      <c r="M269" s="2">
        <v>0</v>
      </c>
      <c r="N269" s="14"/>
      <c r="O269" s="14"/>
      <c r="P269" s="2">
        <v>765</v>
      </c>
      <c r="Q269" s="2">
        <v>765</v>
      </c>
      <c r="R269" s="2">
        <v>612</v>
      </c>
      <c r="S269">
        <f t="shared" si="23"/>
        <v>612</v>
      </c>
      <c r="T269" t="s">
        <v>132</v>
      </c>
      <c r="U269" s="1">
        <f t="shared" si="24"/>
        <v>12.24</v>
      </c>
      <c r="AD269" s="19">
        <v>38911</v>
      </c>
      <c r="AE269">
        <v>9.6688000000000009</v>
      </c>
      <c r="AG269">
        <v>38911</v>
      </c>
      <c r="AH269" s="1">
        <v>9.6688000000000009</v>
      </c>
    </row>
    <row r="270" spans="1:34" hidden="1" x14ac:dyDescent="0.25">
      <c r="A270" s="2">
        <v>38284</v>
      </c>
      <c r="B270" s="13" t="s">
        <v>551</v>
      </c>
      <c r="C270" s="14" t="s">
        <v>39</v>
      </c>
      <c r="D270" s="15">
        <v>45306</v>
      </c>
      <c r="E270" s="2">
        <v>0</v>
      </c>
      <c r="F270" s="14" t="s">
        <v>558</v>
      </c>
      <c r="G270" t="s">
        <v>559</v>
      </c>
      <c r="H270" s="14" t="s">
        <v>42</v>
      </c>
      <c r="I270" s="2">
        <v>1</v>
      </c>
      <c r="J270" s="2">
        <v>0</v>
      </c>
      <c r="K270" s="2">
        <v>0</v>
      </c>
      <c r="L270" s="2"/>
      <c r="M270" s="2">
        <v>0</v>
      </c>
      <c r="N270" s="14"/>
      <c r="O270" s="14"/>
      <c r="P270" s="2">
        <v>177.69</v>
      </c>
      <c r="Q270" s="2">
        <v>177.69</v>
      </c>
      <c r="R270" s="2">
        <v>138.6</v>
      </c>
      <c r="S270">
        <f t="shared" si="23"/>
        <v>138.6</v>
      </c>
      <c r="T270" t="s">
        <v>132</v>
      </c>
      <c r="U270" s="1">
        <f t="shared" si="24"/>
        <v>3.1272000000000002</v>
      </c>
      <c r="AD270" s="19">
        <v>38912</v>
      </c>
      <c r="AE270">
        <v>0</v>
      </c>
      <c r="AG270">
        <v>38912</v>
      </c>
      <c r="AH270" s="1">
        <v>0</v>
      </c>
    </row>
    <row r="271" spans="1:34" x14ac:dyDescent="0.25">
      <c r="A271" s="2">
        <v>38284</v>
      </c>
      <c r="B271" s="13" t="s">
        <v>551</v>
      </c>
      <c r="C271" s="14" t="s">
        <v>39</v>
      </c>
      <c r="D271" s="15">
        <v>45306</v>
      </c>
      <c r="E271" s="2">
        <v>0</v>
      </c>
      <c r="F271" s="14" t="s">
        <v>260</v>
      </c>
      <c r="G271" t="s">
        <v>450</v>
      </c>
      <c r="H271" s="14" t="s">
        <v>93</v>
      </c>
      <c r="I271" s="2">
        <v>10</v>
      </c>
      <c r="J271" s="2">
        <v>0</v>
      </c>
      <c r="K271" s="2">
        <v>0</v>
      </c>
      <c r="L271" s="2"/>
      <c r="M271" s="2">
        <v>0</v>
      </c>
      <c r="N271" s="14"/>
      <c r="O271" s="14"/>
      <c r="P271" s="2">
        <v>145</v>
      </c>
      <c r="Q271" s="2">
        <v>1450</v>
      </c>
      <c r="R271" s="2">
        <v>0</v>
      </c>
      <c r="S271">
        <f t="shared" si="23"/>
        <v>0</v>
      </c>
      <c r="T271" t="s">
        <v>132</v>
      </c>
      <c r="U271">
        <f>_xlfn.XLOOKUP(T271,$Y$2:$Y$45,$AB$2:$AB$45)*(Q271)</f>
        <v>58</v>
      </c>
      <c r="AD271" s="19">
        <v>38913</v>
      </c>
      <c r="AE271">
        <v>45.676800000000007</v>
      </c>
      <c r="AG271">
        <v>38913</v>
      </c>
      <c r="AH271" s="1">
        <v>45.676800000000007</v>
      </c>
    </row>
    <row r="272" spans="1:34" hidden="1" x14ac:dyDescent="0.25">
      <c r="A272" s="2">
        <v>38291</v>
      </c>
      <c r="B272" s="13" t="s">
        <v>560</v>
      </c>
      <c r="C272" s="14" t="s">
        <v>39</v>
      </c>
      <c r="D272" s="15">
        <v>45300</v>
      </c>
      <c r="E272" s="2">
        <v>0</v>
      </c>
      <c r="F272" s="14" t="s">
        <v>561</v>
      </c>
      <c r="G272" t="s">
        <v>562</v>
      </c>
      <c r="H272" s="14" t="s">
        <v>42</v>
      </c>
      <c r="I272" s="2">
        <v>1</v>
      </c>
      <c r="J272" s="2">
        <v>0</v>
      </c>
      <c r="K272" s="2">
        <v>0</v>
      </c>
      <c r="L272" s="2"/>
      <c r="M272" s="2">
        <v>0</v>
      </c>
      <c r="N272" s="14"/>
      <c r="O272" s="14"/>
      <c r="P272" s="2">
        <v>512.04</v>
      </c>
      <c r="Q272" s="2">
        <v>512.04</v>
      </c>
      <c r="R272" s="2">
        <v>424.99</v>
      </c>
      <c r="S272">
        <f t="shared" si="23"/>
        <v>424.99</v>
      </c>
      <c r="T272" t="s">
        <v>184</v>
      </c>
      <c r="U272" s="1">
        <f t="shared" ref="U272:U281" si="25">_xlfn.XLOOKUP(T272,$Y$2:$Y$45,$AA$2:$AA$45)*(Q272-S272)</f>
        <v>0</v>
      </c>
      <c r="AD272" s="19">
        <v>38914</v>
      </c>
      <c r="AE272">
        <v>6.1327999999999978</v>
      </c>
      <c r="AG272">
        <v>38914</v>
      </c>
      <c r="AH272" s="1">
        <v>6.1327999999999978</v>
      </c>
    </row>
    <row r="273" spans="1:34" hidden="1" x14ac:dyDescent="0.25">
      <c r="A273" s="2">
        <v>38292</v>
      </c>
      <c r="B273" s="13" t="s">
        <v>563</v>
      </c>
      <c r="C273" s="14" t="s">
        <v>39</v>
      </c>
      <c r="D273" s="15">
        <v>45306</v>
      </c>
      <c r="E273" s="2">
        <v>0</v>
      </c>
      <c r="F273" s="14" t="s">
        <v>564</v>
      </c>
      <c r="G273" t="s">
        <v>565</v>
      </c>
      <c r="H273" s="14" t="s">
        <v>42</v>
      </c>
      <c r="I273" s="2">
        <v>60</v>
      </c>
      <c r="J273" s="2">
        <v>0</v>
      </c>
      <c r="K273" s="2">
        <v>0</v>
      </c>
      <c r="L273" s="2"/>
      <c r="M273" s="2">
        <v>0</v>
      </c>
      <c r="N273" s="14"/>
      <c r="O273" s="14"/>
      <c r="P273" s="2">
        <v>12</v>
      </c>
      <c r="Q273" s="2">
        <v>720</v>
      </c>
      <c r="R273" s="2">
        <v>10.16</v>
      </c>
      <c r="S273">
        <f t="shared" si="23"/>
        <v>609.6</v>
      </c>
      <c r="T273" t="s">
        <v>132</v>
      </c>
      <c r="U273" s="1">
        <f t="shared" si="25"/>
        <v>8.831999999999999</v>
      </c>
      <c r="AD273" s="19">
        <v>38915</v>
      </c>
      <c r="AE273">
        <v>0</v>
      </c>
      <c r="AG273">
        <v>38915</v>
      </c>
      <c r="AH273" s="1">
        <v>0</v>
      </c>
    </row>
    <row r="274" spans="1:34" hidden="1" x14ac:dyDescent="0.25">
      <c r="A274" s="2">
        <v>38292</v>
      </c>
      <c r="B274" s="13" t="s">
        <v>563</v>
      </c>
      <c r="C274" s="14" t="s">
        <v>39</v>
      </c>
      <c r="D274" s="15">
        <v>45306</v>
      </c>
      <c r="E274" s="2">
        <v>0</v>
      </c>
      <c r="F274" s="14" t="s">
        <v>566</v>
      </c>
      <c r="G274" t="s">
        <v>567</v>
      </c>
      <c r="H274" s="14" t="s">
        <v>42</v>
      </c>
      <c r="I274" s="2">
        <v>20</v>
      </c>
      <c r="J274" s="2">
        <v>0</v>
      </c>
      <c r="K274" s="2">
        <v>0</v>
      </c>
      <c r="L274" s="2"/>
      <c r="M274" s="2">
        <v>0</v>
      </c>
      <c r="N274" s="14"/>
      <c r="O274" s="14"/>
      <c r="P274" s="2">
        <v>37</v>
      </c>
      <c r="Q274" s="2">
        <v>740</v>
      </c>
      <c r="R274" s="2">
        <v>32.44</v>
      </c>
      <c r="S274">
        <f t="shared" si="23"/>
        <v>648.79999999999995</v>
      </c>
      <c r="T274" t="s">
        <v>132</v>
      </c>
      <c r="U274" s="1">
        <f t="shared" si="25"/>
        <v>7.2960000000000038</v>
      </c>
      <c r="AD274" s="19">
        <v>38917</v>
      </c>
      <c r="AE274">
        <v>0</v>
      </c>
      <c r="AG274">
        <v>38917</v>
      </c>
      <c r="AH274" s="1">
        <v>0</v>
      </c>
    </row>
    <row r="275" spans="1:34" hidden="1" x14ac:dyDescent="0.25">
      <c r="A275" s="2">
        <v>38292</v>
      </c>
      <c r="B275" s="13" t="s">
        <v>563</v>
      </c>
      <c r="C275" s="14" t="s">
        <v>39</v>
      </c>
      <c r="D275" s="15">
        <v>45306</v>
      </c>
      <c r="E275" s="2">
        <v>0</v>
      </c>
      <c r="F275" s="14" t="s">
        <v>568</v>
      </c>
      <c r="G275" t="s">
        <v>569</v>
      </c>
      <c r="H275" s="14" t="s">
        <v>42</v>
      </c>
      <c r="I275" s="2">
        <v>2</v>
      </c>
      <c r="J275" s="2">
        <v>0</v>
      </c>
      <c r="K275" s="2">
        <v>0</v>
      </c>
      <c r="L275" s="2"/>
      <c r="M275" s="2">
        <v>0</v>
      </c>
      <c r="N275" s="14"/>
      <c r="O275" s="14"/>
      <c r="P275" s="2">
        <v>179</v>
      </c>
      <c r="Q275" s="2">
        <v>358</v>
      </c>
      <c r="R275" s="2">
        <v>159.37</v>
      </c>
      <c r="S275">
        <f t="shared" si="23"/>
        <v>318.74</v>
      </c>
      <c r="T275" t="s">
        <v>132</v>
      </c>
      <c r="U275" s="1">
        <f t="shared" si="25"/>
        <v>3.1407999999999991</v>
      </c>
      <c r="AD275" s="19">
        <v>38918</v>
      </c>
      <c r="AE275">
        <v>7.1608000000000001</v>
      </c>
      <c r="AG275">
        <v>38918</v>
      </c>
      <c r="AH275" s="1">
        <v>7.1608000000000001</v>
      </c>
    </row>
    <row r="276" spans="1:34" hidden="1" x14ac:dyDescent="0.25">
      <c r="A276" s="2">
        <v>38292</v>
      </c>
      <c r="B276" s="13" t="s">
        <v>563</v>
      </c>
      <c r="C276" s="14" t="s">
        <v>39</v>
      </c>
      <c r="D276" s="15">
        <v>45306</v>
      </c>
      <c r="E276" s="2">
        <v>0</v>
      </c>
      <c r="F276" s="14" t="s">
        <v>570</v>
      </c>
      <c r="G276" t="s">
        <v>571</v>
      </c>
      <c r="H276" s="14" t="s">
        <v>42</v>
      </c>
      <c r="I276" s="2">
        <v>1</v>
      </c>
      <c r="J276" s="2">
        <v>0</v>
      </c>
      <c r="K276" s="2">
        <v>0</v>
      </c>
      <c r="L276" s="2"/>
      <c r="M276" s="2">
        <v>0</v>
      </c>
      <c r="N276" s="14"/>
      <c r="O276" s="14"/>
      <c r="P276" s="2">
        <v>196</v>
      </c>
      <c r="Q276" s="2">
        <v>196</v>
      </c>
      <c r="R276" s="2">
        <v>172.84</v>
      </c>
      <c r="S276">
        <f t="shared" si="23"/>
        <v>172.84</v>
      </c>
      <c r="T276" t="s">
        <v>132</v>
      </c>
      <c r="U276" s="1">
        <f t="shared" si="25"/>
        <v>1.8527999999999998</v>
      </c>
      <c r="AD276" s="19">
        <v>38919</v>
      </c>
      <c r="AE276">
        <v>0</v>
      </c>
      <c r="AG276">
        <v>38919</v>
      </c>
      <c r="AH276" s="1">
        <v>0</v>
      </c>
    </row>
    <row r="277" spans="1:34" hidden="1" x14ac:dyDescent="0.25">
      <c r="A277" s="2">
        <v>38292</v>
      </c>
      <c r="B277" s="13" t="s">
        <v>563</v>
      </c>
      <c r="C277" s="14" t="s">
        <v>39</v>
      </c>
      <c r="D277" s="15">
        <v>45306</v>
      </c>
      <c r="E277" s="2">
        <v>0</v>
      </c>
      <c r="F277" s="14" t="s">
        <v>112</v>
      </c>
      <c r="G277" t="s">
        <v>572</v>
      </c>
      <c r="H277" s="14" t="s">
        <v>42</v>
      </c>
      <c r="I277" s="2">
        <v>8</v>
      </c>
      <c r="J277" s="2">
        <v>0</v>
      </c>
      <c r="K277" s="2">
        <v>0</v>
      </c>
      <c r="L277" s="2"/>
      <c r="M277" s="2">
        <v>0</v>
      </c>
      <c r="N277" s="14"/>
      <c r="O277" s="14"/>
      <c r="P277" s="2">
        <v>132</v>
      </c>
      <c r="Q277" s="2">
        <v>1056</v>
      </c>
      <c r="R277" s="2">
        <v>116.06</v>
      </c>
      <c r="S277">
        <f t="shared" si="23"/>
        <v>928.48</v>
      </c>
      <c r="T277" t="s">
        <v>132</v>
      </c>
      <c r="U277" s="1">
        <f t="shared" si="25"/>
        <v>10.201599999999999</v>
      </c>
      <c r="AD277" s="19">
        <v>38922</v>
      </c>
      <c r="AE277">
        <v>7.1608000000000001</v>
      </c>
      <c r="AG277">
        <v>38922</v>
      </c>
      <c r="AH277" s="1">
        <v>7.1608000000000001</v>
      </c>
    </row>
    <row r="278" spans="1:34" hidden="1" x14ac:dyDescent="0.25">
      <c r="A278" s="2">
        <v>38292</v>
      </c>
      <c r="B278" s="13" t="s">
        <v>563</v>
      </c>
      <c r="C278" s="14" t="s">
        <v>39</v>
      </c>
      <c r="D278" s="15">
        <v>45306</v>
      </c>
      <c r="E278" s="2">
        <v>0</v>
      </c>
      <c r="F278" s="14" t="s">
        <v>573</v>
      </c>
      <c r="G278" t="s">
        <v>574</v>
      </c>
      <c r="H278" s="14" t="s">
        <v>42</v>
      </c>
      <c r="I278" s="2">
        <v>60</v>
      </c>
      <c r="J278" s="2">
        <v>0</v>
      </c>
      <c r="K278" s="2">
        <v>0</v>
      </c>
      <c r="L278" s="2"/>
      <c r="M278" s="2">
        <v>0</v>
      </c>
      <c r="N278" s="14"/>
      <c r="O278" s="14"/>
      <c r="P278" s="2">
        <v>25</v>
      </c>
      <c r="Q278" s="2">
        <v>1500</v>
      </c>
      <c r="R278" s="2">
        <v>21.71</v>
      </c>
      <c r="S278">
        <f t="shared" si="23"/>
        <v>1302.6000000000001</v>
      </c>
      <c r="T278" t="s">
        <v>132</v>
      </c>
      <c r="U278" s="1">
        <f t="shared" si="25"/>
        <v>15.791999999999989</v>
      </c>
      <c r="AD278" s="19">
        <v>38926</v>
      </c>
      <c r="AE278">
        <v>1.4003999999999999</v>
      </c>
      <c r="AG278">
        <v>38926</v>
      </c>
      <c r="AH278" s="1">
        <v>1.4003999999999999</v>
      </c>
    </row>
    <row r="279" spans="1:34" hidden="1" x14ac:dyDescent="0.25">
      <c r="A279" s="2">
        <v>38292</v>
      </c>
      <c r="B279" s="13" t="s">
        <v>563</v>
      </c>
      <c r="C279" s="14" t="s">
        <v>39</v>
      </c>
      <c r="D279" s="15">
        <v>45306</v>
      </c>
      <c r="E279" s="2">
        <v>0</v>
      </c>
      <c r="F279" s="14" t="s">
        <v>575</v>
      </c>
      <c r="G279" t="s">
        <v>576</v>
      </c>
      <c r="H279" s="14" t="s">
        <v>42</v>
      </c>
      <c r="I279" s="2">
        <v>2</v>
      </c>
      <c r="J279" s="2">
        <v>0</v>
      </c>
      <c r="K279" s="2">
        <v>0</v>
      </c>
      <c r="L279" s="2"/>
      <c r="M279" s="2">
        <v>0</v>
      </c>
      <c r="N279" s="14"/>
      <c r="O279" s="14"/>
      <c r="P279" s="2">
        <v>269</v>
      </c>
      <c r="Q279" s="2">
        <v>538</v>
      </c>
      <c r="R279" s="2">
        <v>237.26</v>
      </c>
      <c r="S279">
        <f t="shared" si="23"/>
        <v>474.52</v>
      </c>
      <c r="T279" t="s">
        <v>132</v>
      </c>
      <c r="U279" s="1">
        <f t="shared" si="25"/>
        <v>5.0784000000000011</v>
      </c>
      <c r="AD279" s="19">
        <v>38930</v>
      </c>
      <c r="AE279">
        <v>0</v>
      </c>
      <c r="AG279">
        <v>38930</v>
      </c>
      <c r="AH279" s="1">
        <v>0</v>
      </c>
    </row>
    <row r="280" spans="1:34" hidden="1" x14ac:dyDescent="0.25">
      <c r="A280" s="2">
        <v>38294</v>
      </c>
      <c r="B280" s="13" t="s">
        <v>577</v>
      </c>
      <c r="C280" s="14" t="s">
        <v>39</v>
      </c>
      <c r="D280" s="15">
        <v>45308</v>
      </c>
      <c r="E280" s="2">
        <v>0</v>
      </c>
      <c r="F280" s="14" t="s">
        <v>578</v>
      </c>
      <c r="G280" t="s">
        <v>579</v>
      </c>
      <c r="H280" s="14" t="s">
        <v>42</v>
      </c>
      <c r="I280" s="2">
        <v>250</v>
      </c>
      <c r="J280" s="2">
        <v>0</v>
      </c>
      <c r="K280" s="2">
        <v>0</v>
      </c>
      <c r="L280" s="2"/>
      <c r="M280" s="2">
        <v>0</v>
      </c>
      <c r="N280" s="14"/>
      <c r="O280" s="14"/>
      <c r="P280" s="2">
        <v>3</v>
      </c>
      <c r="Q280" s="2">
        <v>750</v>
      </c>
      <c r="R280" s="2">
        <v>1.9</v>
      </c>
      <c r="S280">
        <f t="shared" si="23"/>
        <v>475</v>
      </c>
      <c r="T280" t="s">
        <v>43</v>
      </c>
      <c r="U280" s="1">
        <f t="shared" si="25"/>
        <v>23.375</v>
      </c>
      <c r="AD280" s="19">
        <v>38935</v>
      </c>
      <c r="AE280">
        <v>29.572800000000008</v>
      </c>
      <c r="AG280">
        <v>38935</v>
      </c>
      <c r="AH280" s="1">
        <v>29.572800000000008</v>
      </c>
    </row>
    <row r="281" spans="1:34" hidden="1" x14ac:dyDescent="0.25">
      <c r="A281" s="2">
        <v>38299</v>
      </c>
      <c r="B281" s="13" t="s">
        <v>580</v>
      </c>
      <c r="C281" s="14" t="s">
        <v>39</v>
      </c>
      <c r="D281" s="15">
        <v>45300</v>
      </c>
      <c r="E281" s="2">
        <v>0</v>
      </c>
      <c r="F281" s="14" t="s">
        <v>581</v>
      </c>
      <c r="G281" t="s">
        <v>582</v>
      </c>
      <c r="H281" s="14" t="s">
        <v>42</v>
      </c>
      <c r="I281" s="2">
        <v>31</v>
      </c>
      <c r="J281" s="2">
        <v>0</v>
      </c>
      <c r="K281" s="2">
        <v>0</v>
      </c>
      <c r="L281" s="2"/>
      <c r="M281" s="2">
        <v>0</v>
      </c>
      <c r="N281" s="14"/>
      <c r="O281" s="14"/>
      <c r="P281" s="2">
        <v>222</v>
      </c>
      <c r="Q281" s="2">
        <v>6882</v>
      </c>
      <c r="R281" s="2">
        <v>181.78</v>
      </c>
      <c r="S281">
        <f t="shared" si="23"/>
        <v>5635.18</v>
      </c>
      <c r="T281" t="s">
        <v>56</v>
      </c>
      <c r="U281" s="1">
        <f t="shared" si="25"/>
        <v>105.97969999999998</v>
      </c>
      <c r="AD281" s="19">
        <v>38936</v>
      </c>
      <c r="AE281">
        <v>24.458400000000008</v>
      </c>
      <c r="AG281">
        <v>38936</v>
      </c>
      <c r="AH281" s="1">
        <v>24.458400000000008</v>
      </c>
    </row>
    <row r="282" spans="1:34" hidden="1" x14ac:dyDescent="0.25">
      <c r="A282" s="2">
        <v>38303</v>
      </c>
      <c r="B282" s="13" t="s">
        <v>583</v>
      </c>
      <c r="C282" s="14" t="s">
        <v>39</v>
      </c>
      <c r="D282" s="15">
        <v>45300</v>
      </c>
      <c r="E282" s="2">
        <v>35</v>
      </c>
      <c r="F282" s="14" t="s">
        <v>584</v>
      </c>
      <c r="G282" t="s">
        <v>585</v>
      </c>
      <c r="H282" s="14" t="s">
        <v>508</v>
      </c>
      <c r="I282" s="2">
        <v>1</v>
      </c>
      <c r="J282" s="2">
        <v>35</v>
      </c>
      <c r="K282" s="2">
        <v>70</v>
      </c>
      <c r="L282" s="2"/>
      <c r="M282" s="2">
        <v>35</v>
      </c>
      <c r="N282" s="14"/>
      <c r="O282" s="14"/>
      <c r="P282" s="2">
        <v>35</v>
      </c>
      <c r="Q282" s="2">
        <v>35</v>
      </c>
      <c r="R282" s="2">
        <v>0</v>
      </c>
      <c r="S282">
        <f t="shared" si="23"/>
        <v>0</v>
      </c>
      <c r="T282" t="s">
        <v>47</v>
      </c>
      <c r="U282">
        <f>_xlfn.XLOOKUP(T282,$Y$2:$Y$45,$AB$2:$AB$45)*(Q282)</f>
        <v>1.4000000000000001</v>
      </c>
      <c r="AD282" s="19">
        <v>38938</v>
      </c>
      <c r="AE282">
        <v>0</v>
      </c>
      <c r="AG282">
        <v>38938</v>
      </c>
      <c r="AH282" s="1">
        <v>0</v>
      </c>
    </row>
    <row r="283" spans="1:34" hidden="1" x14ac:dyDescent="0.25">
      <c r="A283" s="2">
        <v>38306</v>
      </c>
      <c r="B283" s="13" t="s">
        <v>586</v>
      </c>
      <c r="C283" s="14" t="s">
        <v>39</v>
      </c>
      <c r="D283" s="15">
        <v>45313</v>
      </c>
      <c r="E283" s="2">
        <v>0</v>
      </c>
      <c r="F283" s="14" t="s">
        <v>587</v>
      </c>
      <c r="G283" t="s">
        <v>588</v>
      </c>
      <c r="H283" s="14" t="s">
        <v>42</v>
      </c>
      <c r="I283" s="2">
        <v>1488</v>
      </c>
      <c r="J283" s="2">
        <v>0</v>
      </c>
      <c r="K283" s="2">
        <v>0</v>
      </c>
      <c r="L283" s="2"/>
      <c r="M283" s="2">
        <v>0</v>
      </c>
      <c r="N283" s="14"/>
      <c r="O283" s="14"/>
      <c r="P283" s="2">
        <v>1</v>
      </c>
      <c r="Q283" s="2">
        <v>1488</v>
      </c>
      <c r="R283" s="2">
        <v>0.73</v>
      </c>
      <c r="S283">
        <f t="shared" si="23"/>
        <v>1086.24</v>
      </c>
      <c r="T283" t="s">
        <v>61</v>
      </c>
      <c r="U283" s="1">
        <f>_xlfn.XLOOKUP(T283,$Y$2:$Y$45,$AA$2:$AA$45)*(Q283-S283)</f>
        <v>0</v>
      </c>
      <c r="AD283" s="19">
        <v>38941</v>
      </c>
      <c r="AE283">
        <v>8.1119999999999983</v>
      </c>
      <c r="AG283">
        <v>38941</v>
      </c>
      <c r="AH283" s="1">
        <v>8.1119999999999983</v>
      </c>
    </row>
    <row r="284" spans="1:34" hidden="1" x14ac:dyDescent="0.25">
      <c r="A284" s="2">
        <v>38314</v>
      </c>
      <c r="B284" s="13" t="s">
        <v>589</v>
      </c>
      <c r="C284" s="14" t="s">
        <v>39</v>
      </c>
      <c r="D284" s="15">
        <v>45295</v>
      </c>
      <c r="E284" s="2">
        <v>0</v>
      </c>
      <c r="F284" s="14" t="s">
        <v>590</v>
      </c>
      <c r="G284" t="s">
        <v>591</v>
      </c>
      <c r="H284" s="14" t="s">
        <v>42</v>
      </c>
      <c r="I284" s="2">
        <v>2</v>
      </c>
      <c r="J284" s="2">
        <v>0</v>
      </c>
      <c r="K284" s="2">
        <v>0</v>
      </c>
      <c r="L284" s="2"/>
      <c r="M284" s="2">
        <v>0</v>
      </c>
      <c r="N284" s="14"/>
      <c r="O284" s="14"/>
      <c r="P284" s="2">
        <v>2.75</v>
      </c>
      <c r="Q284" s="2">
        <v>5.5</v>
      </c>
      <c r="R284" s="2">
        <v>1.55</v>
      </c>
      <c r="S284">
        <f t="shared" si="23"/>
        <v>3.1</v>
      </c>
      <c r="T284" t="s">
        <v>107</v>
      </c>
      <c r="U284" s="1">
        <f>_xlfn.XLOOKUP(T284,$Y$2:$Y$45,$AA$2:$AA$45)*(Q284-S284)</f>
        <v>9.6000000000000002E-2</v>
      </c>
      <c r="AD284" s="19">
        <v>38949</v>
      </c>
      <c r="AE284">
        <v>0.31279999999999997</v>
      </c>
      <c r="AG284">
        <v>38949</v>
      </c>
      <c r="AH284" s="1">
        <v>0.31279999999999997</v>
      </c>
    </row>
    <row r="285" spans="1:34" hidden="1" x14ac:dyDescent="0.25">
      <c r="A285" s="2">
        <v>38314</v>
      </c>
      <c r="B285" s="13" t="s">
        <v>589</v>
      </c>
      <c r="C285" s="14" t="s">
        <v>39</v>
      </c>
      <c r="D285" s="15">
        <v>45295</v>
      </c>
      <c r="E285" s="2">
        <v>0</v>
      </c>
      <c r="F285" s="14" t="s">
        <v>592</v>
      </c>
      <c r="G285" t="s">
        <v>593</v>
      </c>
      <c r="H285" s="14" t="s">
        <v>42</v>
      </c>
      <c r="I285" s="2">
        <v>4</v>
      </c>
      <c r="J285" s="2">
        <v>0</v>
      </c>
      <c r="K285" s="2">
        <v>0</v>
      </c>
      <c r="L285" s="2"/>
      <c r="M285" s="2">
        <v>0</v>
      </c>
      <c r="N285" s="14"/>
      <c r="O285" s="14"/>
      <c r="P285" s="2">
        <v>4</v>
      </c>
      <c r="Q285" s="2">
        <v>16</v>
      </c>
      <c r="R285" s="2">
        <v>1.88</v>
      </c>
      <c r="S285">
        <f t="shared" si="23"/>
        <v>7.52</v>
      </c>
      <c r="T285" t="s">
        <v>107</v>
      </c>
      <c r="U285" s="1">
        <f>_xlfn.XLOOKUP(T285,$Y$2:$Y$45,$AA$2:$AA$45)*(Q285-S285)</f>
        <v>0.3392</v>
      </c>
      <c r="AD285" s="19">
        <v>38951</v>
      </c>
      <c r="AE285">
        <v>0</v>
      </c>
      <c r="AG285">
        <v>38951</v>
      </c>
      <c r="AH285" s="1">
        <v>0</v>
      </c>
    </row>
    <row r="286" spans="1:34" hidden="1" x14ac:dyDescent="0.25">
      <c r="A286" s="2">
        <v>38314</v>
      </c>
      <c r="B286" s="13" t="s">
        <v>589</v>
      </c>
      <c r="C286" s="14" t="s">
        <v>39</v>
      </c>
      <c r="D286" s="15">
        <v>45295</v>
      </c>
      <c r="E286" s="2">
        <v>0</v>
      </c>
      <c r="F286" s="14" t="s">
        <v>594</v>
      </c>
      <c r="G286" t="s">
        <v>595</v>
      </c>
      <c r="H286" s="14" t="s">
        <v>42</v>
      </c>
      <c r="I286" s="2">
        <v>4</v>
      </c>
      <c r="J286" s="2">
        <v>0</v>
      </c>
      <c r="K286" s="2">
        <v>0</v>
      </c>
      <c r="L286" s="2"/>
      <c r="M286" s="2">
        <v>0</v>
      </c>
      <c r="N286" s="14"/>
      <c r="O286" s="14"/>
      <c r="P286" s="2">
        <v>6.5</v>
      </c>
      <c r="Q286" s="2">
        <v>26</v>
      </c>
      <c r="R286" s="2">
        <v>4.8099999999999996</v>
      </c>
      <c r="S286">
        <f t="shared" si="23"/>
        <v>19.239999999999998</v>
      </c>
      <c r="T286" t="s">
        <v>107</v>
      </c>
      <c r="U286" s="1">
        <f>_xlfn.XLOOKUP(T286,$Y$2:$Y$45,$AA$2:$AA$45)*(Q286-S286)</f>
        <v>0.27040000000000008</v>
      </c>
      <c r="AD286" s="19">
        <v>38953</v>
      </c>
      <c r="AE286">
        <v>0.82440000000000002</v>
      </c>
      <c r="AG286">
        <v>38953</v>
      </c>
      <c r="AH286" s="1">
        <v>0.82440000000000002</v>
      </c>
    </row>
    <row r="287" spans="1:34" hidden="1" x14ac:dyDescent="0.25">
      <c r="A287" s="2">
        <v>38314</v>
      </c>
      <c r="B287" s="13" t="s">
        <v>589</v>
      </c>
      <c r="C287" s="14" t="s">
        <v>39</v>
      </c>
      <c r="D287" s="15">
        <v>45295</v>
      </c>
      <c r="E287" s="2">
        <v>0</v>
      </c>
      <c r="F287" s="14" t="s">
        <v>596</v>
      </c>
      <c r="G287" t="s">
        <v>597</v>
      </c>
      <c r="H287" s="14" t="s">
        <v>42</v>
      </c>
      <c r="I287" s="2">
        <v>4</v>
      </c>
      <c r="J287" s="2">
        <v>0</v>
      </c>
      <c r="K287" s="2">
        <v>0</v>
      </c>
      <c r="L287" s="2"/>
      <c r="M287" s="2">
        <v>0</v>
      </c>
      <c r="N287" s="14"/>
      <c r="O287" s="14"/>
      <c r="P287" s="2">
        <v>6</v>
      </c>
      <c r="Q287" s="2">
        <v>24</v>
      </c>
      <c r="R287" s="2">
        <v>2.19</v>
      </c>
      <c r="S287">
        <f t="shared" si="23"/>
        <v>8.76</v>
      </c>
      <c r="T287" t="s">
        <v>107</v>
      </c>
      <c r="U287" s="1">
        <f>_xlfn.XLOOKUP(T287,$Y$2:$Y$45,$AA$2:$AA$45)*(Q287-S287)</f>
        <v>0.60960000000000003</v>
      </c>
      <c r="AD287" s="19">
        <v>38955</v>
      </c>
      <c r="AE287">
        <v>0.60040000000000027</v>
      </c>
      <c r="AG287">
        <v>38955</v>
      </c>
      <c r="AH287" s="1">
        <v>0.60040000000000027</v>
      </c>
    </row>
    <row r="288" spans="1:34" x14ac:dyDescent="0.25">
      <c r="A288" s="2">
        <v>38314</v>
      </c>
      <c r="B288" s="13" t="s">
        <v>589</v>
      </c>
      <c r="C288" s="14" t="s">
        <v>39</v>
      </c>
      <c r="D288" s="15">
        <v>45295</v>
      </c>
      <c r="E288" s="2">
        <v>0</v>
      </c>
      <c r="F288" s="14" t="s">
        <v>455</v>
      </c>
      <c r="G288" t="s">
        <v>598</v>
      </c>
      <c r="H288" s="14" t="s">
        <v>93</v>
      </c>
      <c r="I288" s="2">
        <v>4</v>
      </c>
      <c r="J288" s="2">
        <v>0</v>
      </c>
      <c r="K288" s="2">
        <v>0</v>
      </c>
      <c r="L288" s="2"/>
      <c r="M288" s="2">
        <v>0</v>
      </c>
      <c r="N288" s="14"/>
      <c r="O288" s="14"/>
      <c r="P288" s="2">
        <v>165</v>
      </c>
      <c r="Q288" s="2">
        <v>660</v>
      </c>
      <c r="R288" s="2">
        <v>0</v>
      </c>
      <c r="S288">
        <f t="shared" si="23"/>
        <v>0</v>
      </c>
      <c r="T288" t="s">
        <v>107</v>
      </c>
      <c r="U288">
        <f>_xlfn.XLOOKUP(T288,$Y$2:$Y$45,$AB$2:$AB$45)*(Q288)</f>
        <v>26.400000000000002</v>
      </c>
      <c r="AD288" s="19">
        <v>38956</v>
      </c>
      <c r="AE288">
        <v>0.31279999999999997</v>
      </c>
      <c r="AG288">
        <v>38956</v>
      </c>
      <c r="AH288" s="1">
        <v>0.31279999999999997</v>
      </c>
    </row>
    <row r="289" spans="1:34" hidden="1" x14ac:dyDescent="0.25">
      <c r="A289" s="2">
        <v>38331</v>
      </c>
      <c r="B289" s="13" t="s">
        <v>599</v>
      </c>
      <c r="C289" s="14" t="s">
        <v>39</v>
      </c>
      <c r="D289" s="15">
        <v>45295</v>
      </c>
      <c r="E289" s="2">
        <v>0</v>
      </c>
      <c r="F289" s="14" t="s">
        <v>600</v>
      </c>
      <c r="G289" t="s">
        <v>601</v>
      </c>
      <c r="H289" s="14" t="s">
        <v>42</v>
      </c>
      <c r="I289" s="2">
        <v>2</v>
      </c>
      <c r="J289" s="2">
        <v>0</v>
      </c>
      <c r="K289" s="2">
        <v>0</v>
      </c>
      <c r="L289" s="2"/>
      <c r="M289" s="2">
        <v>0</v>
      </c>
      <c r="N289" s="14"/>
      <c r="O289" s="14"/>
      <c r="P289" s="2">
        <v>149</v>
      </c>
      <c r="Q289" s="2">
        <v>298</v>
      </c>
      <c r="R289" s="2">
        <v>0</v>
      </c>
      <c r="S289">
        <f t="shared" si="23"/>
        <v>0</v>
      </c>
      <c r="T289" t="s">
        <v>1874</v>
      </c>
      <c r="U289" s="1">
        <f>_xlfn.XLOOKUP(T289,$Y$2:$Y$45,$AA$2:$AA$45)*(Q289-S289)</f>
        <v>23.84</v>
      </c>
      <c r="AD289" s="19">
        <v>38957</v>
      </c>
      <c r="AE289">
        <v>0</v>
      </c>
      <c r="AG289">
        <v>38957</v>
      </c>
      <c r="AH289" s="1">
        <v>0</v>
      </c>
    </row>
    <row r="290" spans="1:34" hidden="1" x14ac:dyDescent="0.25">
      <c r="A290" s="2">
        <v>38331</v>
      </c>
      <c r="B290" s="13" t="s">
        <v>599</v>
      </c>
      <c r="C290" s="14" t="s">
        <v>39</v>
      </c>
      <c r="D290" s="15">
        <v>45295</v>
      </c>
      <c r="E290" s="2">
        <v>0</v>
      </c>
      <c r="F290" s="14" t="s">
        <v>602</v>
      </c>
      <c r="G290" t="s">
        <v>603</v>
      </c>
      <c r="H290" s="14" t="s">
        <v>42</v>
      </c>
      <c r="I290" s="2">
        <v>2</v>
      </c>
      <c r="J290" s="2">
        <v>0</v>
      </c>
      <c r="K290" s="2">
        <v>0</v>
      </c>
      <c r="L290" s="2"/>
      <c r="M290" s="2">
        <v>0</v>
      </c>
      <c r="N290" s="14"/>
      <c r="O290" s="14"/>
      <c r="P290" s="2">
        <v>49.58</v>
      </c>
      <c r="Q290" s="2">
        <v>99.16</v>
      </c>
      <c r="R290" s="2">
        <v>42.9</v>
      </c>
      <c r="S290">
        <f t="shared" si="23"/>
        <v>85.8</v>
      </c>
      <c r="T290" t="s">
        <v>1874</v>
      </c>
      <c r="U290" s="1">
        <f>_xlfn.XLOOKUP(T290,$Y$2:$Y$45,$AA$2:$AA$45)*(Q290-S290)</f>
        <v>1.0688</v>
      </c>
      <c r="AD290" s="19">
        <v>38961</v>
      </c>
      <c r="AE290">
        <v>1.4003999999999999</v>
      </c>
      <c r="AG290">
        <v>38961</v>
      </c>
      <c r="AH290" s="1">
        <v>1.4003999999999999</v>
      </c>
    </row>
    <row r="291" spans="1:34" hidden="1" x14ac:dyDescent="0.25">
      <c r="A291" s="2">
        <v>38334</v>
      </c>
      <c r="B291" s="13" t="s">
        <v>604</v>
      </c>
      <c r="C291" s="14" t="s">
        <v>39</v>
      </c>
      <c r="D291" s="15">
        <v>45299</v>
      </c>
      <c r="E291" s="2">
        <v>0</v>
      </c>
      <c r="F291" s="14" t="s">
        <v>605</v>
      </c>
      <c r="G291" t="s">
        <v>606</v>
      </c>
      <c r="H291" s="14" t="s">
        <v>42</v>
      </c>
      <c r="I291" s="2">
        <v>1</v>
      </c>
      <c r="J291" s="2">
        <v>0</v>
      </c>
      <c r="K291" s="2">
        <v>0</v>
      </c>
      <c r="L291" s="2"/>
      <c r="M291" s="2">
        <v>0</v>
      </c>
      <c r="N291" s="14"/>
      <c r="O291" s="14"/>
      <c r="P291" s="2">
        <v>83.62</v>
      </c>
      <c r="Q291" s="2">
        <v>83.62</v>
      </c>
      <c r="R291" s="2">
        <v>71.59</v>
      </c>
      <c r="S291">
        <f t="shared" si="23"/>
        <v>71.59</v>
      </c>
      <c r="T291" t="s">
        <v>184</v>
      </c>
      <c r="U291" s="1">
        <f>_xlfn.XLOOKUP(T291,$Y$2:$Y$45,$AA$2:$AA$45)*(Q291-S291)</f>
        <v>0</v>
      </c>
      <c r="AD291" s="19">
        <v>38962</v>
      </c>
      <c r="AE291">
        <v>1.4003999999999999</v>
      </c>
      <c r="AG291">
        <v>38962</v>
      </c>
      <c r="AH291" s="1">
        <v>1.4003999999999999</v>
      </c>
    </row>
    <row r="292" spans="1:34" x14ac:dyDescent="0.25">
      <c r="A292" s="2">
        <v>38350</v>
      </c>
      <c r="B292" s="39" t="s">
        <v>607</v>
      </c>
      <c r="C292" s="14" t="s">
        <v>39</v>
      </c>
      <c r="D292" s="15">
        <v>45309</v>
      </c>
      <c r="E292" s="2">
        <v>0</v>
      </c>
      <c r="F292" s="14" t="s">
        <v>152</v>
      </c>
      <c r="G292" t="s">
        <v>231</v>
      </c>
      <c r="H292" s="14" t="s">
        <v>93</v>
      </c>
      <c r="I292" s="2">
        <v>1</v>
      </c>
      <c r="J292" s="2">
        <v>0</v>
      </c>
      <c r="K292" s="2">
        <v>0</v>
      </c>
      <c r="L292" s="2"/>
      <c r="M292" s="2">
        <v>0</v>
      </c>
      <c r="N292" s="14"/>
      <c r="O292" s="14"/>
      <c r="P292" s="2">
        <v>7125</v>
      </c>
      <c r="Q292" s="2">
        <v>7125</v>
      </c>
      <c r="R292" s="2">
        <v>0</v>
      </c>
      <c r="S292">
        <f t="shared" si="23"/>
        <v>0</v>
      </c>
      <c r="T292" t="s">
        <v>84</v>
      </c>
      <c r="U292">
        <f t="shared" ref="U292:U299" si="26">_xlfn.XLOOKUP(T292,$Y$2:$Y$45,$AB$2:$AB$45)*(Q292)</f>
        <v>285</v>
      </c>
      <c r="AD292" s="19">
        <v>38968</v>
      </c>
      <c r="AE292">
        <v>36</v>
      </c>
      <c r="AG292">
        <v>38968</v>
      </c>
      <c r="AH292" s="1">
        <v>36</v>
      </c>
    </row>
    <row r="293" spans="1:34" x14ac:dyDescent="0.25">
      <c r="A293" s="2">
        <v>38350</v>
      </c>
      <c r="B293" s="39" t="s">
        <v>607</v>
      </c>
      <c r="C293" s="14" t="s">
        <v>39</v>
      </c>
      <c r="D293" s="15">
        <v>45309</v>
      </c>
      <c r="E293" s="2">
        <v>0</v>
      </c>
      <c r="F293" s="14" t="s">
        <v>148</v>
      </c>
      <c r="G293" t="s">
        <v>232</v>
      </c>
      <c r="H293" s="14" t="s">
        <v>93</v>
      </c>
      <c r="I293" s="2">
        <v>1</v>
      </c>
      <c r="J293" s="2">
        <v>0</v>
      </c>
      <c r="K293" s="2">
        <v>0</v>
      </c>
      <c r="L293" s="2"/>
      <c r="M293" s="2">
        <v>0</v>
      </c>
      <c r="N293" s="14"/>
      <c r="O293" s="14"/>
      <c r="P293" s="2">
        <v>6000</v>
      </c>
      <c r="Q293" s="2">
        <v>6000</v>
      </c>
      <c r="R293" s="2">
        <v>2730</v>
      </c>
      <c r="S293">
        <f t="shared" si="23"/>
        <v>2730</v>
      </c>
      <c r="T293" t="s">
        <v>84</v>
      </c>
      <c r="U293">
        <f t="shared" si="26"/>
        <v>240</v>
      </c>
      <c r="AD293" s="19">
        <v>38975</v>
      </c>
      <c r="AE293">
        <v>12</v>
      </c>
      <c r="AG293">
        <v>38975</v>
      </c>
      <c r="AH293" s="1">
        <v>12</v>
      </c>
    </row>
    <row r="294" spans="1:34" x14ac:dyDescent="0.25">
      <c r="A294" s="2">
        <v>38350</v>
      </c>
      <c r="B294" s="39" t="s">
        <v>607</v>
      </c>
      <c r="C294" s="14" t="s">
        <v>39</v>
      </c>
      <c r="D294" s="15">
        <v>45309</v>
      </c>
      <c r="E294" s="2">
        <v>0</v>
      </c>
      <c r="F294" s="14" t="s">
        <v>152</v>
      </c>
      <c r="G294" t="s">
        <v>229</v>
      </c>
      <c r="H294" s="14" t="s">
        <v>93</v>
      </c>
      <c r="I294" s="2">
        <v>1</v>
      </c>
      <c r="J294" s="2">
        <v>0</v>
      </c>
      <c r="K294" s="2">
        <v>0</v>
      </c>
      <c r="L294" s="2"/>
      <c r="M294" s="2">
        <v>0</v>
      </c>
      <c r="N294" s="14"/>
      <c r="O294" s="14"/>
      <c r="P294" s="2">
        <v>2250</v>
      </c>
      <c r="Q294" s="2">
        <v>2250</v>
      </c>
      <c r="R294" s="2">
        <v>0</v>
      </c>
      <c r="S294">
        <f t="shared" si="23"/>
        <v>0</v>
      </c>
      <c r="T294" t="s">
        <v>84</v>
      </c>
      <c r="U294">
        <f t="shared" si="26"/>
        <v>90</v>
      </c>
      <c r="AD294" s="19">
        <v>38978</v>
      </c>
      <c r="AE294">
        <v>-9.1192000000000206</v>
      </c>
      <c r="AG294">
        <v>38978</v>
      </c>
      <c r="AH294" s="1">
        <v>-9.1192000000000206</v>
      </c>
    </row>
    <row r="295" spans="1:34" x14ac:dyDescent="0.25">
      <c r="A295" s="2">
        <v>38350</v>
      </c>
      <c r="B295" s="39" t="s">
        <v>607</v>
      </c>
      <c r="C295" s="14" t="s">
        <v>39</v>
      </c>
      <c r="D295" s="15">
        <v>45309</v>
      </c>
      <c r="E295" s="2">
        <v>0</v>
      </c>
      <c r="F295" s="14" t="s">
        <v>152</v>
      </c>
      <c r="G295" t="s">
        <v>608</v>
      </c>
      <c r="H295" s="14" t="s">
        <v>93</v>
      </c>
      <c r="I295" s="2">
        <v>1</v>
      </c>
      <c r="J295" s="2">
        <v>0</v>
      </c>
      <c r="K295" s="2">
        <v>0</v>
      </c>
      <c r="L295" s="2"/>
      <c r="M295" s="2">
        <v>0</v>
      </c>
      <c r="N295" s="14"/>
      <c r="O295" s="14"/>
      <c r="P295" s="2">
        <v>2000</v>
      </c>
      <c r="Q295" s="2">
        <v>2000</v>
      </c>
      <c r="R295" s="2">
        <v>0</v>
      </c>
      <c r="S295">
        <f t="shared" si="23"/>
        <v>0</v>
      </c>
      <c r="T295" t="s">
        <v>84</v>
      </c>
      <c r="U295">
        <f t="shared" si="26"/>
        <v>80</v>
      </c>
      <c r="AD295" s="19">
        <v>38983</v>
      </c>
      <c r="AE295">
        <v>11.352600000000034</v>
      </c>
      <c r="AG295">
        <v>38983</v>
      </c>
      <c r="AH295" s="1">
        <v>11.352600000000034</v>
      </c>
    </row>
    <row r="296" spans="1:34" x14ac:dyDescent="0.25">
      <c r="A296" s="2">
        <v>38350</v>
      </c>
      <c r="B296" s="39" t="s">
        <v>607</v>
      </c>
      <c r="C296" s="14" t="s">
        <v>39</v>
      </c>
      <c r="D296" s="15">
        <v>45309</v>
      </c>
      <c r="E296" s="2">
        <v>0</v>
      </c>
      <c r="F296" s="14" t="s">
        <v>152</v>
      </c>
      <c r="G296" t="s">
        <v>230</v>
      </c>
      <c r="H296" s="14" t="s">
        <v>93</v>
      </c>
      <c r="I296" s="2">
        <v>1</v>
      </c>
      <c r="J296" s="2">
        <v>0</v>
      </c>
      <c r="K296" s="2">
        <v>0</v>
      </c>
      <c r="L296" s="2"/>
      <c r="M296" s="2">
        <v>0</v>
      </c>
      <c r="N296" s="14"/>
      <c r="O296" s="14"/>
      <c r="P296" s="2">
        <v>1575</v>
      </c>
      <c r="Q296" s="2">
        <v>1575</v>
      </c>
      <c r="R296" s="2">
        <v>0</v>
      </c>
      <c r="S296">
        <f t="shared" si="23"/>
        <v>0</v>
      </c>
      <c r="T296" t="s">
        <v>84</v>
      </c>
      <c r="U296">
        <f t="shared" si="26"/>
        <v>63</v>
      </c>
      <c r="AD296" s="19">
        <v>38991</v>
      </c>
      <c r="AE296">
        <v>52.999200000000002</v>
      </c>
      <c r="AG296">
        <v>38991</v>
      </c>
      <c r="AH296" s="1">
        <v>52.999200000000002</v>
      </c>
    </row>
    <row r="297" spans="1:34" x14ac:dyDescent="0.25">
      <c r="A297" s="2">
        <v>38350</v>
      </c>
      <c r="B297" s="39" t="s">
        <v>607</v>
      </c>
      <c r="C297" s="14" t="s">
        <v>39</v>
      </c>
      <c r="D297" s="15">
        <v>45309</v>
      </c>
      <c r="E297" s="2">
        <v>0</v>
      </c>
      <c r="F297" s="14" t="s">
        <v>152</v>
      </c>
      <c r="G297" t="s">
        <v>609</v>
      </c>
      <c r="H297" s="14" t="s">
        <v>93</v>
      </c>
      <c r="I297" s="2">
        <v>1</v>
      </c>
      <c r="J297" s="2">
        <v>0</v>
      </c>
      <c r="K297" s="2">
        <v>0</v>
      </c>
      <c r="L297" s="2"/>
      <c r="M297" s="2">
        <v>0</v>
      </c>
      <c r="N297" s="14"/>
      <c r="O297" s="14"/>
      <c r="P297" s="2">
        <v>3500</v>
      </c>
      <c r="Q297" s="2">
        <v>3500</v>
      </c>
      <c r="R297" s="2">
        <v>0</v>
      </c>
      <c r="S297">
        <f t="shared" si="23"/>
        <v>0</v>
      </c>
      <c r="T297" t="s">
        <v>84</v>
      </c>
      <c r="U297">
        <f t="shared" si="26"/>
        <v>140</v>
      </c>
      <c r="AD297" s="19">
        <v>38993</v>
      </c>
      <c r="AE297">
        <v>0</v>
      </c>
      <c r="AG297">
        <v>38993</v>
      </c>
      <c r="AH297" s="1">
        <v>0</v>
      </c>
    </row>
    <row r="298" spans="1:34" x14ac:dyDescent="0.25">
      <c r="A298" s="2">
        <v>38350</v>
      </c>
      <c r="B298" s="39" t="s">
        <v>607</v>
      </c>
      <c r="C298" s="14" t="s">
        <v>39</v>
      </c>
      <c r="D298" s="15">
        <v>45309</v>
      </c>
      <c r="E298" s="2">
        <v>0</v>
      </c>
      <c r="F298" s="14" t="s">
        <v>152</v>
      </c>
      <c r="G298" t="s">
        <v>228</v>
      </c>
      <c r="H298" s="14" t="s">
        <v>93</v>
      </c>
      <c r="I298" s="2">
        <v>1</v>
      </c>
      <c r="J298" s="2">
        <v>0</v>
      </c>
      <c r="K298" s="2">
        <v>0</v>
      </c>
      <c r="L298" s="2"/>
      <c r="M298" s="2">
        <v>0</v>
      </c>
      <c r="N298" s="14"/>
      <c r="O298" s="14"/>
      <c r="P298" s="2">
        <v>4950</v>
      </c>
      <c r="Q298" s="2">
        <v>4950</v>
      </c>
      <c r="R298" s="2">
        <v>0</v>
      </c>
      <c r="S298">
        <f t="shared" si="23"/>
        <v>0</v>
      </c>
      <c r="T298" t="s">
        <v>84</v>
      </c>
      <c r="U298">
        <f t="shared" si="26"/>
        <v>198</v>
      </c>
      <c r="AD298" s="19">
        <v>38998</v>
      </c>
      <c r="AE298">
        <v>27.451999999999991</v>
      </c>
      <c r="AG298">
        <v>38998</v>
      </c>
      <c r="AH298" s="1">
        <v>27.451999999999991</v>
      </c>
    </row>
    <row r="299" spans="1:34" hidden="1" x14ac:dyDescent="0.25">
      <c r="A299" s="2">
        <v>38358</v>
      </c>
      <c r="B299" s="13" t="s">
        <v>610</v>
      </c>
      <c r="C299" s="14" t="s">
        <v>39</v>
      </c>
      <c r="D299" s="15">
        <v>45315</v>
      </c>
      <c r="E299" s="2">
        <v>322.5</v>
      </c>
      <c r="F299" s="14" t="s">
        <v>315</v>
      </c>
      <c r="G299" t="s">
        <v>316</v>
      </c>
      <c r="H299" s="14" t="s">
        <v>104</v>
      </c>
      <c r="I299" s="2">
        <v>1</v>
      </c>
      <c r="J299" s="2">
        <v>0</v>
      </c>
      <c r="K299" s="2">
        <v>0</v>
      </c>
      <c r="L299" s="2"/>
      <c r="M299" s="2">
        <v>0</v>
      </c>
      <c r="N299" s="14"/>
      <c r="O299" s="14"/>
      <c r="P299" s="2">
        <v>500</v>
      </c>
      <c r="Q299" s="2">
        <v>500</v>
      </c>
      <c r="R299" s="2">
        <v>0</v>
      </c>
      <c r="S299">
        <f t="shared" si="23"/>
        <v>0</v>
      </c>
      <c r="T299" t="s">
        <v>56</v>
      </c>
      <c r="U299">
        <f t="shared" si="26"/>
        <v>20</v>
      </c>
      <c r="AD299" s="19">
        <v>38999</v>
      </c>
      <c r="AE299">
        <v>150.64400000000003</v>
      </c>
      <c r="AG299">
        <v>38999</v>
      </c>
      <c r="AH299" s="1">
        <v>150.64400000000003</v>
      </c>
    </row>
    <row r="300" spans="1:34" hidden="1" x14ac:dyDescent="0.25">
      <c r="A300" s="2">
        <v>38377</v>
      </c>
      <c r="B300" s="13" t="s">
        <v>611</v>
      </c>
      <c r="C300" s="14" t="s">
        <v>39</v>
      </c>
      <c r="D300" s="15">
        <v>45300</v>
      </c>
      <c r="E300" s="2">
        <v>0</v>
      </c>
      <c r="F300" s="14" t="s">
        <v>612</v>
      </c>
      <c r="G300" t="s">
        <v>613</v>
      </c>
      <c r="H300" s="14" t="s">
        <v>42</v>
      </c>
      <c r="I300" s="2">
        <v>1</v>
      </c>
      <c r="J300" s="2">
        <v>0</v>
      </c>
      <c r="K300" s="2">
        <v>0</v>
      </c>
      <c r="L300" s="2"/>
      <c r="M300" s="2">
        <v>0</v>
      </c>
      <c r="N300" s="14"/>
      <c r="O300" s="14"/>
      <c r="P300" s="2">
        <v>269</v>
      </c>
      <c r="Q300" s="2">
        <v>269</v>
      </c>
      <c r="R300" s="2">
        <v>214.64</v>
      </c>
      <c r="S300">
        <f t="shared" si="23"/>
        <v>214.64</v>
      </c>
      <c r="T300" t="s">
        <v>150</v>
      </c>
      <c r="U300" s="1">
        <f t="shared" ref="U300:U308" si="27">_xlfn.XLOOKUP(T300,$Y$2:$Y$45,$AA$2:$AA$45)*(Q300-S300)</f>
        <v>4.3488000000000016</v>
      </c>
      <c r="AD300" s="19">
        <v>39000</v>
      </c>
      <c r="AE300">
        <v>107.1896</v>
      </c>
      <c r="AG300">
        <v>39000</v>
      </c>
      <c r="AH300" s="1">
        <v>107.1896</v>
      </c>
    </row>
    <row r="301" spans="1:34" hidden="1" x14ac:dyDescent="0.25">
      <c r="A301" s="2">
        <v>38380</v>
      </c>
      <c r="B301" s="13" t="s">
        <v>614</v>
      </c>
      <c r="C301" s="14" t="s">
        <v>39</v>
      </c>
      <c r="D301" s="15">
        <v>45315</v>
      </c>
      <c r="E301" s="2">
        <v>0</v>
      </c>
      <c r="F301" s="14" t="s">
        <v>615</v>
      </c>
      <c r="G301" t="s">
        <v>616</v>
      </c>
      <c r="H301" s="14" t="s">
        <v>42</v>
      </c>
      <c r="I301" s="2">
        <v>1</v>
      </c>
      <c r="J301" s="2">
        <v>0</v>
      </c>
      <c r="K301" s="2">
        <v>0</v>
      </c>
      <c r="L301" s="2"/>
      <c r="M301" s="2">
        <v>0</v>
      </c>
      <c r="N301" s="14"/>
      <c r="O301" s="14"/>
      <c r="P301" s="2">
        <v>318</v>
      </c>
      <c r="Q301" s="2">
        <v>318</v>
      </c>
      <c r="R301" s="2">
        <v>188.98</v>
      </c>
      <c r="S301">
        <f t="shared" si="23"/>
        <v>188.98</v>
      </c>
      <c r="T301" t="s">
        <v>140</v>
      </c>
      <c r="U301" s="1">
        <f t="shared" si="27"/>
        <v>10.321600000000002</v>
      </c>
      <c r="AD301" s="19">
        <v>39001</v>
      </c>
      <c r="AE301">
        <v>60.525100000000002</v>
      </c>
      <c r="AG301">
        <v>39001</v>
      </c>
      <c r="AH301" s="1">
        <v>60.525100000000002</v>
      </c>
    </row>
    <row r="302" spans="1:34" hidden="1" x14ac:dyDescent="0.25">
      <c r="A302" s="2">
        <v>38380</v>
      </c>
      <c r="B302" s="13" t="s">
        <v>614</v>
      </c>
      <c r="C302" s="14" t="s">
        <v>39</v>
      </c>
      <c r="D302" s="15">
        <v>45315</v>
      </c>
      <c r="E302" s="2">
        <v>0</v>
      </c>
      <c r="F302" s="14" t="s">
        <v>615</v>
      </c>
      <c r="G302" t="s">
        <v>617</v>
      </c>
      <c r="H302" s="14" t="s">
        <v>42</v>
      </c>
      <c r="I302" s="2">
        <v>1</v>
      </c>
      <c r="J302" s="2">
        <v>0</v>
      </c>
      <c r="K302" s="2">
        <v>0</v>
      </c>
      <c r="L302" s="2"/>
      <c r="M302" s="2">
        <v>0</v>
      </c>
      <c r="N302" s="14"/>
      <c r="O302" s="14"/>
      <c r="P302" s="2">
        <v>303</v>
      </c>
      <c r="Q302" s="2">
        <v>303</v>
      </c>
      <c r="R302" s="2">
        <v>178.56</v>
      </c>
      <c r="S302">
        <f t="shared" si="23"/>
        <v>178.56</v>
      </c>
      <c r="T302" t="s">
        <v>140</v>
      </c>
      <c r="U302" s="1">
        <f t="shared" si="27"/>
        <v>9.9551999999999996</v>
      </c>
      <c r="AD302" s="19">
        <v>39003</v>
      </c>
      <c r="AE302">
        <v>101.10959999999999</v>
      </c>
      <c r="AG302">
        <v>39003</v>
      </c>
      <c r="AH302" s="1">
        <v>101.10959999999999</v>
      </c>
    </row>
    <row r="303" spans="1:34" hidden="1" x14ac:dyDescent="0.25">
      <c r="A303" s="2">
        <v>38380</v>
      </c>
      <c r="B303" s="13" t="s">
        <v>614</v>
      </c>
      <c r="C303" s="14" t="s">
        <v>39</v>
      </c>
      <c r="D303" s="15">
        <v>45315</v>
      </c>
      <c r="E303" s="2">
        <v>0</v>
      </c>
      <c r="F303" s="14" t="s">
        <v>615</v>
      </c>
      <c r="G303" t="s">
        <v>618</v>
      </c>
      <c r="H303" s="14" t="s">
        <v>42</v>
      </c>
      <c r="I303" s="2">
        <v>1</v>
      </c>
      <c r="J303" s="2">
        <v>0</v>
      </c>
      <c r="K303" s="2">
        <v>0</v>
      </c>
      <c r="L303" s="2"/>
      <c r="M303" s="2">
        <v>0</v>
      </c>
      <c r="N303" s="14"/>
      <c r="O303" s="14"/>
      <c r="P303" s="2">
        <v>303</v>
      </c>
      <c r="Q303" s="2">
        <v>303</v>
      </c>
      <c r="R303" s="2">
        <v>178.56</v>
      </c>
      <c r="S303">
        <f t="shared" si="23"/>
        <v>178.56</v>
      </c>
      <c r="T303" t="s">
        <v>140</v>
      </c>
      <c r="U303" s="1">
        <f t="shared" si="27"/>
        <v>9.9551999999999996</v>
      </c>
      <c r="AD303" s="19">
        <v>39007</v>
      </c>
      <c r="AE303">
        <v>0</v>
      </c>
      <c r="AG303">
        <v>39007</v>
      </c>
      <c r="AH303" s="1">
        <v>0</v>
      </c>
    </row>
    <row r="304" spans="1:34" hidden="1" x14ac:dyDescent="0.25">
      <c r="A304" s="2">
        <v>38380</v>
      </c>
      <c r="B304" s="13" t="s">
        <v>614</v>
      </c>
      <c r="C304" s="14" t="s">
        <v>39</v>
      </c>
      <c r="D304" s="15">
        <v>45315</v>
      </c>
      <c r="E304" s="2">
        <v>0</v>
      </c>
      <c r="F304" s="14" t="s">
        <v>615</v>
      </c>
      <c r="G304" t="s">
        <v>619</v>
      </c>
      <c r="H304" s="14" t="s">
        <v>42</v>
      </c>
      <c r="I304" s="2">
        <v>1</v>
      </c>
      <c r="J304" s="2">
        <v>0</v>
      </c>
      <c r="K304" s="2">
        <v>0</v>
      </c>
      <c r="L304" s="2"/>
      <c r="M304" s="2">
        <v>0</v>
      </c>
      <c r="N304" s="14"/>
      <c r="O304" s="14"/>
      <c r="P304" s="2">
        <v>303</v>
      </c>
      <c r="Q304" s="2">
        <v>303</v>
      </c>
      <c r="R304" s="2">
        <v>178.56</v>
      </c>
      <c r="S304">
        <f t="shared" si="23"/>
        <v>178.56</v>
      </c>
      <c r="T304" t="s">
        <v>140</v>
      </c>
      <c r="U304" s="1">
        <f t="shared" si="27"/>
        <v>9.9551999999999996</v>
      </c>
      <c r="AD304" s="19">
        <v>39011</v>
      </c>
      <c r="AE304">
        <v>-0.64879999999999249</v>
      </c>
      <c r="AG304">
        <v>39011</v>
      </c>
      <c r="AH304" s="1">
        <v>-0.64879999999999249</v>
      </c>
    </row>
    <row r="305" spans="1:34" hidden="1" x14ac:dyDescent="0.25">
      <c r="A305" s="2">
        <v>38380</v>
      </c>
      <c r="B305" s="13" t="s">
        <v>614</v>
      </c>
      <c r="C305" s="14" t="s">
        <v>39</v>
      </c>
      <c r="D305" s="15">
        <v>45315</v>
      </c>
      <c r="E305" s="2">
        <v>0</v>
      </c>
      <c r="F305" s="14" t="s">
        <v>615</v>
      </c>
      <c r="G305" t="s">
        <v>620</v>
      </c>
      <c r="H305" s="14" t="s">
        <v>42</v>
      </c>
      <c r="I305" s="2">
        <v>1</v>
      </c>
      <c r="J305" s="2">
        <v>0</v>
      </c>
      <c r="K305" s="2">
        <v>0</v>
      </c>
      <c r="L305" s="2"/>
      <c r="M305" s="2">
        <v>0</v>
      </c>
      <c r="N305" s="14"/>
      <c r="O305" s="14"/>
      <c r="P305" s="2">
        <v>303</v>
      </c>
      <c r="Q305" s="2">
        <v>303</v>
      </c>
      <c r="R305" s="2">
        <v>178.56</v>
      </c>
      <c r="S305">
        <f t="shared" si="23"/>
        <v>178.56</v>
      </c>
      <c r="T305" t="s">
        <v>140</v>
      </c>
      <c r="U305" s="1">
        <f t="shared" si="27"/>
        <v>9.9551999999999996</v>
      </c>
      <c r="AD305" s="19">
        <v>39016</v>
      </c>
      <c r="AE305">
        <v>5.7162500000000005</v>
      </c>
      <c r="AG305">
        <v>39016</v>
      </c>
      <c r="AH305" s="1">
        <v>5.7162500000000005</v>
      </c>
    </row>
    <row r="306" spans="1:34" hidden="1" x14ac:dyDescent="0.25">
      <c r="A306" s="2">
        <v>38380</v>
      </c>
      <c r="B306" s="13" t="s">
        <v>614</v>
      </c>
      <c r="C306" s="14" t="s">
        <v>39</v>
      </c>
      <c r="D306" s="15">
        <v>45315</v>
      </c>
      <c r="E306" s="2">
        <v>0</v>
      </c>
      <c r="F306" s="14" t="s">
        <v>615</v>
      </c>
      <c r="G306" t="s">
        <v>621</v>
      </c>
      <c r="H306" s="14" t="s">
        <v>42</v>
      </c>
      <c r="I306" s="2">
        <v>1</v>
      </c>
      <c r="J306" s="2">
        <v>0</v>
      </c>
      <c r="K306" s="2">
        <v>0</v>
      </c>
      <c r="L306" s="2"/>
      <c r="M306" s="2">
        <v>0</v>
      </c>
      <c r="N306" s="14"/>
      <c r="O306" s="14"/>
      <c r="P306" s="2">
        <v>877</v>
      </c>
      <c r="Q306" s="2">
        <v>877</v>
      </c>
      <c r="R306" s="2">
        <v>579.12</v>
      </c>
      <c r="S306">
        <f t="shared" si="23"/>
        <v>579.12</v>
      </c>
      <c r="T306" t="s">
        <v>140</v>
      </c>
      <c r="U306" s="1">
        <f t="shared" si="27"/>
        <v>23.830400000000001</v>
      </c>
      <c r="AD306" s="19">
        <v>39017</v>
      </c>
      <c r="AE306">
        <v>540.74239999999986</v>
      </c>
      <c r="AG306">
        <v>39017</v>
      </c>
      <c r="AH306" s="1">
        <v>540.74239999999986</v>
      </c>
    </row>
    <row r="307" spans="1:34" hidden="1" x14ac:dyDescent="0.25">
      <c r="A307" s="2">
        <v>38389</v>
      </c>
      <c r="B307" s="13" t="s">
        <v>146</v>
      </c>
      <c r="C307" s="14" t="s">
        <v>39</v>
      </c>
      <c r="D307" s="15">
        <v>45309</v>
      </c>
      <c r="E307" s="2">
        <v>60</v>
      </c>
      <c r="F307" s="14" t="s">
        <v>72</v>
      </c>
      <c r="G307" t="s">
        <v>73</v>
      </c>
      <c r="H307" s="14" t="s">
        <v>42</v>
      </c>
      <c r="I307" s="2">
        <v>1</v>
      </c>
      <c r="J307" s="2">
        <v>0</v>
      </c>
      <c r="K307" s="2">
        <v>0</v>
      </c>
      <c r="L307" s="2"/>
      <c r="M307" s="2">
        <v>0</v>
      </c>
      <c r="N307" s="14"/>
      <c r="O307" s="14"/>
      <c r="P307" s="2">
        <v>2048.7800000000002</v>
      </c>
      <c r="Q307" s="2">
        <v>2048.7800000000002</v>
      </c>
      <c r="R307" s="2">
        <v>1680</v>
      </c>
      <c r="S307">
        <f t="shared" si="23"/>
        <v>1680</v>
      </c>
      <c r="T307" s="14" t="s">
        <v>156</v>
      </c>
      <c r="U307" s="1">
        <f t="shared" si="27"/>
        <v>29.502400000000016</v>
      </c>
      <c r="AD307" s="19">
        <v>39025</v>
      </c>
      <c r="AE307">
        <v>0.12</v>
      </c>
      <c r="AG307">
        <v>39025</v>
      </c>
      <c r="AH307" s="1">
        <v>0.12</v>
      </c>
    </row>
    <row r="308" spans="1:34" hidden="1" x14ac:dyDescent="0.25">
      <c r="A308" s="2">
        <v>38389</v>
      </c>
      <c r="B308" s="13" t="s">
        <v>146</v>
      </c>
      <c r="C308" s="14" t="s">
        <v>39</v>
      </c>
      <c r="D308" s="15">
        <v>45309</v>
      </c>
      <c r="E308" s="2">
        <v>60</v>
      </c>
      <c r="F308" s="14" t="s">
        <v>622</v>
      </c>
      <c r="G308" t="s">
        <v>623</v>
      </c>
      <c r="H308" s="14" t="s">
        <v>146</v>
      </c>
      <c r="I308" s="2">
        <v>5</v>
      </c>
      <c r="J308" s="2">
        <v>0</v>
      </c>
      <c r="K308" s="2">
        <v>0</v>
      </c>
      <c r="L308" s="2"/>
      <c r="M308" s="2">
        <v>0</v>
      </c>
      <c r="N308" s="14"/>
      <c r="O308" s="14"/>
      <c r="P308" s="2">
        <v>36.590000000000003</v>
      </c>
      <c r="Q308" s="2">
        <v>182.95</v>
      </c>
      <c r="R308" s="2">
        <v>30</v>
      </c>
      <c r="S308">
        <f t="shared" si="23"/>
        <v>150</v>
      </c>
      <c r="T308" s="14" t="s">
        <v>156</v>
      </c>
      <c r="U308" s="1">
        <f t="shared" si="27"/>
        <v>2.6359999999999992</v>
      </c>
      <c r="AD308" s="19">
        <v>39026</v>
      </c>
      <c r="AE308">
        <v>7.1608000000000001</v>
      </c>
      <c r="AG308">
        <v>39026</v>
      </c>
      <c r="AH308" s="1">
        <v>7.1608000000000001</v>
      </c>
    </row>
    <row r="309" spans="1:34" x14ac:dyDescent="0.25">
      <c r="A309" s="2">
        <v>38389</v>
      </c>
      <c r="B309" s="13" t="s">
        <v>146</v>
      </c>
      <c r="C309" s="14" t="s">
        <v>39</v>
      </c>
      <c r="D309" s="15">
        <v>45309</v>
      </c>
      <c r="E309" s="2">
        <v>60</v>
      </c>
      <c r="F309" s="14" t="s">
        <v>91</v>
      </c>
      <c r="G309" t="s">
        <v>396</v>
      </c>
      <c r="H309" s="14" t="s">
        <v>93</v>
      </c>
      <c r="I309" s="2">
        <v>1</v>
      </c>
      <c r="J309" s="2">
        <v>0</v>
      </c>
      <c r="K309" s="2">
        <v>0</v>
      </c>
      <c r="L309" s="2"/>
      <c r="M309" s="2">
        <v>0</v>
      </c>
      <c r="N309" s="14"/>
      <c r="O309" s="14"/>
      <c r="P309" s="2">
        <v>13019.65</v>
      </c>
      <c r="Q309" s="2">
        <v>13019.65</v>
      </c>
      <c r="R309" s="2">
        <v>11066.7</v>
      </c>
      <c r="S309">
        <f t="shared" si="23"/>
        <v>11066.7</v>
      </c>
      <c r="T309" s="14" t="s">
        <v>156</v>
      </c>
      <c r="U309">
        <f>_xlfn.XLOOKUP(T309,$Y$2:$Y$45,$AB$2:$AB$45)*(Q309)</f>
        <v>520.78599999999994</v>
      </c>
      <c r="AD309" s="19">
        <v>39029</v>
      </c>
      <c r="AE309">
        <v>137.25399999999999</v>
      </c>
      <c r="AG309">
        <v>39029</v>
      </c>
      <c r="AH309" s="1">
        <v>137.25399999999999</v>
      </c>
    </row>
    <row r="310" spans="1:34" hidden="1" x14ac:dyDescent="0.25">
      <c r="A310" s="2">
        <v>38389</v>
      </c>
      <c r="B310" s="13" t="s">
        <v>146</v>
      </c>
      <c r="C310" s="14" t="s">
        <v>39</v>
      </c>
      <c r="D310" s="15">
        <v>45309</v>
      </c>
      <c r="E310" s="2">
        <v>60</v>
      </c>
      <c r="F310" s="14" t="s">
        <v>75</v>
      </c>
      <c r="G310" t="s">
        <v>76</v>
      </c>
      <c r="H310" s="14" t="s">
        <v>42</v>
      </c>
      <c r="I310" s="2">
        <v>3</v>
      </c>
      <c r="J310" s="2">
        <v>0</v>
      </c>
      <c r="K310" s="2">
        <v>0</v>
      </c>
      <c r="L310" s="2"/>
      <c r="M310" s="2">
        <v>0</v>
      </c>
      <c r="N310" s="14"/>
      <c r="O310" s="14"/>
      <c r="P310" s="2">
        <v>201.22</v>
      </c>
      <c r="Q310" s="2">
        <v>603.66</v>
      </c>
      <c r="R310" s="2">
        <v>165</v>
      </c>
      <c r="S310">
        <f t="shared" si="23"/>
        <v>495</v>
      </c>
      <c r="T310" s="14" t="s">
        <v>156</v>
      </c>
      <c r="U310" s="1">
        <f>_xlfn.XLOOKUP(T310,$Y$2:$Y$45,$AA$2:$AA$45)*(Q310-S310)</f>
        <v>8.6927999999999983</v>
      </c>
      <c r="AD310" s="19">
        <v>39033</v>
      </c>
      <c r="AE310">
        <v>44.705600000000004</v>
      </c>
      <c r="AG310">
        <v>39033</v>
      </c>
      <c r="AH310" s="1">
        <v>44.705600000000004</v>
      </c>
    </row>
    <row r="311" spans="1:34" hidden="1" x14ac:dyDescent="0.25">
      <c r="A311" s="2">
        <v>38389</v>
      </c>
      <c r="B311" s="13" t="s">
        <v>146</v>
      </c>
      <c r="C311" s="14" t="s">
        <v>39</v>
      </c>
      <c r="D311" s="15">
        <v>45309</v>
      </c>
      <c r="E311" s="2">
        <v>60</v>
      </c>
      <c r="F311" s="14" t="s">
        <v>624</v>
      </c>
      <c r="G311" t="s">
        <v>625</v>
      </c>
      <c r="H311" s="14" t="s">
        <v>42</v>
      </c>
      <c r="I311" s="2">
        <v>1</v>
      </c>
      <c r="J311" s="2">
        <v>0</v>
      </c>
      <c r="K311" s="2">
        <v>0</v>
      </c>
      <c r="L311" s="2"/>
      <c r="M311" s="2">
        <v>0</v>
      </c>
      <c r="N311" s="14"/>
      <c r="O311" s="14"/>
      <c r="P311" s="2">
        <v>1580.49</v>
      </c>
      <c r="Q311" s="2">
        <v>1580.49</v>
      </c>
      <c r="R311" s="2">
        <v>1296</v>
      </c>
      <c r="S311">
        <f t="shared" si="23"/>
        <v>1296</v>
      </c>
      <c r="T311" s="14" t="s">
        <v>156</v>
      </c>
      <c r="U311" s="1">
        <f>_xlfn.XLOOKUP(T311,$Y$2:$Y$45,$AA$2:$AA$45)*(Q311-S311)</f>
        <v>22.7592</v>
      </c>
      <c r="AD311" s="19">
        <v>39035</v>
      </c>
      <c r="AE311">
        <v>19.025600000000015</v>
      </c>
      <c r="AG311">
        <v>39035</v>
      </c>
      <c r="AH311" s="1">
        <v>19.025600000000015</v>
      </c>
    </row>
    <row r="312" spans="1:34" x14ac:dyDescent="0.25">
      <c r="A312" s="2">
        <v>38389</v>
      </c>
      <c r="B312" s="13" t="s">
        <v>146</v>
      </c>
      <c r="C312" s="14" t="s">
        <v>39</v>
      </c>
      <c r="D312" s="15">
        <v>45309</v>
      </c>
      <c r="E312" s="2">
        <v>60</v>
      </c>
      <c r="F312" s="14" t="s">
        <v>152</v>
      </c>
      <c r="G312" t="s">
        <v>153</v>
      </c>
      <c r="H312" s="14" t="s">
        <v>93</v>
      </c>
      <c r="I312" s="2">
        <v>12</v>
      </c>
      <c r="J312" s="2">
        <v>0</v>
      </c>
      <c r="K312" s="2">
        <v>0</v>
      </c>
      <c r="L312" s="2"/>
      <c r="M312" s="2">
        <v>0</v>
      </c>
      <c r="N312" s="14"/>
      <c r="O312" s="14"/>
      <c r="P312" s="2">
        <v>185</v>
      </c>
      <c r="Q312" s="2">
        <v>2220</v>
      </c>
      <c r="R312" s="2">
        <v>0</v>
      </c>
      <c r="S312">
        <f t="shared" si="23"/>
        <v>0</v>
      </c>
      <c r="T312" s="14" t="s">
        <v>156</v>
      </c>
      <c r="U312">
        <f>_xlfn.XLOOKUP(T312,$Y$2:$Y$45,$AB$2:$AB$45)*(Q312)</f>
        <v>88.8</v>
      </c>
      <c r="AD312" s="19">
        <v>39037</v>
      </c>
      <c r="AE312">
        <v>359.04</v>
      </c>
      <c r="AG312">
        <v>39037</v>
      </c>
      <c r="AH312" s="1">
        <v>359.04</v>
      </c>
    </row>
    <row r="313" spans="1:34" hidden="1" x14ac:dyDescent="0.25">
      <c r="A313" s="2">
        <v>38396</v>
      </c>
      <c r="B313" s="13" t="s">
        <v>626</v>
      </c>
      <c r="C313" s="14" t="s">
        <v>39</v>
      </c>
      <c r="D313" s="15">
        <v>45295</v>
      </c>
      <c r="E313" s="2">
        <v>0</v>
      </c>
      <c r="F313" s="14" t="s">
        <v>627</v>
      </c>
      <c r="G313" t="s">
        <v>628</v>
      </c>
      <c r="H313" s="14" t="s">
        <v>42</v>
      </c>
      <c r="I313" s="2">
        <v>4</v>
      </c>
      <c r="J313" s="2">
        <v>0</v>
      </c>
      <c r="K313" s="2">
        <v>0</v>
      </c>
      <c r="L313" s="2"/>
      <c r="M313" s="2">
        <v>0</v>
      </c>
      <c r="N313" s="14"/>
      <c r="O313" s="14"/>
      <c r="P313" s="2">
        <v>1522.85</v>
      </c>
      <c r="Q313" s="2">
        <v>6091.4</v>
      </c>
      <c r="R313" s="2">
        <v>1431.48</v>
      </c>
      <c r="S313">
        <f t="shared" si="23"/>
        <v>5725.92</v>
      </c>
      <c r="T313" t="s">
        <v>184</v>
      </c>
      <c r="U313" s="1">
        <f>_xlfn.XLOOKUP(T313,$Y$2:$Y$45,$AA$2:$AA$45)*(Q313-S313)</f>
        <v>0</v>
      </c>
      <c r="AD313" s="19">
        <v>39039</v>
      </c>
      <c r="AE313">
        <v>82.492800000000017</v>
      </c>
      <c r="AG313">
        <v>39039</v>
      </c>
      <c r="AH313" s="1">
        <v>82.492800000000017</v>
      </c>
    </row>
    <row r="314" spans="1:34" hidden="1" x14ac:dyDescent="0.25">
      <c r="A314" s="2">
        <v>38396</v>
      </c>
      <c r="B314" s="13" t="s">
        <v>626</v>
      </c>
      <c r="C314" s="14" t="s">
        <v>39</v>
      </c>
      <c r="D314" s="15">
        <v>45295</v>
      </c>
      <c r="E314" s="2">
        <v>0</v>
      </c>
      <c r="F314" s="14" t="s">
        <v>543</v>
      </c>
      <c r="G314" t="s">
        <v>629</v>
      </c>
      <c r="H314" s="14" t="s">
        <v>42</v>
      </c>
      <c r="I314" s="2">
        <v>4</v>
      </c>
      <c r="J314" s="2">
        <v>0</v>
      </c>
      <c r="K314" s="2">
        <v>0</v>
      </c>
      <c r="L314" s="2"/>
      <c r="M314" s="2">
        <v>0</v>
      </c>
      <c r="N314" s="14"/>
      <c r="O314" s="14"/>
      <c r="P314" s="2">
        <v>278.91000000000003</v>
      </c>
      <c r="Q314" s="2">
        <v>1115.6400000000001</v>
      </c>
      <c r="R314" s="2">
        <v>262.18</v>
      </c>
      <c r="S314">
        <f t="shared" si="23"/>
        <v>1048.72</v>
      </c>
      <c r="T314" t="s">
        <v>184</v>
      </c>
      <c r="U314" s="1">
        <f>_xlfn.XLOOKUP(T314,$Y$2:$Y$45,$AA$2:$AA$45)*(Q314-S314)</f>
        <v>0</v>
      </c>
      <c r="AD314" s="19">
        <v>39040</v>
      </c>
      <c r="AE314">
        <v>43.112799999999993</v>
      </c>
      <c r="AG314">
        <v>39040</v>
      </c>
      <c r="AH314" s="1">
        <v>43.112799999999993</v>
      </c>
    </row>
    <row r="315" spans="1:34" hidden="1" x14ac:dyDescent="0.25">
      <c r="A315" s="2">
        <v>38396</v>
      </c>
      <c r="B315" s="13" t="s">
        <v>626</v>
      </c>
      <c r="C315" s="14" t="s">
        <v>39</v>
      </c>
      <c r="D315" s="15">
        <v>45295</v>
      </c>
      <c r="E315" s="2">
        <v>0</v>
      </c>
      <c r="F315" s="14" t="s">
        <v>630</v>
      </c>
      <c r="G315" t="s">
        <v>631</v>
      </c>
      <c r="H315" s="14" t="s">
        <v>42</v>
      </c>
      <c r="I315" s="2">
        <v>4</v>
      </c>
      <c r="J315" s="2">
        <v>0</v>
      </c>
      <c r="K315" s="2">
        <v>0</v>
      </c>
      <c r="L315" s="2"/>
      <c r="M315" s="2">
        <v>0</v>
      </c>
      <c r="N315" s="14"/>
      <c r="O315" s="14"/>
      <c r="P315" s="2">
        <v>5</v>
      </c>
      <c r="Q315" s="2">
        <v>20</v>
      </c>
      <c r="R315" s="2">
        <v>5</v>
      </c>
      <c r="S315">
        <f t="shared" si="23"/>
        <v>20</v>
      </c>
      <c r="T315" t="s">
        <v>184</v>
      </c>
      <c r="U315" s="1">
        <f>_xlfn.XLOOKUP(T315,$Y$2:$Y$45,$AA$2:$AA$45)*(Q315-S315)</f>
        <v>0</v>
      </c>
      <c r="AD315" s="19">
        <v>39044</v>
      </c>
      <c r="AE315">
        <v>36.692800000000005</v>
      </c>
      <c r="AG315">
        <v>39044</v>
      </c>
      <c r="AH315" s="1">
        <v>36.692800000000005</v>
      </c>
    </row>
    <row r="316" spans="1:34" x14ac:dyDescent="0.25">
      <c r="A316" s="2">
        <v>38396</v>
      </c>
      <c r="B316" s="13" t="s">
        <v>626</v>
      </c>
      <c r="C316" s="14" t="s">
        <v>39</v>
      </c>
      <c r="D316" s="15">
        <v>45295</v>
      </c>
      <c r="E316" s="2">
        <v>0</v>
      </c>
      <c r="F316" s="14" t="s">
        <v>260</v>
      </c>
      <c r="G316" t="s">
        <v>279</v>
      </c>
      <c r="H316" s="14" t="s">
        <v>93</v>
      </c>
      <c r="I316" s="2">
        <v>4</v>
      </c>
      <c r="J316" s="2">
        <v>0</v>
      </c>
      <c r="K316" s="2">
        <v>0</v>
      </c>
      <c r="L316" s="2"/>
      <c r="M316" s="2">
        <v>0</v>
      </c>
      <c r="N316" s="14"/>
      <c r="O316" s="14"/>
      <c r="P316" s="2">
        <v>200</v>
      </c>
      <c r="Q316" s="2">
        <v>800</v>
      </c>
      <c r="R316" s="2">
        <v>0</v>
      </c>
      <c r="S316">
        <f t="shared" si="23"/>
        <v>0</v>
      </c>
      <c r="T316" t="s">
        <v>184</v>
      </c>
      <c r="U316">
        <f>_xlfn.XLOOKUP(T316,$Y$2:$Y$45,$AB$2:$AB$45)*(Q316)</f>
        <v>0</v>
      </c>
      <c r="AD316" s="19">
        <v>39048</v>
      </c>
      <c r="AE316">
        <v>28.713600000000007</v>
      </c>
      <c r="AG316">
        <v>39048</v>
      </c>
      <c r="AH316" s="1">
        <v>28.713600000000007</v>
      </c>
    </row>
    <row r="317" spans="1:34" hidden="1" x14ac:dyDescent="0.25">
      <c r="A317" s="2">
        <v>38415</v>
      </c>
      <c r="B317" s="13" t="s">
        <v>632</v>
      </c>
      <c r="C317" s="14" t="s">
        <v>39</v>
      </c>
      <c r="D317" s="15">
        <v>45293</v>
      </c>
      <c r="E317" s="2">
        <v>0</v>
      </c>
      <c r="F317" s="14" t="s">
        <v>633</v>
      </c>
      <c r="G317" t="s">
        <v>634</v>
      </c>
      <c r="H317" s="14" t="s">
        <v>42</v>
      </c>
      <c r="I317" s="2">
        <v>3</v>
      </c>
      <c r="J317" s="2">
        <v>0</v>
      </c>
      <c r="K317" s="2">
        <v>0</v>
      </c>
      <c r="L317" s="2"/>
      <c r="M317" s="2">
        <v>0</v>
      </c>
      <c r="N317" s="14"/>
      <c r="O317" s="14"/>
      <c r="P317" s="2">
        <v>374</v>
      </c>
      <c r="Q317" s="2">
        <v>1122</v>
      </c>
      <c r="R317" s="2">
        <v>306.19</v>
      </c>
      <c r="S317">
        <f t="shared" si="23"/>
        <v>918.56999999999994</v>
      </c>
      <c r="T317" t="s">
        <v>132</v>
      </c>
      <c r="U317" s="1">
        <f>_xlfn.XLOOKUP(T317,$Y$2:$Y$45,$AA$2:$AA$45)*(Q317-S317)</f>
        <v>16.274400000000007</v>
      </c>
      <c r="AD317" s="19">
        <v>39053</v>
      </c>
      <c r="AE317">
        <v>18</v>
      </c>
      <c r="AG317">
        <v>39053</v>
      </c>
      <c r="AH317" s="1">
        <v>18</v>
      </c>
    </row>
    <row r="318" spans="1:34" hidden="1" x14ac:dyDescent="0.25">
      <c r="A318" s="2">
        <v>38421</v>
      </c>
      <c r="B318" s="13" t="s">
        <v>635</v>
      </c>
      <c r="C318" s="14" t="s">
        <v>39</v>
      </c>
      <c r="D318" s="15">
        <v>45295</v>
      </c>
      <c r="E318" s="2">
        <v>0</v>
      </c>
      <c r="F318" s="14" t="s">
        <v>636</v>
      </c>
      <c r="G318" t="s">
        <v>637</v>
      </c>
      <c r="H318" s="14" t="s">
        <v>42</v>
      </c>
      <c r="I318" s="2">
        <v>2</v>
      </c>
      <c r="J318" s="2">
        <v>0</v>
      </c>
      <c r="K318" s="2">
        <v>0</v>
      </c>
      <c r="L318" s="2"/>
      <c r="M318" s="2">
        <v>0</v>
      </c>
      <c r="N318" s="14"/>
      <c r="O318" s="14"/>
      <c r="P318" s="2">
        <v>321</v>
      </c>
      <c r="Q318" s="2">
        <v>642</v>
      </c>
      <c r="R318" s="2">
        <v>227.11</v>
      </c>
      <c r="S318">
        <f t="shared" si="23"/>
        <v>454.22</v>
      </c>
      <c r="T318" t="s">
        <v>184</v>
      </c>
      <c r="U318" s="1">
        <f>_xlfn.XLOOKUP(T318,$Y$2:$Y$45,$AA$2:$AA$45)*(Q318-S318)</f>
        <v>0</v>
      </c>
      <c r="AD318" s="19">
        <v>39054</v>
      </c>
      <c r="AE318">
        <v>5.9551999999999996</v>
      </c>
      <c r="AG318">
        <v>39054</v>
      </c>
      <c r="AH318" s="1">
        <v>5.9551999999999996</v>
      </c>
    </row>
    <row r="319" spans="1:34" hidden="1" x14ac:dyDescent="0.25">
      <c r="A319" s="2">
        <v>38421</v>
      </c>
      <c r="B319" s="13" t="s">
        <v>635</v>
      </c>
      <c r="C319" s="14" t="s">
        <v>39</v>
      </c>
      <c r="D319" s="15">
        <v>45295</v>
      </c>
      <c r="E319" s="2">
        <v>0</v>
      </c>
      <c r="F319" s="14" t="s">
        <v>262</v>
      </c>
      <c r="G319" t="s">
        <v>263</v>
      </c>
      <c r="H319" s="14" t="s">
        <v>42</v>
      </c>
      <c r="I319" s="2">
        <v>2</v>
      </c>
      <c r="J319" s="2">
        <v>0</v>
      </c>
      <c r="K319" s="2">
        <v>0</v>
      </c>
      <c r="L319" s="2"/>
      <c r="M319" s="2">
        <v>0</v>
      </c>
      <c r="N319" s="14"/>
      <c r="O319" s="14"/>
      <c r="P319" s="2">
        <v>750.05</v>
      </c>
      <c r="Q319" s="2">
        <v>1500.1</v>
      </c>
      <c r="R319" s="2">
        <v>600.04</v>
      </c>
      <c r="S319">
        <f t="shared" si="23"/>
        <v>1200.08</v>
      </c>
      <c r="T319" t="s">
        <v>184</v>
      </c>
      <c r="U319" s="1">
        <f>_xlfn.XLOOKUP(T319,$Y$2:$Y$45,$AA$2:$AA$45)*(Q319-S319)</f>
        <v>0</v>
      </c>
      <c r="AD319" s="19">
        <v>39058</v>
      </c>
      <c r="AE319">
        <v>95.426099999999991</v>
      </c>
      <c r="AG319">
        <v>39058</v>
      </c>
      <c r="AH319" s="1">
        <v>95.426099999999991</v>
      </c>
    </row>
    <row r="320" spans="1:34" x14ac:dyDescent="0.25">
      <c r="A320" s="2">
        <v>38421</v>
      </c>
      <c r="B320" s="13" t="s">
        <v>635</v>
      </c>
      <c r="C320" s="14" t="s">
        <v>39</v>
      </c>
      <c r="D320" s="15">
        <v>45295</v>
      </c>
      <c r="E320" s="2">
        <v>0</v>
      </c>
      <c r="F320" s="14" t="s">
        <v>260</v>
      </c>
      <c r="G320" t="s">
        <v>313</v>
      </c>
      <c r="H320" s="14" t="s">
        <v>93</v>
      </c>
      <c r="I320" s="2">
        <v>8</v>
      </c>
      <c r="J320" s="2">
        <v>0</v>
      </c>
      <c r="K320" s="2">
        <v>0</v>
      </c>
      <c r="L320" s="2"/>
      <c r="M320" s="2">
        <v>0</v>
      </c>
      <c r="N320" s="14"/>
      <c r="O320" s="14"/>
      <c r="P320" s="2">
        <v>195</v>
      </c>
      <c r="Q320" s="2">
        <v>1560</v>
      </c>
      <c r="R320" s="2">
        <v>0</v>
      </c>
      <c r="S320">
        <f t="shared" si="23"/>
        <v>0</v>
      </c>
      <c r="T320" t="s">
        <v>184</v>
      </c>
      <c r="U320">
        <f>_xlfn.XLOOKUP(T320,$Y$2:$Y$45,$AB$2:$AB$45)*(Q320)</f>
        <v>0</v>
      </c>
      <c r="AD320" s="19">
        <v>39060</v>
      </c>
      <c r="AE320">
        <v>0</v>
      </c>
      <c r="AG320">
        <v>39060</v>
      </c>
      <c r="AH320" s="1">
        <v>0</v>
      </c>
    </row>
    <row r="321" spans="1:34" hidden="1" x14ac:dyDescent="0.25">
      <c r="A321" s="2">
        <v>38421</v>
      </c>
      <c r="B321" s="13" t="s">
        <v>635</v>
      </c>
      <c r="C321" s="14" t="s">
        <v>39</v>
      </c>
      <c r="D321" s="15">
        <v>45295</v>
      </c>
      <c r="E321" s="2">
        <v>0</v>
      </c>
      <c r="F321" s="14" t="s">
        <v>638</v>
      </c>
      <c r="G321" t="s">
        <v>639</v>
      </c>
      <c r="H321" s="14" t="s">
        <v>42</v>
      </c>
      <c r="I321" s="2">
        <v>4</v>
      </c>
      <c r="J321" s="2">
        <v>0</v>
      </c>
      <c r="K321" s="2">
        <v>0</v>
      </c>
      <c r="L321" s="2"/>
      <c r="M321" s="2">
        <v>0</v>
      </c>
      <c r="N321" s="14"/>
      <c r="O321" s="14"/>
      <c r="P321" s="2">
        <v>503.15</v>
      </c>
      <c r="Q321" s="2">
        <v>2012.6</v>
      </c>
      <c r="R321" s="2">
        <v>412.58</v>
      </c>
      <c r="S321">
        <f t="shared" si="23"/>
        <v>1650.32</v>
      </c>
      <c r="T321" t="s">
        <v>184</v>
      </c>
      <c r="U321" s="1">
        <f>_xlfn.XLOOKUP(T321,$Y$2:$Y$45,$AA$2:$AA$45)*(Q321-S321)</f>
        <v>0</v>
      </c>
      <c r="AD321" s="19">
        <v>39061</v>
      </c>
      <c r="AE321">
        <v>26.074399999999997</v>
      </c>
      <c r="AG321">
        <v>39061</v>
      </c>
      <c r="AH321" s="1">
        <v>26.074399999999997</v>
      </c>
    </row>
    <row r="322" spans="1:34" hidden="1" x14ac:dyDescent="0.25">
      <c r="A322" s="2">
        <v>38447</v>
      </c>
      <c r="B322" s="13" t="s">
        <v>640</v>
      </c>
      <c r="C322" s="14" t="s">
        <v>39</v>
      </c>
      <c r="D322" s="15">
        <v>45296</v>
      </c>
      <c r="E322" s="2">
        <v>0</v>
      </c>
      <c r="F322" s="14" t="s">
        <v>641</v>
      </c>
      <c r="G322" t="s">
        <v>642</v>
      </c>
      <c r="H322" s="14" t="s">
        <v>42</v>
      </c>
      <c r="I322" s="2">
        <v>1</v>
      </c>
      <c r="J322" s="2">
        <v>0</v>
      </c>
      <c r="K322" s="2">
        <v>0</v>
      </c>
      <c r="L322" s="2"/>
      <c r="M322" s="2">
        <v>0</v>
      </c>
      <c r="N322" s="14"/>
      <c r="O322" s="14"/>
      <c r="P322" s="2">
        <v>258.08</v>
      </c>
      <c r="Q322" s="2">
        <v>258.08</v>
      </c>
      <c r="R322" s="2">
        <v>220.99</v>
      </c>
      <c r="S322">
        <f t="shared" ref="S322:S385" si="28">R322*I322</f>
        <v>220.99</v>
      </c>
      <c r="T322" t="s">
        <v>174</v>
      </c>
      <c r="U322" s="1">
        <f>_xlfn.XLOOKUP(T322,$Y$2:$Y$45,$AA$2:$AA$45)*(Q322-S322)</f>
        <v>0</v>
      </c>
      <c r="AD322" s="19">
        <v>39063</v>
      </c>
      <c r="AE322">
        <v>472.16839999999996</v>
      </c>
      <c r="AG322">
        <v>39063</v>
      </c>
      <c r="AH322" s="1">
        <v>472.16839999999996</v>
      </c>
    </row>
    <row r="323" spans="1:34" hidden="1" x14ac:dyDescent="0.25">
      <c r="A323" s="2">
        <v>38447</v>
      </c>
      <c r="B323" s="13" t="s">
        <v>640</v>
      </c>
      <c r="C323" s="14" t="s">
        <v>39</v>
      </c>
      <c r="D323" s="15">
        <v>45296</v>
      </c>
      <c r="E323" s="2">
        <v>0</v>
      </c>
      <c r="F323" s="14" t="s">
        <v>643</v>
      </c>
      <c r="G323" t="s">
        <v>644</v>
      </c>
      <c r="H323" s="14" t="s">
        <v>42</v>
      </c>
      <c r="I323" s="2">
        <v>1</v>
      </c>
      <c r="J323" s="2">
        <v>0</v>
      </c>
      <c r="K323" s="2">
        <v>0</v>
      </c>
      <c r="L323" s="2"/>
      <c r="M323" s="2">
        <v>0</v>
      </c>
      <c r="N323" s="14"/>
      <c r="O323" s="14"/>
      <c r="P323" s="2">
        <v>887.11</v>
      </c>
      <c r="Q323" s="2">
        <v>887.11</v>
      </c>
      <c r="R323" s="2">
        <v>691.36</v>
      </c>
      <c r="S323">
        <f t="shared" si="28"/>
        <v>691.36</v>
      </c>
      <c r="T323" t="s">
        <v>174</v>
      </c>
      <c r="U323" s="1">
        <f>_xlfn.XLOOKUP(T323,$Y$2:$Y$45,$AA$2:$AA$45)*(Q323-S323)</f>
        <v>0</v>
      </c>
      <c r="AD323" s="19">
        <v>39064</v>
      </c>
      <c r="AE323">
        <v>0</v>
      </c>
      <c r="AG323">
        <v>39064</v>
      </c>
      <c r="AH323" s="1">
        <v>0</v>
      </c>
    </row>
    <row r="324" spans="1:34" x14ac:dyDescent="0.25">
      <c r="A324" s="2">
        <v>38447</v>
      </c>
      <c r="B324" s="13" t="s">
        <v>640</v>
      </c>
      <c r="C324" s="14" t="s">
        <v>39</v>
      </c>
      <c r="D324" s="15">
        <v>45296</v>
      </c>
      <c r="E324" s="2">
        <v>0</v>
      </c>
      <c r="F324" s="14" t="s">
        <v>260</v>
      </c>
      <c r="G324" t="s">
        <v>645</v>
      </c>
      <c r="H324" s="14" t="s">
        <v>93</v>
      </c>
      <c r="I324" s="2">
        <v>4</v>
      </c>
      <c r="J324" s="2">
        <v>0</v>
      </c>
      <c r="K324" s="2">
        <v>0</v>
      </c>
      <c r="L324" s="2"/>
      <c r="M324" s="2">
        <v>0</v>
      </c>
      <c r="N324" s="14"/>
      <c r="O324" s="14"/>
      <c r="P324" s="2">
        <v>166</v>
      </c>
      <c r="Q324" s="2">
        <v>664</v>
      </c>
      <c r="R324" s="2">
        <v>0</v>
      </c>
      <c r="S324">
        <f t="shared" si="28"/>
        <v>0</v>
      </c>
      <c r="T324" t="s">
        <v>174</v>
      </c>
      <c r="U324">
        <f>_xlfn.XLOOKUP(T324,$Y$2:$Y$45,$AB$2:$AB$45)*(Q324)</f>
        <v>0</v>
      </c>
      <c r="AD324" s="19">
        <v>39066</v>
      </c>
      <c r="AE324">
        <v>0</v>
      </c>
      <c r="AG324">
        <v>39066</v>
      </c>
      <c r="AH324" s="1">
        <v>0</v>
      </c>
    </row>
    <row r="325" spans="1:34" hidden="1" x14ac:dyDescent="0.25">
      <c r="A325" s="2">
        <v>38447</v>
      </c>
      <c r="B325" s="13" t="s">
        <v>640</v>
      </c>
      <c r="C325" s="14" t="s">
        <v>39</v>
      </c>
      <c r="D325" s="15">
        <v>45296</v>
      </c>
      <c r="E325" s="2">
        <v>0</v>
      </c>
      <c r="F325" s="14" t="s">
        <v>646</v>
      </c>
      <c r="G325" t="s">
        <v>647</v>
      </c>
      <c r="H325" s="14" t="s">
        <v>42</v>
      </c>
      <c r="I325" s="2">
        <v>1</v>
      </c>
      <c r="J325" s="2">
        <v>0</v>
      </c>
      <c r="K325" s="2">
        <v>0</v>
      </c>
      <c r="L325" s="2"/>
      <c r="M325" s="2">
        <v>0</v>
      </c>
      <c r="N325" s="14"/>
      <c r="O325" s="14"/>
      <c r="P325" s="2">
        <v>32.57</v>
      </c>
      <c r="Q325" s="2">
        <v>32.57</v>
      </c>
      <c r="R325" s="2">
        <v>24.43</v>
      </c>
      <c r="S325">
        <f t="shared" si="28"/>
        <v>24.43</v>
      </c>
      <c r="T325" t="s">
        <v>174</v>
      </c>
      <c r="U325" s="1">
        <f>_xlfn.XLOOKUP(T325,$Y$2:$Y$45,$AA$2:$AA$45)*(Q325-S325)</f>
        <v>0</v>
      </c>
      <c r="AD325" s="19">
        <v>39069</v>
      </c>
      <c r="AE325">
        <v>0</v>
      </c>
      <c r="AG325">
        <v>39069</v>
      </c>
      <c r="AH325" s="1">
        <v>0</v>
      </c>
    </row>
    <row r="326" spans="1:34" hidden="1" x14ac:dyDescent="0.25">
      <c r="A326" s="2">
        <v>38455</v>
      </c>
      <c r="B326" s="13" t="s">
        <v>648</v>
      </c>
      <c r="C326" s="14" t="s">
        <v>39</v>
      </c>
      <c r="D326" s="15">
        <v>45316</v>
      </c>
      <c r="E326" s="2">
        <v>0</v>
      </c>
      <c r="F326" s="14" t="s">
        <v>649</v>
      </c>
      <c r="G326" t="s">
        <v>650</v>
      </c>
      <c r="H326" s="14" t="s">
        <v>42</v>
      </c>
      <c r="I326" s="2">
        <v>2</v>
      </c>
      <c r="J326" s="2">
        <v>0</v>
      </c>
      <c r="K326" s="2">
        <v>0</v>
      </c>
      <c r="L326" s="2"/>
      <c r="M326" s="2">
        <v>0</v>
      </c>
      <c r="N326" s="14"/>
      <c r="O326" s="14"/>
      <c r="P326" s="2">
        <v>1456.77</v>
      </c>
      <c r="Q326" s="2">
        <v>2913.54</v>
      </c>
      <c r="R326" s="2">
        <v>1209.1199999999999</v>
      </c>
      <c r="S326">
        <f t="shared" si="28"/>
        <v>2418.2399999999998</v>
      </c>
      <c r="T326" t="s">
        <v>132</v>
      </c>
      <c r="U326" s="1">
        <f>_xlfn.XLOOKUP(T326,$Y$2:$Y$45,$AA$2:$AA$45)*(Q326-S326)</f>
        <v>39.624000000000017</v>
      </c>
      <c r="AD326" s="19">
        <v>39072</v>
      </c>
      <c r="AE326">
        <v>88</v>
      </c>
      <c r="AG326">
        <v>39072</v>
      </c>
      <c r="AH326" s="1">
        <v>88</v>
      </c>
    </row>
    <row r="327" spans="1:34" hidden="1" x14ac:dyDescent="0.25">
      <c r="A327" s="2">
        <v>38455</v>
      </c>
      <c r="B327" s="13" t="s">
        <v>648</v>
      </c>
      <c r="C327" s="14" t="s">
        <v>39</v>
      </c>
      <c r="D327" s="15">
        <v>45316</v>
      </c>
      <c r="E327" s="2">
        <v>0</v>
      </c>
      <c r="F327" s="14" t="s">
        <v>651</v>
      </c>
      <c r="G327" t="s">
        <v>652</v>
      </c>
      <c r="H327" s="14" t="s">
        <v>42</v>
      </c>
      <c r="I327" s="2">
        <v>1</v>
      </c>
      <c r="J327" s="2">
        <v>0</v>
      </c>
      <c r="K327" s="2">
        <v>0</v>
      </c>
      <c r="L327" s="2"/>
      <c r="M327" s="2">
        <v>0</v>
      </c>
      <c r="N327" s="14"/>
      <c r="O327" s="14"/>
      <c r="P327" s="2">
        <v>1367.11</v>
      </c>
      <c r="Q327" s="2">
        <v>1367.11</v>
      </c>
      <c r="R327" s="2">
        <v>1230.4000000000001</v>
      </c>
      <c r="S327">
        <f t="shared" si="28"/>
        <v>1230.4000000000001</v>
      </c>
      <c r="T327" t="s">
        <v>132</v>
      </c>
      <c r="U327" s="1">
        <f>_xlfn.XLOOKUP(T327,$Y$2:$Y$45,$AA$2:$AA$45)*(Q327-S327)</f>
        <v>10.936799999999986</v>
      </c>
      <c r="AD327" s="19">
        <v>39083</v>
      </c>
      <c r="AE327">
        <v>6.3987999999999987</v>
      </c>
      <c r="AG327">
        <v>39083</v>
      </c>
      <c r="AH327" s="1">
        <v>6.3987999999999987</v>
      </c>
    </row>
    <row r="328" spans="1:34" hidden="1" x14ac:dyDescent="0.25">
      <c r="A328" s="2">
        <v>38463</v>
      </c>
      <c r="B328" s="13" t="s">
        <v>653</v>
      </c>
      <c r="C328" s="14" t="s">
        <v>39</v>
      </c>
      <c r="D328" s="15">
        <v>45293</v>
      </c>
      <c r="E328" s="2">
        <v>0</v>
      </c>
      <c r="F328" s="14" t="s">
        <v>654</v>
      </c>
      <c r="G328" t="s">
        <v>655</v>
      </c>
      <c r="H328" s="14" t="s">
        <v>42</v>
      </c>
      <c r="I328" s="2">
        <v>1</v>
      </c>
      <c r="J328" s="2">
        <v>0</v>
      </c>
      <c r="K328" s="2">
        <v>0</v>
      </c>
      <c r="L328" s="2"/>
      <c r="M328" s="2">
        <v>0</v>
      </c>
      <c r="N328" s="14"/>
      <c r="O328" s="14"/>
      <c r="P328" s="2">
        <v>800.71</v>
      </c>
      <c r="Q328" s="2">
        <v>800.71</v>
      </c>
      <c r="R328" s="2">
        <v>696.27</v>
      </c>
      <c r="S328">
        <f t="shared" si="28"/>
        <v>696.27</v>
      </c>
      <c r="T328" t="s">
        <v>132</v>
      </c>
      <c r="U328" s="1">
        <f>_xlfn.XLOOKUP(T328,$Y$2:$Y$45,$AA$2:$AA$45)*(Q328-S328)</f>
        <v>8.3552000000000053</v>
      </c>
      <c r="AD328" s="19">
        <v>39084</v>
      </c>
      <c r="AE328">
        <v>17.159200000000002</v>
      </c>
      <c r="AG328">
        <v>39084</v>
      </c>
      <c r="AH328" s="1">
        <v>17.159200000000002</v>
      </c>
    </row>
    <row r="329" spans="1:34" x14ac:dyDescent="0.25">
      <c r="A329" s="2">
        <v>38473</v>
      </c>
      <c r="B329" s="13" t="s">
        <v>656</v>
      </c>
      <c r="C329" s="14" t="s">
        <v>39</v>
      </c>
      <c r="D329" s="15">
        <v>45307</v>
      </c>
      <c r="E329" s="2">
        <v>0</v>
      </c>
      <c r="F329" s="14" t="s">
        <v>657</v>
      </c>
      <c r="G329" t="s">
        <v>657</v>
      </c>
      <c r="H329" s="14" t="s">
        <v>93</v>
      </c>
      <c r="I329" s="2">
        <v>0.5</v>
      </c>
      <c r="J329" s="2">
        <v>0</v>
      </c>
      <c r="K329" s="2">
        <v>0</v>
      </c>
      <c r="L329" s="2"/>
      <c r="M329" s="2">
        <v>0</v>
      </c>
      <c r="N329" s="14"/>
      <c r="O329" s="14"/>
      <c r="P329" s="2">
        <v>135</v>
      </c>
      <c r="Q329" s="2">
        <v>67.5</v>
      </c>
      <c r="R329" s="2">
        <v>0</v>
      </c>
      <c r="S329">
        <f t="shared" si="28"/>
        <v>0</v>
      </c>
      <c r="T329" t="s">
        <v>1874</v>
      </c>
      <c r="U329">
        <f>_xlfn.XLOOKUP(T329,$Y$2:$Y$45,$AB$2:$AB$45)*(Q329)</f>
        <v>2.7</v>
      </c>
      <c r="AD329" s="19">
        <v>39088</v>
      </c>
      <c r="AE329">
        <v>25.759999999999998</v>
      </c>
      <c r="AG329">
        <v>39088</v>
      </c>
      <c r="AH329" s="1">
        <v>25.759999999999998</v>
      </c>
    </row>
    <row r="330" spans="1:34" hidden="1" x14ac:dyDescent="0.25">
      <c r="A330" s="2">
        <v>38473</v>
      </c>
      <c r="B330" s="13" t="s">
        <v>656</v>
      </c>
      <c r="C330" s="14" t="s">
        <v>39</v>
      </c>
      <c r="D330" s="15">
        <v>45307</v>
      </c>
      <c r="E330" s="2">
        <v>0</v>
      </c>
      <c r="F330" s="14" t="s">
        <v>658</v>
      </c>
      <c r="G330" t="s">
        <v>659</v>
      </c>
      <c r="H330" s="14" t="s">
        <v>42</v>
      </c>
      <c r="I330" s="2">
        <v>3</v>
      </c>
      <c r="J330" s="2">
        <v>0</v>
      </c>
      <c r="K330" s="2">
        <v>0</v>
      </c>
      <c r="L330" s="2"/>
      <c r="M330" s="2">
        <v>0</v>
      </c>
      <c r="N330" s="14"/>
      <c r="O330" s="14"/>
      <c r="P330" s="2">
        <v>1657.47</v>
      </c>
      <c r="Q330" s="2">
        <v>4972.41</v>
      </c>
      <c r="R330" s="2">
        <v>1439.32</v>
      </c>
      <c r="S330">
        <f t="shared" si="28"/>
        <v>4317.96</v>
      </c>
      <c r="T330" t="s">
        <v>1874</v>
      </c>
      <c r="U330" s="1">
        <f>_xlfn.XLOOKUP(T330,$Y$2:$Y$45,$AA$2:$AA$45)*(Q330-S330)</f>
        <v>52.355999999999987</v>
      </c>
      <c r="AD330" s="19">
        <v>39089</v>
      </c>
      <c r="AE330">
        <v>85.959999999999965</v>
      </c>
      <c r="AG330">
        <v>39089</v>
      </c>
      <c r="AH330" s="1">
        <v>85.959999999999965</v>
      </c>
    </row>
    <row r="331" spans="1:34" x14ac:dyDescent="0.25">
      <c r="A331" s="2">
        <v>38473</v>
      </c>
      <c r="B331" s="13" t="s">
        <v>656</v>
      </c>
      <c r="C331" s="14" t="s">
        <v>39</v>
      </c>
      <c r="D331" s="15">
        <v>45307</v>
      </c>
      <c r="E331" s="2">
        <v>0</v>
      </c>
      <c r="F331" s="14" t="s">
        <v>660</v>
      </c>
      <c r="G331" t="s">
        <v>661</v>
      </c>
      <c r="H331" s="14" t="s">
        <v>93</v>
      </c>
      <c r="I331" s="2">
        <v>3</v>
      </c>
      <c r="J331" s="2">
        <v>0</v>
      </c>
      <c r="K331" s="2">
        <v>0</v>
      </c>
      <c r="L331" s="2"/>
      <c r="M331" s="2">
        <v>0</v>
      </c>
      <c r="N331" s="14"/>
      <c r="O331" s="14"/>
      <c r="P331" s="2">
        <v>295</v>
      </c>
      <c r="Q331" s="2">
        <v>885</v>
      </c>
      <c r="R331" s="2">
        <v>0</v>
      </c>
      <c r="S331">
        <f t="shared" si="28"/>
        <v>0</v>
      </c>
      <c r="T331" t="s">
        <v>1874</v>
      </c>
      <c r="U331">
        <f>_xlfn.XLOOKUP(T331,$Y$2:$Y$45,$AB$2:$AB$45)*(Q331)</f>
        <v>35.4</v>
      </c>
      <c r="AD331" s="19">
        <v>39092</v>
      </c>
      <c r="AE331">
        <v>4.6537500000000005</v>
      </c>
      <c r="AG331">
        <v>39092</v>
      </c>
      <c r="AH331" s="1">
        <v>4.6537500000000005</v>
      </c>
    </row>
    <row r="332" spans="1:34" hidden="1" x14ac:dyDescent="0.25">
      <c r="A332" s="2">
        <v>38474</v>
      </c>
      <c r="B332" s="13" t="s">
        <v>662</v>
      </c>
      <c r="C332" s="14" t="s">
        <v>39</v>
      </c>
      <c r="D332" s="15">
        <v>45293</v>
      </c>
      <c r="E332" s="2">
        <v>0</v>
      </c>
      <c r="F332" s="14" t="s">
        <v>663</v>
      </c>
      <c r="G332" t="s">
        <v>664</v>
      </c>
      <c r="H332" s="14" t="s">
        <v>42</v>
      </c>
      <c r="I332" s="2">
        <v>8</v>
      </c>
      <c r="J332" s="2">
        <v>0</v>
      </c>
      <c r="K332" s="2">
        <v>0</v>
      </c>
      <c r="L332" s="2"/>
      <c r="M332" s="2">
        <v>0</v>
      </c>
      <c r="N332" s="14"/>
      <c r="O332" s="14"/>
      <c r="P332" s="2">
        <v>206</v>
      </c>
      <c r="Q332" s="2">
        <v>1648</v>
      </c>
      <c r="R332" s="2">
        <v>165</v>
      </c>
      <c r="S332">
        <f t="shared" si="28"/>
        <v>1320</v>
      </c>
      <c r="T332" t="s">
        <v>140</v>
      </c>
      <c r="U332" s="1">
        <f>_xlfn.XLOOKUP(T332,$Y$2:$Y$45,$AA$2:$AA$45)*(Q332-S332)</f>
        <v>26.240000000000002</v>
      </c>
      <c r="AD332" s="19">
        <v>39098</v>
      </c>
      <c r="AE332">
        <v>34.200000000000003</v>
      </c>
      <c r="AG332">
        <v>39098</v>
      </c>
      <c r="AH332" s="1">
        <v>34.200000000000003</v>
      </c>
    </row>
    <row r="333" spans="1:34" hidden="1" x14ac:dyDescent="0.25">
      <c r="A333" s="2">
        <v>38474</v>
      </c>
      <c r="B333" s="13" t="s">
        <v>662</v>
      </c>
      <c r="C333" s="14" t="s">
        <v>39</v>
      </c>
      <c r="D333" s="15">
        <v>45293</v>
      </c>
      <c r="E333" s="2">
        <v>0</v>
      </c>
      <c r="F333" s="14" t="s">
        <v>429</v>
      </c>
      <c r="G333" t="s">
        <v>665</v>
      </c>
      <c r="H333" s="14" t="s">
        <v>42</v>
      </c>
      <c r="I333" s="2">
        <v>1</v>
      </c>
      <c r="J333" s="2">
        <v>0</v>
      </c>
      <c r="K333" s="2">
        <v>0</v>
      </c>
      <c r="L333" s="2"/>
      <c r="M333" s="2">
        <v>0</v>
      </c>
      <c r="N333" s="14"/>
      <c r="O333" s="14"/>
      <c r="P333" s="2">
        <v>80.98</v>
      </c>
      <c r="Q333" s="2">
        <v>80.98</v>
      </c>
      <c r="R333" s="2">
        <v>80.98</v>
      </c>
      <c r="S333">
        <f t="shared" si="28"/>
        <v>80.98</v>
      </c>
      <c r="T333" t="s">
        <v>140</v>
      </c>
      <c r="U333" s="1">
        <f>_xlfn.XLOOKUP(T333,$Y$2:$Y$45,$AA$2:$AA$45)*(Q333-S333)</f>
        <v>0</v>
      </c>
      <c r="AD333" s="19">
        <v>39104</v>
      </c>
      <c r="AE333">
        <v>0</v>
      </c>
      <c r="AG333">
        <v>39104</v>
      </c>
      <c r="AH333" s="1">
        <v>0</v>
      </c>
    </row>
    <row r="334" spans="1:34" hidden="1" x14ac:dyDescent="0.25">
      <c r="A334" s="2">
        <v>38477</v>
      </c>
      <c r="B334" s="13" t="s">
        <v>666</v>
      </c>
      <c r="C334" s="14" t="s">
        <v>39</v>
      </c>
      <c r="D334" s="15">
        <v>45293</v>
      </c>
      <c r="E334" s="2">
        <v>0</v>
      </c>
      <c r="F334" s="14" t="s">
        <v>667</v>
      </c>
      <c r="G334" t="s">
        <v>668</v>
      </c>
      <c r="H334" s="14" t="s">
        <v>42</v>
      </c>
      <c r="I334" s="2">
        <v>1</v>
      </c>
      <c r="J334" s="2">
        <v>0</v>
      </c>
      <c r="K334" s="2">
        <v>0</v>
      </c>
      <c r="L334" s="2"/>
      <c r="M334" s="2">
        <v>0</v>
      </c>
      <c r="N334" s="14"/>
      <c r="O334" s="14"/>
      <c r="P334" s="2">
        <v>1049</v>
      </c>
      <c r="Q334" s="2">
        <v>1049</v>
      </c>
      <c r="R334" s="2">
        <v>819</v>
      </c>
      <c r="S334">
        <f t="shared" si="28"/>
        <v>819</v>
      </c>
      <c r="T334" t="s">
        <v>174</v>
      </c>
      <c r="U334" s="1">
        <f>_xlfn.XLOOKUP(T334,$Y$2:$Y$45,$AA$2:$AA$45)*(Q334-S334)</f>
        <v>0</v>
      </c>
      <c r="AD334" s="19">
        <v>39107</v>
      </c>
      <c r="AE334">
        <v>0</v>
      </c>
      <c r="AG334">
        <v>39107</v>
      </c>
      <c r="AH334" s="1">
        <v>0</v>
      </c>
    </row>
    <row r="335" spans="1:34" x14ac:dyDescent="0.25">
      <c r="A335" s="2">
        <v>38477</v>
      </c>
      <c r="B335" s="13" t="s">
        <v>666</v>
      </c>
      <c r="C335" s="14" t="s">
        <v>39</v>
      </c>
      <c r="D335" s="15">
        <v>45293</v>
      </c>
      <c r="E335" s="2">
        <v>0</v>
      </c>
      <c r="F335" s="14" t="s">
        <v>260</v>
      </c>
      <c r="G335" t="s">
        <v>313</v>
      </c>
      <c r="H335" s="14" t="s">
        <v>93</v>
      </c>
      <c r="I335" s="2">
        <v>3</v>
      </c>
      <c r="J335" s="2">
        <v>0</v>
      </c>
      <c r="K335" s="2">
        <v>0</v>
      </c>
      <c r="L335" s="2"/>
      <c r="M335" s="2">
        <v>0</v>
      </c>
      <c r="N335" s="14"/>
      <c r="O335" s="14"/>
      <c r="P335" s="2">
        <v>200</v>
      </c>
      <c r="Q335" s="2">
        <v>600</v>
      </c>
      <c r="R335" s="2">
        <v>0</v>
      </c>
      <c r="S335">
        <f t="shared" si="28"/>
        <v>0</v>
      </c>
      <c r="T335" t="s">
        <v>174</v>
      </c>
      <c r="U335">
        <f>_xlfn.XLOOKUP(T335,$Y$2:$Y$45,$AB$2:$AB$45)*(Q335)</f>
        <v>0</v>
      </c>
      <c r="AD335" s="19">
        <v>39110</v>
      </c>
      <c r="AE335">
        <v>0</v>
      </c>
      <c r="AG335">
        <v>39110</v>
      </c>
      <c r="AH335" s="1">
        <v>0</v>
      </c>
    </row>
    <row r="336" spans="1:34" hidden="1" x14ac:dyDescent="0.25">
      <c r="A336" s="2">
        <v>38479</v>
      </c>
      <c r="B336" s="13" t="s">
        <v>669</v>
      </c>
      <c r="C336" s="14" t="s">
        <v>39</v>
      </c>
      <c r="D336" s="15">
        <v>45294</v>
      </c>
      <c r="E336" s="2">
        <v>0</v>
      </c>
      <c r="F336" s="14" t="s">
        <v>670</v>
      </c>
      <c r="G336" t="s">
        <v>671</v>
      </c>
      <c r="H336" s="14" t="s">
        <v>42</v>
      </c>
      <c r="I336" s="2">
        <v>1</v>
      </c>
      <c r="J336" s="2">
        <v>0</v>
      </c>
      <c r="K336" s="2">
        <v>0</v>
      </c>
      <c r="L336" s="2"/>
      <c r="M336" s="2">
        <v>0</v>
      </c>
      <c r="N336" s="14"/>
      <c r="O336" s="14"/>
      <c r="P336" s="2">
        <v>98</v>
      </c>
      <c r="Q336" s="2">
        <v>98</v>
      </c>
      <c r="R336" s="2">
        <v>67.989999999999995</v>
      </c>
      <c r="S336">
        <f t="shared" si="28"/>
        <v>67.989999999999995</v>
      </c>
      <c r="T336" t="s">
        <v>174</v>
      </c>
      <c r="U336" s="1">
        <f t="shared" ref="U336:U346" si="29">_xlfn.XLOOKUP(T336,$Y$2:$Y$45,$AA$2:$AA$45)*(Q336-S336)</f>
        <v>0</v>
      </c>
      <c r="AD336" s="19">
        <v>39111</v>
      </c>
      <c r="AE336">
        <v>0</v>
      </c>
      <c r="AG336">
        <v>39111</v>
      </c>
      <c r="AH336" s="1">
        <v>0</v>
      </c>
    </row>
    <row r="337" spans="1:34" hidden="1" x14ac:dyDescent="0.25">
      <c r="A337" s="2">
        <v>38482</v>
      </c>
      <c r="B337" s="13" t="s">
        <v>672</v>
      </c>
      <c r="C337" s="14" t="s">
        <v>39</v>
      </c>
      <c r="D337" s="15">
        <v>45293</v>
      </c>
      <c r="E337" s="2">
        <v>0</v>
      </c>
      <c r="F337" s="14" t="s">
        <v>673</v>
      </c>
      <c r="G337" t="s">
        <v>674</v>
      </c>
      <c r="H337" s="14" t="s">
        <v>42</v>
      </c>
      <c r="I337" s="2">
        <v>2</v>
      </c>
      <c r="J337" s="2">
        <v>0</v>
      </c>
      <c r="K337" s="2">
        <v>0</v>
      </c>
      <c r="L337" s="2"/>
      <c r="M337" s="2">
        <v>0</v>
      </c>
      <c r="N337" s="14"/>
      <c r="O337" s="14"/>
      <c r="P337" s="2">
        <v>62</v>
      </c>
      <c r="Q337" s="2">
        <v>124</v>
      </c>
      <c r="R337" s="2">
        <v>47.24</v>
      </c>
      <c r="S337">
        <f t="shared" si="28"/>
        <v>94.48</v>
      </c>
      <c r="T337" t="s">
        <v>43</v>
      </c>
      <c r="U337" s="1">
        <f t="shared" si="29"/>
        <v>2.5091999999999999</v>
      </c>
      <c r="AD337" s="19">
        <v>39112</v>
      </c>
      <c r="AE337">
        <v>0</v>
      </c>
      <c r="AG337">
        <v>39112</v>
      </c>
      <c r="AH337" s="1">
        <v>0</v>
      </c>
    </row>
    <row r="338" spans="1:34" hidden="1" x14ac:dyDescent="0.25">
      <c r="A338" s="2">
        <v>38483</v>
      </c>
      <c r="B338" s="13" t="s">
        <v>675</v>
      </c>
      <c r="C338" s="14" t="s">
        <v>39</v>
      </c>
      <c r="D338" s="15">
        <v>45295</v>
      </c>
      <c r="E338" s="2">
        <v>0</v>
      </c>
      <c r="F338" s="14" t="s">
        <v>676</v>
      </c>
      <c r="G338" t="s">
        <v>677</v>
      </c>
      <c r="H338" s="14" t="s">
        <v>42</v>
      </c>
      <c r="I338" s="2">
        <v>12</v>
      </c>
      <c r="J338" s="2">
        <v>0</v>
      </c>
      <c r="K338" s="2">
        <v>0</v>
      </c>
      <c r="L338" s="2"/>
      <c r="M338" s="2">
        <v>0</v>
      </c>
      <c r="N338" s="14"/>
      <c r="O338" s="14"/>
      <c r="P338" s="2">
        <v>2</v>
      </c>
      <c r="Q338" s="2">
        <v>24</v>
      </c>
      <c r="R338" s="2">
        <v>1.49</v>
      </c>
      <c r="S338">
        <f t="shared" si="28"/>
        <v>17.88</v>
      </c>
      <c r="T338" t="s">
        <v>47</v>
      </c>
      <c r="U338" s="1">
        <f t="shared" si="29"/>
        <v>0.52020000000000011</v>
      </c>
      <c r="AD338" s="19">
        <v>39114</v>
      </c>
      <c r="AE338">
        <v>12.7616</v>
      </c>
      <c r="AG338">
        <v>39114</v>
      </c>
      <c r="AH338" s="1">
        <v>12.7616</v>
      </c>
    </row>
    <row r="339" spans="1:34" hidden="1" x14ac:dyDescent="0.25">
      <c r="A339" s="2">
        <v>38483</v>
      </c>
      <c r="B339" s="13" t="s">
        <v>675</v>
      </c>
      <c r="C339" s="14" t="s">
        <v>39</v>
      </c>
      <c r="D339" s="15">
        <v>45295</v>
      </c>
      <c r="E339" s="2">
        <v>0</v>
      </c>
      <c r="F339" s="14" t="s">
        <v>678</v>
      </c>
      <c r="G339" t="s">
        <v>679</v>
      </c>
      <c r="H339" s="14" t="s">
        <v>42</v>
      </c>
      <c r="I339" s="2">
        <v>1</v>
      </c>
      <c r="J339" s="2">
        <v>0</v>
      </c>
      <c r="K339" s="2">
        <v>0</v>
      </c>
      <c r="L339" s="2"/>
      <c r="M339" s="2">
        <v>0</v>
      </c>
      <c r="N339" s="14"/>
      <c r="O339" s="14"/>
      <c r="P339" s="2">
        <v>3</v>
      </c>
      <c r="Q339" s="2">
        <v>3</v>
      </c>
      <c r="R339" s="2">
        <v>1.74</v>
      </c>
      <c r="S339">
        <f t="shared" si="28"/>
        <v>1.74</v>
      </c>
      <c r="T339" t="s">
        <v>47</v>
      </c>
      <c r="U339" s="1">
        <f t="shared" si="29"/>
        <v>0.10710000000000001</v>
      </c>
      <c r="AD339" s="19">
        <v>39116</v>
      </c>
      <c r="AE339">
        <v>0</v>
      </c>
      <c r="AG339">
        <v>39116</v>
      </c>
      <c r="AH339" s="1">
        <v>0</v>
      </c>
    </row>
    <row r="340" spans="1:34" hidden="1" x14ac:dyDescent="0.25">
      <c r="A340" s="2">
        <v>38483</v>
      </c>
      <c r="B340" s="13" t="s">
        <v>675</v>
      </c>
      <c r="C340" s="14" t="s">
        <v>39</v>
      </c>
      <c r="D340" s="15">
        <v>45295</v>
      </c>
      <c r="E340" s="2">
        <v>0</v>
      </c>
      <c r="F340" s="14" t="s">
        <v>680</v>
      </c>
      <c r="G340" t="s">
        <v>681</v>
      </c>
      <c r="H340" s="14" t="s">
        <v>42</v>
      </c>
      <c r="I340" s="2">
        <v>1</v>
      </c>
      <c r="J340" s="2">
        <v>0</v>
      </c>
      <c r="K340" s="2">
        <v>0</v>
      </c>
      <c r="L340" s="2"/>
      <c r="M340" s="2">
        <v>0</v>
      </c>
      <c r="N340" s="14"/>
      <c r="O340" s="14"/>
      <c r="P340" s="2">
        <v>2</v>
      </c>
      <c r="Q340" s="2">
        <v>2</v>
      </c>
      <c r="R340" s="2">
        <v>1.57</v>
      </c>
      <c r="S340">
        <f t="shared" si="28"/>
        <v>1.57</v>
      </c>
      <c r="T340" t="s">
        <v>47</v>
      </c>
      <c r="U340" s="1">
        <f t="shared" si="29"/>
        <v>3.6549999999999999E-2</v>
      </c>
      <c r="AD340" s="19">
        <v>39117</v>
      </c>
      <c r="AE340">
        <v>0</v>
      </c>
      <c r="AG340">
        <v>39117</v>
      </c>
      <c r="AH340" s="1">
        <v>0</v>
      </c>
    </row>
    <row r="341" spans="1:34" hidden="1" x14ac:dyDescent="0.25">
      <c r="A341" s="2">
        <v>38485</v>
      </c>
      <c r="B341" s="13" t="s">
        <v>682</v>
      </c>
      <c r="C341" s="14" t="s">
        <v>39</v>
      </c>
      <c r="D341" s="15">
        <v>45293</v>
      </c>
      <c r="E341" s="2">
        <v>0</v>
      </c>
      <c r="F341" s="14" t="s">
        <v>683</v>
      </c>
      <c r="G341" t="s">
        <v>684</v>
      </c>
      <c r="H341" s="14" t="s">
        <v>42</v>
      </c>
      <c r="I341" s="2">
        <v>1</v>
      </c>
      <c r="J341" s="2">
        <v>0</v>
      </c>
      <c r="K341" s="2">
        <v>0</v>
      </c>
      <c r="L341" s="2"/>
      <c r="M341" s="2">
        <v>0</v>
      </c>
      <c r="N341" s="14"/>
      <c r="O341" s="14"/>
      <c r="P341" s="2">
        <v>330</v>
      </c>
      <c r="Q341" s="2">
        <v>330</v>
      </c>
      <c r="R341" s="2">
        <v>264.95</v>
      </c>
      <c r="S341">
        <f t="shared" si="28"/>
        <v>264.95</v>
      </c>
      <c r="T341" t="s">
        <v>132</v>
      </c>
      <c r="U341" s="1">
        <f t="shared" si="29"/>
        <v>5.2040000000000006</v>
      </c>
      <c r="AD341" s="19">
        <v>39118</v>
      </c>
      <c r="AE341">
        <v>0</v>
      </c>
      <c r="AG341">
        <v>39118</v>
      </c>
      <c r="AH341" s="1">
        <v>0</v>
      </c>
    </row>
    <row r="342" spans="1:34" hidden="1" x14ac:dyDescent="0.25">
      <c r="A342" s="2">
        <v>38488</v>
      </c>
      <c r="B342" s="13" t="s">
        <v>685</v>
      </c>
      <c r="C342" s="14" t="s">
        <v>39</v>
      </c>
      <c r="D342" s="15">
        <v>45295</v>
      </c>
      <c r="E342" s="2">
        <v>0</v>
      </c>
      <c r="F342" s="14" t="s">
        <v>495</v>
      </c>
      <c r="G342" t="s">
        <v>496</v>
      </c>
      <c r="H342" s="14" t="s">
        <v>42</v>
      </c>
      <c r="I342" s="2">
        <v>1</v>
      </c>
      <c r="J342" s="2">
        <v>0</v>
      </c>
      <c r="K342" s="2">
        <v>0</v>
      </c>
      <c r="L342" s="2"/>
      <c r="M342" s="2">
        <v>0</v>
      </c>
      <c r="N342" s="14"/>
      <c r="O342" s="14"/>
      <c r="P342" s="2">
        <v>69.62</v>
      </c>
      <c r="Q342" s="2">
        <v>69.62</v>
      </c>
      <c r="R342" s="2">
        <v>60.54</v>
      </c>
      <c r="S342">
        <f t="shared" si="28"/>
        <v>60.54</v>
      </c>
      <c r="T342" t="s">
        <v>1874</v>
      </c>
      <c r="U342" s="1">
        <f t="shared" si="29"/>
        <v>0.72640000000000049</v>
      </c>
      <c r="AD342" s="19">
        <v>39120</v>
      </c>
      <c r="AE342">
        <v>0</v>
      </c>
      <c r="AG342">
        <v>39120</v>
      </c>
      <c r="AH342" s="1">
        <v>0</v>
      </c>
    </row>
    <row r="343" spans="1:34" hidden="1" x14ac:dyDescent="0.25">
      <c r="A343" s="2">
        <v>38488</v>
      </c>
      <c r="B343" s="13" t="s">
        <v>685</v>
      </c>
      <c r="C343" s="14" t="s">
        <v>39</v>
      </c>
      <c r="D343" s="15">
        <v>45295</v>
      </c>
      <c r="E343" s="2">
        <v>0</v>
      </c>
      <c r="F343" s="14" t="s">
        <v>541</v>
      </c>
      <c r="G343" t="s">
        <v>542</v>
      </c>
      <c r="H343" s="14" t="s">
        <v>42</v>
      </c>
      <c r="I343" s="2">
        <v>1</v>
      </c>
      <c r="J343" s="2">
        <v>0</v>
      </c>
      <c r="K343" s="2">
        <v>0</v>
      </c>
      <c r="L343" s="2"/>
      <c r="M343" s="2">
        <v>0</v>
      </c>
      <c r="N343" s="14"/>
      <c r="O343" s="14"/>
      <c r="P343" s="2">
        <v>28.18</v>
      </c>
      <c r="Q343" s="2">
        <v>28.18</v>
      </c>
      <c r="R343" s="2">
        <v>24.43</v>
      </c>
      <c r="S343">
        <f t="shared" si="28"/>
        <v>24.43</v>
      </c>
      <c r="T343" t="s">
        <v>1874</v>
      </c>
      <c r="U343" s="1">
        <f t="shared" si="29"/>
        <v>0.3</v>
      </c>
      <c r="AD343" s="19">
        <v>39121</v>
      </c>
      <c r="AE343">
        <v>0</v>
      </c>
      <c r="AG343">
        <v>39121</v>
      </c>
      <c r="AH343" s="1">
        <v>0</v>
      </c>
    </row>
    <row r="344" spans="1:34" hidden="1" x14ac:dyDescent="0.25">
      <c r="A344" s="2">
        <v>38488</v>
      </c>
      <c r="B344" s="13" t="s">
        <v>685</v>
      </c>
      <c r="C344" s="14" t="s">
        <v>39</v>
      </c>
      <c r="D344" s="15">
        <v>45295</v>
      </c>
      <c r="E344" s="2">
        <v>0</v>
      </c>
      <c r="F344" s="14" t="s">
        <v>686</v>
      </c>
      <c r="G344" t="s">
        <v>687</v>
      </c>
      <c r="H344" s="14" t="s">
        <v>42</v>
      </c>
      <c r="I344" s="2">
        <v>1</v>
      </c>
      <c r="J344" s="2">
        <v>0</v>
      </c>
      <c r="K344" s="2">
        <v>0</v>
      </c>
      <c r="L344" s="2"/>
      <c r="M344" s="2">
        <v>0</v>
      </c>
      <c r="N344" s="14"/>
      <c r="O344" s="14"/>
      <c r="P344" s="2">
        <v>201.25</v>
      </c>
      <c r="Q344" s="2">
        <v>201.25</v>
      </c>
      <c r="R344" s="2">
        <v>170</v>
      </c>
      <c r="S344">
        <f t="shared" si="28"/>
        <v>170</v>
      </c>
      <c r="T344" t="s">
        <v>1874</v>
      </c>
      <c r="U344" s="1">
        <f t="shared" si="29"/>
        <v>2.5</v>
      </c>
      <c r="AD344" s="19">
        <v>39122</v>
      </c>
      <c r="AE344">
        <v>25.835750000000004</v>
      </c>
      <c r="AG344">
        <v>39122</v>
      </c>
      <c r="AH344" s="1">
        <v>25.835750000000004</v>
      </c>
    </row>
    <row r="345" spans="1:34" hidden="1" x14ac:dyDescent="0.25">
      <c r="A345" s="2">
        <v>38488</v>
      </c>
      <c r="B345" s="13" t="s">
        <v>685</v>
      </c>
      <c r="C345" s="14" t="s">
        <v>39</v>
      </c>
      <c r="D345" s="15">
        <v>45295</v>
      </c>
      <c r="E345" s="2">
        <v>0</v>
      </c>
      <c r="F345" s="14" t="s">
        <v>535</v>
      </c>
      <c r="G345" t="s">
        <v>536</v>
      </c>
      <c r="H345" s="14" t="s">
        <v>42</v>
      </c>
      <c r="I345" s="2">
        <v>2</v>
      </c>
      <c r="J345" s="2">
        <v>0</v>
      </c>
      <c r="K345" s="2">
        <v>0</v>
      </c>
      <c r="L345" s="2"/>
      <c r="M345" s="2">
        <v>0</v>
      </c>
      <c r="N345" s="14"/>
      <c r="O345" s="14"/>
      <c r="P345" s="2">
        <v>12.16</v>
      </c>
      <c r="Q345" s="2">
        <v>24.32</v>
      </c>
      <c r="R345" s="2">
        <v>10.4</v>
      </c>
      <c r="S345">
        <f t="shared" si="28"/>
        <v>20.8</v>
      </c>
      <c r="T345" t="s">
        <v>1874</v>
      </c>
      <c r="U345" s="1">
        <f t="shared" si="29"/>
        <v>0.28159999999999996</v>
      </c>
      <c r="AD345" s="19">
        <v>39124</v>
      </c>
      <c r="AE345">
        <v>0</v>
      </c>
      <c r="AG345">
        <v>39124</v>
      </c>
      <c r="AH345" s="1">
        <v>0</v>
      </c>
    </row>
    <row r="346" spans="1:34" hidden="1" x14ac:dyDescent="0.25">
      <c r="A346" s="2">
        <v>38488</v>
      </c>
      <c r="B346" s="13" t="s">
        <v>685</v>
      </c>
      <c r="C346" s="14" t="s">
        <v>39</v>
      </c>
      <c r="D346" s="15">
        <v>45295</v>
      </c>
      <c r="E346" s="2">
        <v>0</v>
      </c>
      <c r="F346" s="14" t="s">
        <v>688</v>
      </c>
      <c r="G346" t="s">
        <v>689</v>
      </c>
      <c r="H346" s="14" t="s">
        <v>42</v>
      </c>
      <c r="I346" s="2">
        <v>1</v>
      </c>
      <c r="J346" s="2">
        <v>0</v>
      </c>
      <c r="K346" s="2">
        <v>0</v>
      </c>
      <c r="L346" s="2"/>
      <c r="M346" s="2">
        <v>0</v>
      </c>
      <c r="N346" s="14"/>
      <c r="O346" s="14"/>
      <c r="P346" s="2">
        <v>944.48</v>
      </c>
      <c r="Q346" s="2">
        <v>944.48</v>
      </c>
      <c r="R346" s="2">
        <v>821.29</v>
      </c>
      <c r="S346">
        <f t="shared" si="28"/>
        <v>821.29</v>
      </c>
      <c r="T346" t="s">
        <v>1874</v>
      </c>
      <c r="U346" s="1">
        <f t="shared" si="29"/>
        <v>9.8552000000000053</v>
      </c>
      <c r="AD346" s="19">
        <v>39126</v>
      </c>
      <c r="AE346">
        <v>0</v>
      </c>
      <c r="AG346">
        <v>39126</v>
      </c>
      <c r="AH346" s="1">
        <v>0</v>
      </c>
    </row>
    <row r="347" spans="1:34" x14ac:dyDescent="0.25">
      <c r="A347" s="2">
        <v>38488</v>
      </c>
      <c r="B347" s="13" t="s">
        <v>685</v>
      </c>
      <c r="C347" s="14" t="s">
        <v>39</v>
      </c>
      <c r="D347" s="15">
        <v>45295</v>
      </c>
      <c r="E347" s="2">
        <v>0</v>
      </c>
      <c r="F347" s="14" t="s">
        <v>533</v>
      </c>
      <c r="G347" t="s">
        <v>534</v>
      </c>
      <c r="H347" s="14" t="s">
        <v>93</v>
      </c>
      <c r="I347" s="2">
        <v>1</v>
      </c>
      <c r="J347" s="2">
        <v>0</v>
      </c>
      <c r="K347" s="2">
        <v>0</v>
      </c>
      <c r="L347" s="2"/>
      <c r="M347" s="2">
        <v>0</v>
      </c>
      <c r="N347" s="14"/>
      <c r="O347" s="14"/>
      <c r="P347" s="2">
        <v>149</v>
      </c>
      <c r="Q347" s="2">
        <v>149</v>
      </c>
      <c r="R347" s="2">
        <v>0</v>
      </c>
      <c r="S347">
        <f t="shared" si="28"/>
        <v>0</v>
      </c>
      <c r="T347" t="s">
        <v>1874</v>
      </c>
      <c r="U347">
        <f>_xlfn.XLOOKUP(T347,$Y$2:$Y$45,$AB$2:$AB$45)*(Q347)</f>
        <v>5.96</v>
      </c>
      <c r="AD347" s="19">
        <v>39127</v>
      </c>
      <c r="AE347">
        <v>0</v>
      </c>
      <c r="AG347">
        <v>39127</v>
      </c>
      <c r="AH347" s="1">
        <v>0</v>
      </c>
    </row>
    <row r="348" spans="1:34" hidden="1" x14ac:dyDescent="0.25">
      <c r="A348" s="2">
        <v>38490</v>
      </c>
      <c r="B348" s="13" t="s">
        <v>690</v>
      </c>
      <c r="C348" s="14" t="s">
        <v>39</v>
      </c>
      <c r="D348" s="15">
        <v>45294</v>
      </c>
      <c r="E348" s="2">
        <v>0</v>
      </c>
      <c r="F348" s="14" t="s">
        <v>691</v>
      </c>
      <c r="G348" t="s">
        <v>692</v>
      </c>
      <c r="H348" s="14" t="s">
        <v>42</v>
      </c>
      <c r="I348" s="2">
        <v>1</v>
      </c>
      <c r="J348" s="2">
        <v>0</v>
      </c>
      <c r="K348" s="2">
        <v>0</v>
      </c>
      <c r="L348" s="2"/>
      <c r="M348" s="2">
        <v>0</v>
      </c>
      <c r="N348" s="14"/>
      <c r="O348" s="14"/>
      <c r="P348" s="2">
        <v>488</v>
      </c>
      <c r="Q348" s="2">
        <v>488</v>
      </c>
      <c r="R348" s="2">
        <v>429.14</v>
      </c>
      <c r="S348">
        <f t="shared" si="28"/>
        <v>429.14</v>
      </c>
      <c r="T348" t="s">
        <v>56</v>
      </c>
      <c r="U348" s="1">
        <f>_xlfn.XLOOKUP(T348,$Y$2:$Y$45,$AA$2:$AA$45)*(Q348-S348)</f>
        <v>5.0031000000000017</v>
      </c>
      <c r="AD348" s="19">
        <v>39129</v>
      </c>
      <c r="AE348">
        <v>25.245000000000001</v>
      </c>
      <c r="AG348">
        <v>39129</v>
      </c>
      <c r="AH348" s="1">
        <v>25.245000000000001</v>
      </c>
    </row>
    <row r="349" spans="1:34" hidden="1" x14ac:dyDescent="0.25">
      <c r="A349" s="2">
        <v>38494</v>
      </c>
      <c r="B349" s="13" t="s">
        <v>693</v>
      </c>
      <c r="C349" s="14" t="s">
        <v>39</v>
      </c>
      <c r="D349" s="15">
        <v>45297</v>
      </c>
      <c r="E349" s="2">
        <v>0</v>
      </c>
      <c r="F349" s="14" t="s">
        <v>694</v>
      </c>
      <c r="G349" t="s">
        <v>695</v>
      </c>
      <c r="H349" s="14" t="s">
        <v>42</v>
      </c>
      <c r="I349" s="2">
        <v>1</v>
      </c>
      <c r="J349" s="2">
        <v>0</v>
      </c>
      <c r="K349" s="2">
        <v>0</v>
      </c>
      <c r="L349" s="2"/>
      <c r="M349" s="2">
        <v>0</v>
      </c>
      <c r="N349" s="14"/>
      <c r="O349" s="14"/>
      <c r="P349" s="2">
        <v>92</v>
      </c>
      <c r="Q349" s="2">
        <v>92</v>
      </c>
      <c r="R349" s="2">
        <v>75.12</v>
      </c>
      <c r="S349">
        <f t="shared" si="28"/>
        <v>75.12</v>
      </c>
      <c r="T349" t="s">
        <v>132</v>
      </c>
      <c r="U349" s="1">
        <f>_xlfn.XLOOKUP(T349,$Y$2:$Y$45,$AA$2:$AA$45)*(Q349-S349)</f>
        <v>1.3503999999999996</v>
      </c>
      <c r="AD349" s="19">
        <v>39130</v>
      </c>
      <c r="AE349">
        <v>0</v>
      </c>
      <c r="AG349">
        <v>39130</v>
      </c>
      <c r="AH349" s="1">
        <v>0</v>
      </c>
    </row>
    <row r="350" spans="1:34" hidden="1" x14ac:dyDescent="0.25">
      <c r="A350" s="2">
        <v>38496</v>
      </c>
      <c r="B350" s="13" t="s">
        <v>696</v>
      </c>
      <c r="C350" s="14" t="s">
        <v>39</v>
      </c>
      <c r="D350" s="15">
        <v>45293</v>
      </c>
      <c r="E350" s="2">
        <v>0</v>
      </c>
      <c r="F350" s="14" t="s">
        <v>697</v>
      </c>
      <c r="G350" t="s">
        <v>698</v>
      </c>
      <c r="H350" s="14" t="s">
        <v>42</v>
      </c>
      <c r="I350" s="2">
        <v>10</v>
      </c>
      <c r="J350" s="2">
        <v>0</v>
      </c>
      <c r="K350" s="2">
        <v>0</v>
      </c>
      <c r="L350" s="2"/>
      <c r="M350" s="2">
        <v>0</v>
      </c>
      <c r="N350" s="14"/>
      <c r="O350" s="14"/>
      <c r="P350" s="2">
        <v>893.18</v>
      </c>
      <c r="Q350" s="2">
        <v>8931.7999999999993</v>
      </c>
      <c r="R350" s="2">
        <v>803.86</v>
      </c>
      <c r="S350">
        <f t="shared" si="28"/>
        <v>8038.6</v>
      </c>
      <c r="T350" t="s">
        <v>184</v>
      </c>
      <c r="U350" s="1">
        <f>_xlfn.XLOOKUP(T350,$Y$2:$Y$45,$AA$2:$AA$45)*(Q350-S350)</f>
        <v>0</v>
      </c>
      <c r="AD350" s="19">
        <v>39132</v>
      </c>
      <c r="AE350">
        <v>0</v>
      </c>
      <c r="AG350">
        <v>39132</v>
      </c>
      <c r="AH350" s="1">
        <v>0</v>
      </c>
    </row>
    <row r="351" spans="1:34" x14ac:dyDescent="0.25">
      <c r="A351" s="2">
        <v>38496</v>
      </c>
      <c r="B351" s="13" t="s">
        <v>696</v>
      </c>
      <c r="C351" s="14" t="s">
        <v>39</v>
      </c>
      <c r="D351" s="15">
        <v>45293</v>
      </c>
      <c r="E351" s="2">
        <v>0</v>
      </c>
      <c r="F351" s="14" t="s">
        <v>260</v>
      </c>
      <c r="G351" t="s">
        <v>279</v>
      </c>
      <c r="H351" s="14" t="s">
        <v>93</v>
      </c>
      <c r="I351" s="2">
        <v>10</v>
      </c>
      <c r="J351" s="2">
        <v>0</v>
      </c>
      <c r="K351" s="2">
        <v>0</v>
      </c>
      <c r="L351" s="2"/>
      <c r="M351" s="2">
        <v>0</v>
      </c>
      <c r="N351" s="14"/>
      <c r="O351" s="14"/>
      <c r="P351" s="2">
        <v>100</v>
      </c>
      <c r="Q351" s="2">
        <v>1000</v>
      </c>
      <c r="R351" s="2">
        <v>0</v>
      </c>
      <c r="S351">
        <f t="shared" si="28"/>
        <v>0</v>
      </c>
      <c r="T351" t="s">
        <v>184</v>
      </c>
      <c r="U351">
        <f>_xlfn.XLOOKUP(T351,$Y$2:$Y$45,$AB$2:$AB$45)*(Q351)</f>
        <v>0</v>
      </c>
      <c r="AD351" s="19">
        <v>39133</v>
      </c>
      <c r="AE351">
        <v>1.3848</v>
      </c>
      <c r="AG351">
        <v>39133</v>
      </c>
      <c r="AH351" s="1">
        <v>1.3848</v>
      </c>
    </row>
    <row r="352" spans="1:34" hidden="1" x14ac:dyDescent="0.25">
      <c r="A352" s="2">
        <v>38496</v>
      </c>
      <c r="B352" s="13" t="s">
        <v>696</v>
      </c>
      <c r="C352" s="14" t="s">
        <v>39</v>
      </c>
      <c r="D352" s="15">
        <v>45293</v>
      </c>
      <c r="E352" s="2">
        <v>0</v>
      </c>
      <c r="F352" s="14" t="s">
        <v>699</v>
      </c>
      <c r="G352" t="s">
        <v>631</v>
      </c>
      <c r="H352" s="14" t="s">
        <v>42</v>
      </c>
      <c r="I352" s="2">
        <v>10</v>
      </c>
      <c r="J352" s="2">
        <v>0</v>
      </c>
      <c r="K352" s="2">
        <v>0</v>
      </c>
      <c r="L352" s="2"/>
      <c r="M352" s="2">
        <v>0</v>
      </c>
      <c r="N352" s="14"/>
      <c r="O352" s="14"/>
      <c r="P352" s="2">
        <v>4</v>
      </c>
      <c r="Q352" s="2">
        <v>40</v>
      </c>
      <c r="R352" s="2">
        <v>4</v>
      </c>
      <c r="S352">
        <f t="shared" si="28"/>
        <v>40</v>
      </c>
      <c r="T352" t="s">
        <v>184</v>
      </c>
      <c r="U352" s="1">
        <f>_xlfn.XLOOKUP(T352,$Y$2:$Y$45,$AA$2:$AA$45)*(Q352-S352)</f>
        <v>0</v>
      </c>
      <c r="AD352" s="19">
        <v>39134</v>
      </c>
      <c r="AE352">
        <v>0</v>
      </c>
      <c r="AG352">
        <v>39134</v>
      </c>
      <c r="AH352" s="1">
        <v>0</v>
      </c>
    </row>
    <row r="353" spans="1:34" x14ac:dyDescent="0.25">
      <c r="A353" s="2">
        <v>38503</v>
      </c>
      <c r="B353" s="13" t="s">
        <v>700</v>
      </c>
      <c r="C353" s="14" t="s">
        <v>39</v>
      </c>
      <c r="D353" s="15">
        <v>45307</v>
      </c>
      <c r="E353" s="2">
        <v>0</v>
      </c>
      <c r="F353" s="14" t="s">
        <v>152</v>
      </c>
      <c r="G353" t="s">
        <v>153</v>
      </c>
      <c r="H353" s="14" t="s">
        <v>93</v>
      </c>
      <c r="I353" s="2">
        <v>25</v>
      </c>
      <c r="J353" s="2">
        <v>0</v>
      </c>
      <c r="K353" s="2">
        <v>0</v>
      </c>
      <c r="L353" s="2"/>
      <c r="M353" s="2">
        <v>0</v>
      </c>
      <c r="N353" s="14"/>
      <c r="O353" s="14"/>
      <c r="P353" s="2">
        <v>150</v>
      </c>
      <c r="Q353" s="2">
        <v>3750</v>
      </c>
      <c r="R353" s="2">
        <v>0</v>
      </c>
      <c r="S353">
        <f t="shared" si="28"/>
        <v>0</v>
      </c>
      <c r="T353" t="s">
        <v>132</v>
      </c>
      <c r="U353">
        <f>_xlfn.XLOOKUP(T353,$Y$2:$Y$45,$AB$2:$AB$45)*(Q353)</f>
        <v>150</v>
      </c>
      <c r="AD353" s="19">
        <v>39135</v>
      </c>
      <c r="AE353">
        <v>0</v>
      </c>
      <c r="AG353">
        <v>39135</v>
      </c>
      <c r="AH353" s="1">
        <v>0</v>
      </c>
    </row>
    <row r="354" spans="1:34" hidden="1" x14ac:dyDescent="0.25">
      <c r="A354" s="2">
        <v>38503</v>
      </c>
      <c r="B354" s="13" t="s">
        <v>700</v>
      </c>
      <c r="C354" s="14" t="s">
        <v>39</v>
      </c>
      <c r="D354" s="15">
        <v>45307</v>
      </c>
      <c r="E354" s="2">
        <v>0</v>
      </c>
      <c r="F354" s="14" t="s">
        <v>701</v>
      </c>
      <c r="G354" t="s">
        <v>702</v>
      </c>
      <c r="H354" s="14" t="s">
        <v>42</v>
      </c>
      <c r="I354" s="2">
        <v>1</v>
      </c>
      <c r="J354" s="2">
        <v>0</v>
      </c>
      <c r="K354" s="2">
        <v>0</v>
      </c>
      <c r="L354" s="2"/>
      <c r="M354" s="2">
        <v>0</v>
      </c>
      <c r="N354" s="14"/>
      <c r="O354" s="14"/>
      <c r="P354" s="2">
        <v>2042</v>
      </c>
      <c r="Q354" s="2">
        <v>2042</v>
      </c>
      <c r="R354" s="2">
        <v>1691.16</v>
      </c>
      <c r="S354">
        <f t="shared" si="28"/>
        <v>1691.16</v>
      </c>
      <c r="T354" t="s">
        <v>132</v>
      </c>
      <c r="U354" s="1">
        <f>_xlfn.XLOOKUP(T354,$Y$2:$Y$45,$AA$2:$AA$45)*(Q354-S354)</f>
        <v>28.067199999999993</v>
      </c>
      <c r="AD354" s="19">
        <v>39136</v>
      </c>
      <c r="AE354">
        <v>360</v>
      </c>
      <c r="AG354">
        <v>39136</v>
      </c>
      <c r="AH354" s="1">
        <v>360</v>
      </c>
    </row>
    <row r="355" spans="1:34" hidden="1" x14ac:dyDescent="0.25">
      <c r="A355" s="2">
        <v>38503</v>
      </c>
      <c r="B355" s="13" t="s">
        <v>700</v>
      </c>
      <c r="C355" s="14" t="s">
        <v>39</v>
      </c>
      <c r="D355" s="15">
        <v>45307</v>
      </c>
      <c r="E355" s="2">
        <v>0</v>
      </c>
      <c r="F355" s="14" t="s">
        <v>703</v>
      </c>
      <c r="G355" t="s">
        <v>704</v>
      </c>
      <c r="H355" s="14" t="s">
        <v>42</v>
      </c>
      <c r="I355" s="2">
        <v>1</v>
      </c>
      <c r="J355" s="2">
        <v>0</v>
      </c>
      <c r="K355" s="2">
        <v>0</v>
      </c>
      <c r="L355" s="2"/>
      <c r="M355" s="2">
        <v>0</v>
      </c>
      <c r="N355" s="14"/>
      <c r="O355" s="14"/>
      <c r="P355" s="2">
        <v>603</v>
      </c>
      <c r="Q355" s="2">
        <v>603</v>
      </c>
      <c r="R355" s="2">
        <v>499.13</v>
      </c>
      <c r="S355">
        <f t="shared" si="28"/>
        <v>499.13</v>
      </c>
      <c r="T355" t="s">
        <v>132</v>
      </c>
      <c r="U355" s="1">
        <f>_xlfn.XLOOKUP(T355,$Y$2:$Y$45,$AA$2:$AA$45)*(Q355-S355)</f>
        <v>8.3095999999999997</v>
      </c>
      <c r="AD355" s="19">
        <v>39137</v>
      </c>
      <c r="AE355">
        <v>66.52</v>
      </c>
      <c r="AG355">
        <v>39137</v>
      </c>
      <c r="AH355" s="1">
        <v>66.52</v>
      </c>
    </row>
    <row r="356" spans="1:34" hidden="1" x14ac:dyDescent="0.25">
      <c r="A356" s="2">
        <v>38503</v>
      </c>
      <c r="B356" s="13" t="s">
        <v>700</v>
      </c>
      <c r="C356" s="14" t="s">
        <v>39</v>
      </c>
      <c r="D356" s="15">
        <v>45307</v>
      </c>
      <c r="E356" s="2">
        <v>0</v>
      </c>
      <c r="F356" s="14" t="s">
        <v>705</v>
      </c>
      <c r="G356" t="s">
        <v>706</v>
      </c>
      <c r="H356" s="14" t="s">
        <v>42</v>
      </c>
      <c r="I356" s="2">
        <v>5</v>
      </c>
      <c r="J356" s="2">
        <v>0</v>
      </c>
      <c r="K356" s="2">
        <v>0</v>
      </c>
      <c r="L356" s="2"/>
      <c r="M356" s="2">
        <v>0</v>
      </c>
      <c r="N356" s="14"/>
      <c r="O356" s="14"/>
      <c r="P356" s="2">
        <v>256</v>
      </c>
      <c r="Q356" s="2">
        <v>1280</v>
      </c>
      <c r="R356" s="2">
        <v>211.57</v>
      </c>
      <c r="S356">
        <f t="shared" si="28"/>
        <v>1057.8499999999999</v>
      </c>
      <c r="T356" t="s">
        <v>132</v>
      </c>
      <c r="U356" s="1">
        <f>_xlfn.XLOOKUP(T356,$Y$2:$Y$45,$AA$2:$AA$45)*(Q356-S356)</f>
        <v>17.772000000000009</v>
      </c>
      <c r="AD356" s="19">
        <v>39140</v>
      </c>
      <c r="AE356">
        <v>1.4000000000000001</v>
      </c>
      <c r="AG356">
        <v>39140</v>
      </c>
      <c r="AH356" s="1">
        <v>1.4000000000000001</v>
      </c>
    </row>
    <row r="357" spans="1:34" hidden="1" x14ac:dyDescent="0.25">
      <c r="A357" s="2">
        <v>38503</v>
      </c>
      <c r="B357" s="13" t="s">
        <v>700</v>
      </c>
      <c r="C357" s="14" t="s">
        <v>39</v>
      </c>
      <c r="D357" s="15">
        <v>45307</v>
      </c>
      <c r="E357" s="2">
        <v>0</v>
      </c>
      <c r="F357" s="14" t="s">
        <v>707</v>
      </c>
      <c r="G357" t="s">
        <v>708</v>
      </c>
      <c r="H357" s="14" t="s">
        <v>42</v>
      </c>
      <c r="I357" s="2">
        <v>1</v>
      </c>
      <c r="J357" s="2">
        <v>0</v>
      </c>
      <c r="K357" s="2">
        <v>0</v>
      </c>
      <c r="L357" s="2"/>
      <c r="M357" s="2">
        <v>0</v>
      </c>
      <c r="N357" s="14"/>
      <c r="O357" s="14"/>
      <c r="P357" s="2">
        <v>434</v>
      </c>
      <c r="Q357" s="2">
        <v>434</v>
      </c>
      <c r="R357" s="2">
        <v>359.37</v>
      </c>
      <c r="S357">
        <f t="shared" si="28"/>
        <v>359.37</v>
      </c>
      <c r="T357" t="s">
        <v>132</v>
      </c>
      <c r="U357" s="1">
        <f>_xlfn.XLOOKUP(T357,$Y$2:$Y$45,$AA$2:$AA$45)*(Q357-S357)</f>
        <v>5.9703999999999997</v>
      </c>
      <c r="AD357" s="19">
        <v>39144</v>
      </c>
      <c r="AE357">
        <v>131.58425000000003</v>
      </c>
      <c r="AG357">
        <v>39144</v>
      </c>
      <c r="AH357" s="1">
        <v>131.58425000000003</v>
      </c>
    </row>
    <row r="358" spans="1:34" hidden="1" x14ac:dyDescent="0.25">
      <c r="A358" s="2">
        <v>38503</v>
      </c>
      <c r="B358" s="13" t="s">
        <v>700</v>
      </c>
      <c r="C358" s="14" t="s">
        <v>39</v>
      </c>
      <c r="D358" s="15">
        <v>45307</v>
      </c>
      <c r="E358" s="2">
        <v>0</v>
      </c>
      <c r="F358" s="14" t="s">
        <v>709</v>
      </c>
      <c r="G358" t="s">
        <v>710</v>
      </c>
      <c r="H358" s="14" t="s">
        <v>42</v>
      </c>
      <c r="I358" s="2">
        <v>2</v>
      </c>
      <c r="J358" s="2">
        <v>0</v>
      </c>
      <c r="K358" s="2">
        <v>0</v>
      </c>
      <c r="L358" s="2"/>
      <c r="M358" s="2">
        <v>0</v>
      </c>
      <c r="N358" s="14"/>
      <c r="O358" s="14"/>
      <c r="P358" s="2">
        <v>53</v>
      </c>
      <c r="Q358" s="2">
        <v>106</v>
      </c>
      <c r="R358" s="2">
        <v>37.58</v>
      </c>
      <c r="S358">
        <f t="shared" si="28"/>
        <v>75.16</v>
      </c>
      <c r="T358" t="s">
        <v>132</v>
      </c>
      <c r="U358" s="1">
        <f>_xlfn.XLOOKUP(T358,$Y$2:$Y$45,$AA$2:$AA$45)*(Q358-S358)</f>
        <v>2.4672000000000005</v>
      </c>
      <c r="AD358" s="19">
        <v>39145</v>
      </c>
      <c r="AE358">
        <v>20.907200000000003</v>
      </c>
      <c r="AG358">
        <v>39145</v>
      </c>
      <c r="AH358" s="1">
        <v>20.907200000000003</v>
      </c>
    </row>
    <row r="359" spans="1:34" x14ac:dyDescent="0.25">
      <c r="A359" s="2">
        <v>38503</v>
      </c>
      <c r="B359" s="13" t="s">
        <v>700</v>
      </c>
      <c r="C359" s="14" t="s">
        <v>39</v>
      </c>
      <c r="D359" s="15">
        <v>45307</v>
      </c>
      <c r="E359" s="2">
        <v>0</v>
      </c>
      <c r="F359" s="14" t="s">
        <v>154</v>
      </c>
      <c r="G359" t="s">
        <v>155</v>
      </c>
      <c r="H359" s="14" t="s">
        <v>93</v>
      </c>
      <c r="I359" s="2">
        <v>7</v>
      </c>
      <c r="J359" s="2">
        <v>0</v>
      </c>
      <c r="K359" s="2">
        <v>0</v>
      </c>
      <c r="L359" s="2"/>
      <c r="M359" s="2">
        <v>0</v>
      </c>
      <c r="N359" s="14"/>
      <c r="O359" s="14"/>
      <c r="P359" s="2">
        <v>150</v>
      </c>
      <c r="Q359" s="2">
        <v>1050</v>
      </c>
      <c r="R359" s="2">
        <v>0</v>
      </c>
      <c r="S359">
        <f t="shared" si="28"/>
        <v>0</v>
      </c>
      <c r="T359" t="s">
        <v>132</v>
      </c>
      <c r="U359">
        <f>_xlfn.XLOOKUP(T359,$Y$2:$Y$45,$AB$2:$AB$45)*(Q359)</f>
        <v>42</v>
      </c>
      <c r="AD359" s="19">
        <v>39146</v>
      </c>
      <c r="AE359">
        <v>15.120000000000001</v>
      </c>
      <c r="AG359">
        <v>39146</v>
      </c>
      <c r="AH359" s="1">
        <v>15.120000000000001</v>
      </c>
    </row>
    <row r="360" spans="1:34" hidden="1" x14ac:dyDescent="0.25">
      <c r="A360" s="2">
        <v>38503</v>
      </c>
      <c r="B360" s="13" t="s">
        <v>700</v>
      </c>
      <c r="C360" s="14" t="s">
        <v>39</v>
      </c>
      <c r="D360" s="15">
        <v>45307</v>
      </c>
      <c r="E360" s="2">
        <v>0</v>
      </c>
      <c r="F360" s="14" t="s">
        <v>444</v>
      </c>
      <c r="G360" t="s">
        <v>445</v>
      </c>
      <c r="H360" s="14" t="s">
        <v>42</v>
      </c>
      <c r="I360" s="2">
        <v>1</v>
      </c>
      <c r="J360" s="2">
        <v>0</v>
      </c>
      <c r="K360" s="2">
        <v>0</v>
      </c>
      <c r="L360" s="2"/>
      <c r="M360" s="2">
        <v>0</v>
      </c>
      <c r="N360" s="14"/>
      <c r="O360" s="14"/>
      <c r="P360" s="2">
        <v>677</v>
      </c>
      <c r="Q360" s="2">
        <v>677</v>
      </c>
      <c r="R360" s="2">
        <v>560.20000000000005</v>
      </c>
      <c r="S360">
        <f t="shared" si="28"/>
        <v>560.20000000000005</v>
      </c>
      <c r="T360" t="s">
        <v>132</v>
      </c>
      <c r="U360" s="1">
        <f>_xlfn.XLOOKUP(T360,$Y$2:$Y$45,$AA$2:$AA$45)*(Q360-S360)</f>
        <v>9.3439999999999959</v>
      </c>
      <c r="AD360" s="19">
        <v>39147</v>
      </c>
      <c r="AE360">
        <v>1.2008000000000005</v>
      </c>
      <c r="AG360">
        <v>39147</v>
      </c>
      <c r="AH360" s="1">
        <v>1.2008000000000005</v>
      </c>
    </row>
    <row r="361" spans="1:34" x14ac:dyDescent="0.25">
      <c r="A361" s="2">
        <v>38503</v>
      </c>
      <c r="B361" s="13" t="s">
        <v>700</v>
      </c>
      <c r="C361" s="14" t="s">
        <v>39</v>
      </c>
      <c r="D361" s="15">
        <v>45307</v>
      </c>
      <c r="E361" s="2">
        <v>0</v>
      </c>
      <c r="F361" s="14" t="s">
        <v>455</v>
      </c>
      <c r="G361" t="s">
        <v>598</v>
      </c>
      <c r="H361" s="14" t="s">
        <v>93</v>
      </c>
      <c r="I361" s="2">
        <v>1</v>
      </c>
      <c r="J361" s="2">
        <v>0</v>
      </c>
      <c r="K361" s="2">
        <v>0</v>
      </c>
      <c r="L361" s="2"/>
      <c r="M361" s="2">
        <v>0</v>
      </c>
      <c r="N361" s="14"/>
      <c r="O361" s="14"/>
      <c r="P361" s="2">
        <v>120</v>
      </c>
      <c r="Q361" s="2">
        <v>120</v>
      </c>
      <c r="R361" s="2">
        <v>0</v>
      </c>
      <c r="S361">
        <f t="shared" si="28"/>
        <v>0</v>
      </c>
      <c r="T361" t="s">
        <v>132</v>
      </c>
      <c r="U361">
        <f>_xlfn.XLOOKUP(T361,$Y$2:$Y$45,$AB$2:$AB$45)*(Q361)</f>
        <v>4.8</v>
      </c>
      <c r="AD361" s="19">
        <v>39149</v>
      </c>
      <c r="AE361">
        <v>92.456400000000002</v>
      </c>
      <c r="AG361">
        <v>39149</v>
      </c>
      <c r="AH361" s="1">
        <v>92.456400000000002</v>
      </c>
    </row>
    <row r="362" spans="1:34" hidden="1" x14ac:dyDescent="0.25">
      <c r="A362" s="2">
        <v>38503</v>
      </c>
      <c r="B362" s="13" t="s">
        <v>700</v>
      </c>
      <c r="C362" s="14" t="s">
        <v>39</v>
      </c>
      <c r="D362" s="15">
        <v>45307</v>
      </c>
      <c r="E362" s="2">
        <v>0</v>
      </c>
      <c r="F362" s="14" t="s">
        <v>711</v>
      </c>
      <c r="G362" t="s">
        <v>712</v>
      </c>
      <c r="H362" s="14" t="s">
        <v>42</v>
      </c>
      <c r="I362" s="2">
        <v>7</v>
      </c>
      <c r="J362" s="2">
        <v>0</v>
      </c>
      <c r="K362" s="2">
        <v>0</v>
      </c>
      <c r="L362" s="2"/>
      <c r="M362" s="2">
        <v>0</v>
      </c>
      <c r="N362" s="14"/>
      <c r="O362" s="14"/>
      <c r="P362" s="2">
        <v>433</v>
      </c>
      <c r="Q362" s="2">
        <v>3031</v>
      </c>
      <c r="R362" s="2">
        <v>358.2</v>
      </c>
      <c r="S362">
        <f t="shared" si="28"/>
        <v>2507.4</v>
      </c>
      <c r="T362" t="s">
        <v>132</v>
      </c>
      <c r="U362" s="1">
        <f>_xlfn.XLOOKUP(T362,$Y$2:$Y$45,$AA$2:$AA$45)*(Q362-S362)</f>
        <v>41.887999999999991</v>
      </c>
      <c r="AD362" s="19">
        <v>39152</v>
      </c>
      <c r="AE362">
        <v>12.160100000000002</v>
      </c>
      <c r="AG362">
        <v>39152</v>
      </c>
      <c r="AH362" s="1">
        <v>12.160100000000002</v>
      </c>
    </row>
    <row r="363" spans="1:34" x14ac:dyDescent="0.25">
      <c r="A363" s="2">
        <v>38510</v>
      </c>
      <c r="B363" s="13" t="s">
        <v>713</v>
      </c>
      <c r="C363" s="14" t="s">
        <v>39</v>
      </c>
      <c r="D363" s="15">
        <v>45300</v>
      </c>
      <c r="E363" s="2">
        <v>0</v>
      </c>
      <c r="F363" s="14" t="s">
        <v>152</v>
      </c>
      <c r="G363" t="s">
        <v>153</v>
      </c>
      <c r="H363" s="14" t="s">
        <v>93</v>
      </c>
      <c r="I363" s="2">
        <v>16</v>
      </c>
      <c r="J363" s="2">
        <v>0</v>
      </c>
      <c r="K363" s="2">
        <v>0</v>
      </c>
      <c r="L363" s="2"/>
      <c r="M363" s="2">
        <v>0</v>
      </c>
      <c r="N363" s="14"/>
      <c r="O363" s="14"/>
      <c r="P363" s="2">
        <v>200</v>
      </c>
      <c r="Q363" s="2">
        <v>3200</v>
      </c>
      <c r="R363" s="2">
        <v>0</v>
      </c>
      <c r="S363">
        <f t="shared" si="28"/>
        <v>0</v>
      </c>
      <c r="T363" t="s">
        <v>166</v>
      </c>
      <c r="U363">
        <f>_xlfn.XLOOKUP(T363,$Y$2:$Y$45,$AB$2:$AB$45)*(Q363)</f>
        <v>128</v>
      </c>
      <c r="AD363" s="19">
        <v>39153</v>
      </c>
      <c r="AE363">
        <v>0.60040000000000027</v>
      </c>
      <c r="AG363">
        <v>39153</v>
      </c>
      <c r="AH363" s="1">
        <v>0.60040000000000027</v>
      </c>
    </row>
    <row r="364" spans="1:34" hidden="1" x14ac:dyDescent="0.25">
      <c r="A364" s="2">
        <v>38515</v>
      </c>
      <c r="B364" s="13" t="s">
        <v>714</v>
      </c>
      <c r="C364" s="14" t="s">
        <v>39</v>
      </c>
      <c r="D364" s="15">
        <v>45295</v>
      </c>
      <c r="E364" s="2">
        <v>0</v>
      </c>
      <c r="F364" s="14" t="s">
        <v>715</v>
      </c>
      <c r="G364" t="s">
        <v>716</v>
      </c>
      <c r="H364" s="14" t="s">
        <v>42</v>
      </c>
      <c r="I364" s="2">
        <v>2</v>
      </c>
      <c r="J364" s="2">
        <v>0</v>
      </c>
      <c r="K364" s="2">
        <v>0</v>
      </c>
      <c r="L364" s="2"/>
      <c r="M364" s="2">
        <v>0</v>
      </c>
      <c r="N364" s="14"/>
      <c r="O364" s="14"/>
      <c r="P364" s="2">
        <v>1565.94</v>
      </c>
      <c r="Q364" s="2">
        <v>3131.88</v>
      </c>
      <c r="R364" s="2">
        <v>1361.69</v>
      </c>
      <c r="S364">
        <f t="shared" si="28"/>
        <v>2723.38</v>
      </c>
      <c r="T364" t="s">
        <v>1874</v>
      </c>
      <c r="U364" s="1">
        <f>_xlfn.XLOOKUP(T364,$Y$2:$Y$45,$AA$2:$AA$45)*(Q364-S364)</f>
        <v>32.68</v>
      </c>
      <c r="AD364" s="19">
        <v>39155</v>
      </c>
      <c r="AE364">
        <v>26.16</v>
      </c>
      <c r="AG364">
        <v>39155</v>
      </c>
      <c r="AH364" s="1">
        <v>26.16</v>
      </c>
    </row>
    <row r="365" spans="1:34" hidden="1" x14ac:dyDescent="0.25">
      <c r="A365" s="2">
        <v>38515</v>
      </c>
      <c r="B365" s="13" t="s">
        <v>714</v>
      </c>
      <c r="C365" s="14" t="s">
        <v>39</v>
      </c>
      <c r="D365" s="15">
        <v>45295</v>
      </c>
      <c r="E365" s="2">
        <v>0</v>
      </c>
      <c r="F365" s="14" t="s">
        <v>717</v>
      </c>
      <c r="G365" t="s">
        <v>718</v>
      </c>
      <c r="H365" s="14" t="s">
        <v>42</v>
      </c>
      <c r="I365" s="2">
        <v>2</v>
      </c>
      <c r="J365" s="2">
        <v>0</v>
      </c>
      <c r="K365" s="2">
        <v>0</v>
      </c>
      <c r="L365" s="2"/>
      <c r="M365" s="2">
        <v>0</v>
      </c>
      <c r="N365" s="14"/>
      <c r="O365" s="14"/>
      <c r="P365" s="2">
        <v>148.6</v>
      </c>
      <c r="Q365" s="2">
        <v>297.2</v>
      </c>
      <c r="R365" s="2">
        <v>129.22</v>
      </c>
      <c r="S365">
        <f t="shared" si="28"/>
        <v>258.44</v>
      </c>
      <c r="T365" t="s">
        <v>1874</v>
      </c>
      <c r="U365" s="1">
        <f>_xlfn.XLOOKUP(T365,$Y$2:$Y$45,$AA$2:$AA$45)*(Q365-S365)</f>
        <v>3.1007999999999996</v>
      </c>
      <c r="AD365" s="19">
        <v>39157</v>
      </c>
      <c r="AE365">
        <v>59.125999999999998</v>
      </c>
      <c r="AG365">
        <v>39157</v>
      </c>
      <c r="AH365" s="1">
        <v>59.125999999999998</v>
      </c>
    </row>
    <row r="366" spans="1:34" hidden="1" x14ac:dyDescent="0.25">
      <c r="A366" s="2">
        <v>38516</v>
      </c>
      <c r="B366" s="13" t="s">
        <v>719</v>
      </c>
      <c r="C366" s="14" t="s">
        <v>39</v>
      </c>
      <c r="D366" s="15">
        <v>45295</v>
      </c>
      <c r="E366" s="2">
        <v>0</v>
      </c>
      <c r="F366" s="14" t="s">
        <v>179</v>
      </c>
      <c r="G366" t="s">
        <v>720</v>
      </c>
      <c r="H366" s="14" t="s">
        <v>42</v>
      </c>
      <c r="I366" s="2">
        <v>1</v>
      </c>
      <c r="J366" s="2">
        <v>0</v>
      </c>
      <c r="K366" s="2">
        <v>0</v>
      </c>
      <c r="L366" s="2"/>
      <c r="M366" s="2">
        <v>0</v>
      </c>
      <c r="N366" s="14"/>
      <c r="O366" s="14"/>
      <c r="P366" s="2">
        <v>248.39</v>
      </c>
      <c r="Q366" s="2">
        <v>248.39</v>
      </c>
      <c r="R366" s="2">
        <v>206.99</v>
      </c>
      <c r="S366">
        <f t="shared" si="28"/>
        <v>206.99</v>
      </c>
      <c r="T366" t="s">
        <v>132</v>
      </c>
      <c r="U366" s="1">
        <f>_xlfn.XLOOKUP(T366,$Y$2:$Y$45,$AA$2:$AA$45)*(Q366-S366)</f>
        <v>3.3119999999999981</v>
      </c>
      <c r="AD366" s="19">
        <v>39158</v>
      </c>
      <c r="AE366">
        <v>25.536000000000005</v>
      </c>
      <c r="AG366">
        <v>39158</v>
      </c>
      <c r="AH366" s="1">
        <v>25.536000000000005</v>
      </c>
    </row>
    <row r="367" spans="1:34" hidden="1" x14ac:dyDescent="0.25">
      <c r="A367" s="2">
        <v>38516</v>
      </c>
      <c r="B367" s="13" t="s">
        <v>719</v>
      </c>
      <c r="C367" s="14" t="s">
        <v>39</v>
      </c>
      <c r="D367" s="15">
        <v>45295</v>
      </c>
      <c r="E367" s="2">
        <v>0</v>
      </c>
      <c r="F367" s="14" t="s">
        <v>179</v>
      </c>
      <c r="G367" t="s">
        <v>721</v>
      </c>
      <c r="H367" s="14" t="s">
        <v>42</v>
      </c>
      <c r="I367" s="2">
        <v>1</v>
      </c>
      <c r="J367" s="2">
        <v>0</v>
      </c>
      <c r="K367" s="2">
        <v>0</v>
      </c>
      <c r="L367" s="2"/>
      <c r="M367" s="2">
        <v>0</v>
      </c>
      <c r="N367" s="14"/>
      <c r="O367" s="14"/>
      <c r="P367" s="2">
        <v>2051.2800000000002</v>
      </c>
      <c r="Q367" s="2">
        <v>2051.2800000000002</v>
      </c>
      <c r="R367" s="2">
        <v>1709.4</v>
      </c>
      <c r="S367">
        <f t="shared" si="28"/>
        <v>1709.4</v>
      </c>
      <c r="T367" t="s">
        <v>132</v>
      </c>
      <c r="U367" s="1">
        <f>_xlfn.XLOOKUP(T367,$Y$2:$Y$45,$AA$2:$AA$45)*(Q367-S367)</f>
        <v>27.350400000000008</v>
      </c>
      <c r="AD367" s="19">
        <v>39164</v>
      </c>
      <c r="AE367">
        <v>1.5627999999999997</v>
      </c>
      <c r="AG367">
        <v>39164</v>
      </c>
      <c r="AH367" s="1">
        <v>1.5627999999999997</v>
      </c>
    </row>
    <row r="368" spans="1:34" hidden="1" x14ac:dyDescent="0.25">
      <c r="A368" s="2">
        <v>38516</v>
      </c>
      <c r="B368" s="13" t="s">
        <v>719</v>
      </c>
      <c r="C368" s="14" t="s">
        <v>39</v>
      </c>
      <c r="D368" s="15">
        <v>45295</v>
      </c>
      <c r="E368" s="2">
        <v>0</v>
      </c>
      <c r="F368" s="14" t="s">
        <v>179</v>
      </c>
      <c r="G368" t="s">
        <v>722</v>
      </c>
      <c r="H368" s="14" t="s">
        <v>42</v>
      </c>
      <c r="I368" s="2">
        <v>1</v>
      </c>
      <c r="J368" s="2">
        <v>0</v>
      </c>
      <c r="K368" s="2">
        <v>0</v>
      </c>
      <c r="L368" s="2"/>
      <c r="M368" s="2">
        <v>0</v>
      </c>
      <c r="N368" s="14"/>
      <c r="O368" s="14"/>
      <c r="P368" s="2">
        <v>2144.87</v>
      </c>
      <c r="Q368" s="2">
        <v>2144.87</v>
      </c>
      <c r="R368" s="2">
        <v>1787.39</v>
      </c>
      <c r="S368">
        <f t="shared" si="28"/>
        <v>1787.39</v>
      </c>
      <c r="T368" t="s">
        <v>132</v>
      </c>
      <c r="U368" s="1">
        <f>_xlfn.XLOOKUP(T368,$Y$2:$Y$45,$AA$2:$AA$45)*(Q368-S368)</f>
        <v>28.598399999999984</v>
      </c>
      <c r="AD368" s="19">
        <v>39169</v>
      </c>
      <c r="AE368">
        <v>116.06720000000001</v>
      </c>
      <c r="AG368">
        <v>39169</v>
      </c>
      <c r="AH368" s="1">
        <v>116.06720000000001</v>
      </c>
    </row>
    <row r="369" spans="1:34" x14ac:dyDescent="0.25">
      <c r="A369" s="2">
        <v>38516</v>
      </c>
      <c r="B369" s="13" t="s">
        <v>719</v>
      </c>
      <c r="C369" s="14" t="s">
        <v>39</v>
      </c>
      <c r="D369" s="15">
        <v>45295</v>
      </c>
      <c r="E369" s="2">
        <v>0</v>
      </c>
      <c r="F369" s="14" t="s">
        <v>723</v>
      </c>
      <c r="G369" t="s">
        <v>723</v>
      </c>
      <c r="H369" s="14" t="s">
        <v>93</v>
      </c>
      <c r="I369" s="2">
        <v>2</v>
      </c>
      <c r="J369" s="2">
        <v>0</v>
      </c>
      <c r="K369" s="2">
        <v>0</v>
      </c>
      <c r="L369" s="2"/>
      <c r="M369" s="2">
        <v>0</v>
      </c>
      <c r="N369" s="14"/>
      <c r="O369" s="14"/>
      <c r="P369" s="2">
        <v>250</v>
      </c>
      <c r="Q369" s="2">
        <v>500</v>
      </c>
      <c r="R369" s="2">
        <v>0</v>
      </c>
      <c r="S369">
        <f t="shared" si="28"/>
        <v>0</v>
      </c>
      <c r="T369" t="s">
        <v>132</v>
      </c>
      <c r="U369">
        <f>_xlfn.XLOOKUP(T369,$Y$2:$Y$45,$AB$2:$AB$45)*(Q369)</f>
        <v>20</v>
      </c>
      <c r="AD369" s="19">
        <v>39170</v>
      </c>
      <c r="AE369">
        <v>0</v>
      </c>
      <c r="AG369">
        <v>39170</v>
      </c>
      <c r="AH369" s="1">
        <v>0</v>
      </c>
    </row>
    <row r="370" spans="1:34" hidden="1" x14ac:dyDescent="0.25">
      <c r="A370" s="2">
        <v>38518</v>
      </c>
      <c r="B370" s="13" t="s">
        <v>724</v>
      </c>
      <c r="C370" s="14" t="s">
        <v>39</v>
      </c>
      <c r="D370" s="15">
        <v>45299</v>
      </c>
      <c r="E370" s="2">
        <v>0</v>
      </c>
      <c r="F370" s="14" t="s">
        <v>725</v>
      </c>
      <c r="G370" t="s">
        <v>726</v>
      </c>
      <c r="H370" s="14" t="s">
        <v>42</v>
      </c>
      <c r="I370" s="2">
        <v>2</v>
      </c>
      <c r="J370" s="2">
        <v>0</v>
      </c>
      <c r="K370" s="2">
        <v>0</v>
      </c>
      <c r="L370" s="2"/>
      <c r="M370" s="2">
        <v>0</v>
      </c>
      <c r="N370" s="14"/>
      <c r="O370" s="14"/>
      <c r="P370" s="2">
        <v>145</v>
      </c>
      <c r="Q370" s="2">
        <v>290</v>
      </c>
      <c r="R370" s="2">
        <v>118.49</v>
      </c>
      <c r="S370">
        <f t="shared" si="28"/>
        <v>236.98</v>
      </c>
      <c r="T370" t="s">
        <v>132</v>
      </c>
      <c r="U370" s="1">
        <f>_xlfn.XLOOKUP(T370,$Y$2:$Y$45,$AA$2:$AA$45)*(Q370-S370)</f>
        <v>4.2416000000000009</v>
      </c>
      <c r="AD370" s="19">
        <v>39171</v>
      </c>
      <c r="AE370">
        <v>0</v>
      </c>
      <c r="AG370">
        <v>39171</v>
      </c>
      <c r="AH370" s="1">
        <v>0</v>
      </c>
    </row>
    <row r="371" spans="1:34" hidden="1" x14ac:dyDescent="0.25">
      <c r="A371" s="2">
        <v>38518</v>
      </c>
      <c r="B371" s="13" t="s">
        <v>724</v>
      </c>
      <c r="C371" s="14" t="s">
        <v>39</v>
      </c>
      <c r="D371" s="15">
        <v>45299</v>
      </c>
      <c r="E371" s="2">
        <v>0</v>
      </c>
      <c r="F371" s="14" t="s">
        <v>727</v>
      </c>
      <c r="G371" t="s">
        <v>728</v>
      </c>
      <c r="H371" s="14" t="s">
        <v>42</v>
      </c>
      <c r="I371" s="2">
        <v>2</v>
      </c>
      <c r="J371" s="2">
        <v>0</v>
      </c>
      <c r="K371" s="2">
        <v>0</v>
      </c>
      <c r="L371" s="2"/>
      <c r="M371" s="2">
        <v>0</v>
      </c>
      <c r="N371" s="14"/>
      <c r="O371" s="14"/>
      <c r="P371" s="2">
        <v>1145</v>
      </c>
      <c r="Q371" s="2">
        <v>2290</v>
      </c>
      <c r="R371" s="2">
        <v>938.5</v>
      </c>
      <c r="S371">
        <f t="shared" si="28"/>
        <v>1877</v>
      </c>
      <c r="T371" t="s">
        <v>132</v>
      </c>
      <c r="U371" s="1">
        <f>_xlfn.XLOOKUP(T371,$Y$2:$Y$45,$AA$2:$AA$45)*(Q371-S371)</f>
        <v>33.04</v>
      </c>
      <c r="AD371" s="19">
        <v>39173</v>
      </c>
      <c r="AE371">
        <v>80</v>
      </c>
      <c r="AG371">
        <v>39173</v>
      </c>
      <c r="AH371" s="1">
        <v>80</v>
      </c>
    </row>
    <row r="372" spans="1:34" hidden="1" x14ac:dyDescent="0.25">
      <c r="A372" s="2">
        <v>38518</v>
      </c>
      <c r="B372" s="13" t="s">
        <v>724</v>
      </c>
      <c r="C372" s="14" t="s">
        <v>39</v>
      </c>
      <c r="D372" s="15">
        <v>45299</v>
      </c>
      <c r="E372" s="2">
        <v>0</v>
      </c>
      <c r="F372" s="14" t="s">
        <v>729</v>
      </c>
      <c r="G372" t="s">
        <v>730</v>
      </c>
      <c r="H372" s="14" t="s">
        <v>42</v>
      </c>
      <c r="I372" s="2">
        <v>2</v>
      </c>
      <c r="J372" s="2">
        <v>0</v>
      </c>
      <c r="K372" s="2">
        <v>0</v>
      </c>
      <c r="L372" s="2"/>
      <c r="M372" s="2">
        <v>0</v>
      </c>
      <c r="N372" s="14"/>
      <c r="O372" s="14"/>
      <c r="P372" s="2">
        <v>42</v>
      </c>
      <c r="Q372" s="2">
        <v>84</v>
      </c>
      <c r="R372" s="2">
        <v>33.92</v>
      </c>
      <c r="S372">
        <f t="shared" si="28"/>
        <v>67.84</v>
      </c>
      <c r="T372" t="s">
        <v>132</v>
      </c>
      <c r="U372" s="1">
        <f>_xlfn.XLOOKUP(T372,$Y$2:$Y$45,$AA$2:$AA$45)*(Q372-S372)</f>
        <v>1.2927999999999997</v>
      </c>
      <c r="AD372" s="19">
        <v>39181</v>
      </c>
      <c r="AE372">
        <v>5.7479999999999993</v>
      </c>
      <c r="AG372">
        <v>39181</v>
      </c>
      <c r="AH372" s="1">
        <v>5.7479999999999993</v>
      </c>
    </row>
    <row r="373" spans="1:34" x14ac:dyDescent="0.25">
      <c r="A373" s="2">
        <v>38518</v>
      </c>
      <c r="B373" s="13" t="s">
        <v>724</v>
      </c>
      <c r="C373" s="14" t="s">
        <v>39</v>
      </c>
      <c r="D373" s="15">
        <v>45299</v>
      </c>
      <c r="E373" s="2">
        <v>0</v>
      </c>
      <c r="F373" s="14" t="s">
        <v>455</v>
      </c>
      <c r="G373" t="s">
        <v>598</v>
      </c>
      <c r="H373" s="14" t="s">
        <v>93</v>
      </c>
      <c r="I373" s="2">
        <v>4</v>
      </c>
      <c r="J373" s="2">
        <v>0</v>
      </c>
      <c r="K373" s="2">
        <v>0</v>
      </c>
      <c r="L373" s="2"/>
      <c r="M373" s="2">
        <v>0</v>
      </c>
      <c r="N373" s="14"/>
      <c r="O373" s="14"/>
      <c r="P373" s="2">
        <v>120</v>
      </c>
      <c r="Q373" s="2">
        <v>480</v>
      </c>
      <c r="R373" s="2">
        <v>0</v>
      </c>
      <c r="S373">
        <f t="shared" si="28"/>
        <v>0</v>
      </c>
      <c r="T373" t="s">
        <v>132</v>
      </c>
      <c r="U373">
        <f>_xlfn.XLOOKUP(T373,$Y$2:$Y$45,$AB$2:$AB$45)*(Q373)</f>
        <v>19.2</v>
      </c>
      <c r="AD373" s="19">
        <v>39183</v>
      </c>
      <c r="AE373">
        <v>103.72125000000001</v>
      </c>
      <c r="AG373">
        <v>39183</v>
      </c>
      <c r="AH373" s="1">
        <v>103.72125000000001</v>
      </c>
    </row>
    <row r="374" spans="1:34" x14ac:dyDescent="0.25">
      <c r="A374" s="2">
        <v>38522</v>
      </c>
      <c r="B374" s="13" t="s">
        <v>731</v>
      </c>
      <c r="C374" s="14" t="s">
        <v>39</v>
      </c>
      <c r="D374" s="15">
        <v>45307</v>
      </c>
      <c r="E374" s="2">
        <v>0</v>
      </c>
      <c r="F374" s="14" t="s">
        <v>152</v>
      </c>
      <c r="G374" t="s">
        <v>153</v>
      </c>
      <c r="H374" s="14" t="s">
        <v>93</v>
      </c>
      <c r="I374" s="2">
        <v>7</v>
      </c>
      <c r="J374" s="2">
        <v>0</v>
      </c>
      <c r="K374" s="2">
        <v>0</v>
      </c>
      <c r="L374" s="2"/>
      <c r="M374" s="2">
        <v>0</v>
      </c>
      <c r="N374" s="14"/>
      <c r="O374" s="14"/>
      <c r="P374" s="2">
        <v>225</v>
      </c>
      <c r="Q374" s="2">
        <v>1575</v>
      </c>
      <c r="R374" s="2">
        <v>0</v>
      </c>
      <c r="S374">
        <f t="shared" si="28"/>
        <v>0</v>
      </c>
      <c r="T374" t="s">
        <v>1874</v>
      </c>
      <c r="U374">
        <f>_xlfn.XLOOKUP(T374,$Y$2:$Y$45,$AB$2:$AB$45)*(Q374)</f>
        <v>63</v>
      </c>
      <c r="AD374" s="19">
        <v>39185</v>
      </c>
      <c r="AE374">
        <v>1.1577</v>
      </c>
      <c r="AG374">
        <v>39185</v>
      </c>
      <c r="AH374" s="1">
        <v>1.1577</v>
      </c>
    </row>
    <row r="375" spans="1:34" x14ac:dyDescent="0.25">
      <c r="A375" s="2">
        <v>38522</v>
      </c>
      <c r="B375" s="13" t="s">
        <v>731</v>
      </c>
      <c r="C375" s="14" t="s">
        <v>39</v>
      </c>
      <c r="D375" s="15">
        <v>45307</v>
      </c>
      <c r="E375" s="2">
        <v>0</v>
      </c>
      <c r="F375" s="14" t="s">
        <v>297</v>
      </c>
      <c r="G375" t="s">
        <v>298</v>
      </c>
      <c r="H375" s="14" t="s">
        <v>93</v>
      </c>
      <c r="I375" s="2">
        <v>1</v>
      </c>
      <c r="J375" s="2">
        <v>0</v>
      </c>
      <c r="K375" s="2">
        <v>0</v>
      </c>
      <c r="L375" s="2"/>
      <c r="M375" s="2">
        <v>0</v>
      </c>
      <c r="N375" s="14"/>
      <c r="O375" s="14"/>
      <c r="P375" s="2">
        <v>155</v>
      </c>
      <c r="Q375" s="2">
        <v>155</v>
      </c>
      <c r="R375" s="2">
        <v>0</v>
      </c>
      <c r="S375">
        <f t="shared" si="28"/>
        <v>0</v>
      </c>
      <c r="T375" t="s">
        <v>1874</v>
      </c>
      <c r="U375">
        <f>_xlfn.XLOOKUP(T375,$Y$2:$Y$45,$AB$2:$AB$45)*(Q375)</f>
        <v>6.2</v>
      </c>
      <c r="AD375" s="19">
        <v>39198</v>
      </c>
      <c r="AE375">
        <v>0.68040000000000023</v>
      </c>
      <c r="AG375">
        <v>39198</v>
      </c>
      <c r="AH375" s="1">
        <v>0.68040000000000023</v>
      </c>
    </row>
    <row r="376" spans="1:34" hidden="1" x14ac:dyDescent="0.25">
      <c r="A376" s="2">
        <v>38522</v>
      </c>
      <c r="B376" s="13" t="s">
        <v>731</v>
      </c>
      <c r="C376" s="14" t="s">
        <v>39</v>
      </c>
      <c r="D376" s="15">
        <v>45307</v>
      </c>
      <c r="E376" s="2">
        <v>0</v>
      </c>
      <c r="F376" s="14" t="s">
        <v>732</v>
      </c>
      <c r="G376" t="s">
        <v>733</v>
      </c>
      <c r="H376" s="14" t="s">
        <v>42</v>
      </c>
      <c r="I376" s="2">
        <v>5</v>
      </c>
      <c r="J376" s="2">
        <v>0</v>
      </c>
      <c r="K376" s="2">
        <v>0</v>
      </c>
      <c r="L376" s="2"/>
      <c r="M376" s="2">
        <v>0</v>
      </c>
      <c r="N376" s="14"/>
      <c r="O376" s="14"/>
      <c r="P376" s="2">
        <v>145</v>
      </c>
      <c r="Q376" s="2">
        <v>725</v>
      </c>
      <c r="R376" s="2">
        <v>126.95</v>
      </c>
      <c r="S376">
        <f t="shared" si="28"/>
        <v>634.75</v>
      </c>
      <c r="T376" t="s">
        <v>1874</v>
      </c>
      <c r="U376" s="1">
        <f>_xlfn.XLOOKUP(T376,$Y$2:$Y$45,$AA$2:$AA$45)*(Q376-S376)</f>
        <v>7.22</v>
      </c>
      <c r="AD376" s="19">
        <v>39199</v>
      </c>
      <c r="AE376">
        <v>0.26319999999999993</v>
      </c>
      <c r="AG376">
        <v>39199</v>
      </c>
      <c r="AH376" s="1">
        <v>0.26319999999999993</v>
      </c>
    </row>
    <row r="377" spans="1:34" hidden="1" x14ac:dyDescent="0.25">
      <c r="A377" s="2">
        <v>38524</v>
      </c>
      <c r="B377" s="13" t="s">
        <v>734</v>
      </c>
      <c r="C377" s="14" t="s">
        <v>39</v>
      </c>
      <c r="D377" s="15">
        <v>45303</v>
      </c>
      <c r="E377" s="2">
        <v>0</v>
      </c>
      <c r="F377" s="14" t="s">
        <v>234</v>
      </c>
      <c r="G377" t="s">
        <v>235</v>
      </c>
      <c r="H377" s="14" t="s">
        <v>42</v>
      </c>
      <c r="I377" s="2">
        <v>6</v>
      </c>
      <c r="J377" s="2">
        <v>0</v>
      </c>
      <c r="K377" s="2">
        <v>0</v>
      </c>
      <c r="L377" s="2"/>
      <c r="M377" s="2">
        <v>0</v>
      </c>
      <c r="N377" s="14"/>
      <c r="O377" s="14"/>
      <c r="P377" s="2">
        <v>325</v>
      </c>
      <c r="Q377" s="2">
        <v>1950</v>
      </c>
      <c r="R377" s="2">
        <v>265.99</v>
      </c>
      <c r="S377">
        <f t="shared" si="28"/>
        <v>1595.94</v>
      </c>
      <c r="T377" t="s">
        <v>1874</v>
      </c>
      <c r="U377" s="1">
        <f>_xlfn.XLOOKUP(T377,$Y$2:$Y$45,$AA$2:$AA$45)*(Q377-S377)</f>
        <v>28.324799999999996</v>
      </c>
      <c r="AD377" s="19">
        <v>39206</v>
      </c>
      <c r="AE377">
        <v>6.36</v>
      </c>
      <c r="AG377">
        <v>39206</v>
      </c>
      <c r="AH377" s="1">
        <v>6.36</v>
      </c>
    </row>
    <row r="378" spans="1:34" hidden="1" x14ac:dyDescent="0.25">
      <c r="A378" s="2">
        <v>38524</v>
      </c>
      <c r="B378" s="13" t="s">
        <v>734</v>
      </c>
      <c r="C378" s="14" t="s">
        <v>39</v>
      </c>
      <c r="D378" s="15">
        <v>45303</v>
      </c>
      <c r="E378" s="2">
        <v>0</v>
      </c>
      <c r="F378" s="14" t="s">
        <v>322</v>
      </c>
      <c r="G378" t="s">
        <v>323</v>
      </c>
      <c r="H378" s="14" t="s">
        <v>173</v>
      </c>
      <c r="I378" s="2">
        <v>1</v>
      </c>
      <c r="J378" s="2">
        <v>0</v>
      </c>
      <c r="K378" s="2">
        <v>0</v>
      </c>
      <c r="L378" s="2"/>
      <c r="M378" s="2">
        <v>0</v>
      </c>
      <c r="N378" s="14"/>
      <c r="O378" s="14"/>
      <c r="P378" s="2">
        <v>203</v>
      </c>
      <c r="Q378" s="2">
        <v>203</v>
      </c>
      <c r="R378" s="2">
        <v>166.2</v>
      </c>
      <c r="S378">
        <f t="shared" si="28"/>
        <v>166.2</v>
      </c>
      <c r="T378" t="s">
        <v>1874</v>
      </c>
      <c r="U378" s="1">
        <f>_xlfn.XLOOKUP(T378,$Y$2:$Y$45,$AA$2:$AA$45)*(Q378-S378)</f>
        <v>2.9440000000000008</v>
      </c>
      <c r="AD378" s="19">
        <v>39207</v>
      </c>
      <c r="AE378">
        <v>13.741099999999998</v>
      </c>
      <c r="AG378">
        <v>39207</v>
      </c>
      <c r="AH378" s="1">
        <v>13.741099999999998</v>
      </c>
    </row>
    <row r="379" spans="1:34" hidden="1" x14ac:dyDescent="0.25">
      <c r="A379" s="2">
        <v>38525</v>
      </c>
      <c r="B379" s="13" t="s">
        <v>735</v>
      </c>
      <c r="C379" s="14" t="s">
        <v>39</v>
      </c>
      <c r="D379" s="15">
        <v>45302</v>
      </c>
      <c r="E379" s="2">
        <v>0</v>
      </c>
      <c r="F379" s="14" t="s">
        <v>736</v>
      </c>
      <c r="G379" t="s">
        <v>737</v>
      </c>
      <c r="H379" s="14" t="s">
        <v>42</v>
      </c>
      <c r="I379" s="2">
        <v>1</v>
      </c>
      <c r="J379" s="2">
        <v>0</v>
      </c>
      <c r="K379" s="2">
        <v>0</v>
      </c>
      <c r="L379" s="2"/>
      <c r="M379" s="2">
        <v>0</v>
      </c>
      <c r="N379" s="14"/>
      <c r="O379" s="14"/>
      <c r="P379" s="2">
        <v>648.41</v>
      </c>
      <c r="Q379" s="2">
        <v>648.41</v>
      </c>
      <c r="R379" s="2">
        <v>531.70000000000005</v>
      </c>
      <c r="S379">
        <f t="shared" si="28"/>
        <v>531.70000000000005</v>
      </c>
      <c r="T379" t="s">
        <v>47</v>
      </c>
      <c r="U379" s="1">
        <f>_xlfn.XLOOKUP(T379,$Y$2:$Y$45,$AA$2:$AA$45)*(Q379-S379)</f>
        <v>9.9203499999999938</v>
      </c>
      <c r="AD379" s="19">
        <v>39214</v>
      </c>
      <c r="AE379">
        <v>4.2012</v>
      </c>
      <c r="AG379">
        <v>39214</v>
      </c>
      <c r="AH379" s="1">
        <v>4.2012</v>
      </c>
    </row>
    <row r="380" spans="1:34" hidden="1" x14ac:dyDescent="0.25">
      <c r="A380" s="2">
        <v>38528</v>
      </c>
      <c r="B380" s="13" t="s">
        <v>738</v>
      </c>
      <c r="C380" s="14" t="s">
        <v>39</v>
      </c>
      <c r="D380" s="15">
        <v>45295</v>
      </c>
      <c r="E380" s="2">
        <v>0</v>
      </c>
      <c r="F380" s="14" t="s">
        <v>739</v>
      </c>
      <c r="G380" t="s">
        <v>740</v>
      </c>
      <c r="H380" s="14" t="s">
        <v>42</v>
      </c>
      <c r="I380" s="2">
        <v>1</v>
      </c>
      <c r="J380" s="2">
        <v>0</v>
      </c>
      <c r="K380" s="2">
        <v>0</v>
      </c>
      <c r="L380" s="2"/>
      <c r="M380" s="2">
        <v>0</v>
      </c>
      <c r="N380" s="14"/>
      <c r="O380" s="14"/>
      <c r="P380" s="2">
        <v>844</v>
      </c>
      <c r="Q380" s="2">
        <v>844</v>
      </c>
      <c r="R380" s="2">
        <v>674.78</v>
      </c>
      <c r="S380">
        <f t="shared" si="28"/>
        <v>674.78</v>
      </c>
      <c r="T380" t="s">
        <v>150</v>
      </c>
      <c r="U380" s="1">
        <f>_xlfn.XLOOKUP(T380,$Y$2:$Y$45,$AA$2:$AA$45)*(Q380-S380)</f>
        <v>13.537600000000003</v>
      </c>
      <c r="AD380" s="19">
        <v>39215</v>
      </c>
      <c r="AE380">
        <v>21.3996</v>
      </c>
      <c r="AG380">
        <v>39215</v>
      </c>
      <c r="AH380" s="1">
        <v>21.3996</v>
      </c>
    </row>
    <row r="381" spans="1:34" x14ac:dyDescent="0.25">
      <c r="A381" s="2">
        <v>38528</v>
      </c>
      <c r="B381" s="13" t="s">
        <v>738</v>
      </c>
      <c r="C381" s="14" t="s">
        <v>39</v>
      </c>
      <c r="D381" s="15">
        <v>45295</v>
      </c>
      <c r="E381" s="2">
        <v>0</v>
      </c>
      <c r="F381" s="14" t="s">
        <v>260</v>
      </c>
      <c r="G381" t="s">
        <v>313</v>
      </c>
      <c r="H381" s="14" t="s">
        <v>93</v>
      </c>
      <c r="I381" s="2">
        <v>5</v>
      </c>
      <c r="J381" s="2">
        <v>0</v>
      </c>
      <c r="K381" s="2">
        <v>0</v>
      </c>
      <c r="L381" s="2"/>
      <c r="M381" s="2">
        <v>0</v>
      </c>
      <c r="N381" s="14"/>
      <c r="O381" s="14"/>
      <c r="P381" s="2">
        <v>185</v>
      </c>
      <c r="Q381" s="2">
        <v>925</v>
      </c>
      <c r="R381" s="2">
        <v>0</v>
      </c>
      <c r="S381">
        <f t="shared" si="28"/>
        <v>0</v>
      </c>
      <c r="T381" t="s">
        <v>150</v>
      </c>
      <c r="U381">
        <f>_xlfn.XLOOKUP(T381,$Y$2:$Y$45,$AB$2:$AB$45)*(Q381)</f>
        <v>37</v>
      </c>
      <c r="AD381" s="19">
        <v>39216</v>
      </c>
      <c r="AE381">
        <v>16.91</v>
      </c>
      <c r="AG381">
        <v>39216</v>
      </c>
      <c r="AH381" s="1">
        <v>16.91</v>
      </c>
    </row>
    <row r="382" spans="1:34" hidden="1" x14ac:dyDescent="0.25">
      <c r="A382" s="2">
        <v>38529</v>
      </c>
      <c r="B382" s="13" t="s">
        <v>741</v>
      </c>
      <c r="C382" s="14" t="s">
        <v>39</v>
      </c>
      <c r="D382" s="15">
        <v>45295</v>
      </c>
      <c r="E382" s="2">
        <v>0</v>
      </c>
      <c r="F382" s="14" t="s">
        <v>742</v>
      </c>
      <c r="G382" t="s">
        <v>743</v>
      </c>
      <c r="H382" s="14" t="s">
        <v>173</v>
      </c>
      <c r="I382" s="2">
        <v>2</v>
      </c>
      <c r="J382" s="2">
        <v>0</v>
      </c>
      <c r="K382" s="2">
        <v>0</v>
      </c>
      <c r="L382" s="2"/>
      <c r="M382" s="2">
        <v>0</v>
      </c>
      <c r="N382" s="14"/>
      <c r="O382" s="14"/>
      <c r="P382" s="2">
        <v>180</v>
      </c>
      <c r="Q382" s="2">
        <v>360</v>
      </c>
      <c r="R382" s="2">
        <v>147.38</v>
      </c>
      <c r="S382">
        <f t="shared" si="28"/>
        <v>294.76</v>
      </c>
      <c r="T382" t="s">
        <v>1874</v>
      </c>
      <c r="U382" s="1">
        <f t="shared" ref="U382:U387" si="30">_xlfn.XLOOKUP(T382,$Y$2:$Y$45,$AA$2:$AA$45)*(Q382-S382)</f>
        <v>5.2192000000000007</v>
      </c>
      <c r="AD382" s="19">
        <v>39219</v>
      </c>
      <c r="AE382">
        <v>3.9479999999999973</v>
      </c>
      <c r="AG382">
        <v>39219</v>
      </c>
      <c r="AH382" s="1">
        <v>3.9479999999999973</v>
      </c>
    </row>
    <row r="383" spans="1:34" hidden="1" x14ac:dyDescent="0.25">
      <c r="A383" s="2">
        <v>38530</v>
      </c>
      <c r="B383" s="13" t="s">
        <v>744</v>
      </c>
      <c r="C383" s="14" t="s">
        <v>39</v>
      </c>
      <c r="D383" s="15">
        <v>45313</v>
      </c>
      <c r="E383" s="2">
        <v>0</v>
      </c>
      <c r="F383" s="14" t="s">
        <v>745</v>
      </c>
      <c r="G383" t="s">
        <v>746</v>
      </c>
      <c r="H383" s="14" t="s">
        <v>42</v>
      </c>
      <c r="I383" s="2">
        <v>1</v>
      </c>
      <c r="J383" s="2">
        <v>0</v>
      </c>
      <c r="K383" s="2">
        <v>0</v>
      </c>
      <c r="L383" s="2"/>
      <c r="M383" s="2">
        <v>0</v>
      </c>
      <c r="N383" s="14"/>
      <c r="O383" s="14"/>
      <c r="P383" s="2">
        <v>777.18</v>
      </c>
      <c r="Q383" s="2">
        <v>777.18</v>
      </c>
      <c r="R383" s="2">
        <v>645.05999999999995</v>
      </c>
      <c r="S383">
        <f t="shared" si="28"/>
        <v>645.05999999999995</v>
      </c>
      <c r="T383" t="s">
        <v>184</v>
      </c>
      <c r="U383" s="1">
        <f t="shared" si="30"/>
        <v>0</v>
      </c>
      <c r="AD383" s="19">
        <v>39221</v>
      </c>
      <c r="AE383">
        <v>11.227200000000003</v>
      </c>
      <c r="AG383">
        <v>39221</v>
      </c>
      <c r="AH383" s="1">
        <v>11.227200000000003</v>
      </c>
    </row>
    <row r="384" spans="1:34" hidden="1" x14ac:dyDescent="0.25">
      <c r="A384" s="2">
        <v>38530</v>
      </c>
      <c r="B384" s="13" t="s">
        <v>744</v>
      </c>
      <c r="C384" s="14" t="s">
        <v>39</v>
      </c>
      <c r="D384" s="15">
        <v>45313</v>
      </c>
      <c r="E384" s="2">
        <v>0</v>
      </c>
      <c r="F384" s="14" t="s">
        <v>747</v>
      </c>
      <c r="G384" t="s">
        <v>746</v>
      </c>
      <c r="H384" s="14" t="s">
        <v>42</v>
      </c>
      <c r="I384" s="2">
        <v>2</v>
      </c>
      <c r="J384" s="2">
        <v>0</v>
      </c>
      <c r="K384" s="2">
        <v>0</v>
      </c>
      <c r="L384" s="2"/>
      <c r="M384" s="2">
        <v>0</v>
      </c>
      <c r="N384" s="14"/>
      <c r="O384" s="14"/>
      <c r="P384" s="2">
        <v>573</v>
      </c>
      <c r="Q384" s="2">
        <v>1146</v>
      </c>
      <c r="R384" s="2">
        <v>475.59</v>
      </c>
      <c r="S384">
        <f t="shared" si="28"/>
        <v>951.18</v>
      </c>
      <c r="T384" t="s">
        <v>184</v>
      </c>
      <c r="U384" s="1">
        <f t="shared" si="30"/>
        <v>0</v>
      </c>
      <c r="AD384" s="19">
        <v>39222</v>
      </c>
      <c r="AE384">
        <v>-38.1</v>
      </c>
      <c r="AG384">
        <v>39222</v>
      </c>
      <c r="AH384" s="1">
        <v>-38.1</v>
      </c>
    </row>
    <row r="385" spans="1:34" hidden="1" x14ac:dyDescent="0.25">
      <c r="A385" s="2">
        <v>38531</v>
      </c>
      <c r="B385" s="13" t="s">
        <v>748</v>
      </c>
      <c r="C385" s="14" t="s">
        <v>39</v>
      </c>
      <c r="D385" s="15">
        <v>45313</v>
      </c>
      <c r="E385" s="2">
        <v>0</v>
      </c>
      <c r="F385" s="14" t="s">
        <v>749</v>
      </c>
      <c r="G385" t="s">
        <v>750</v>
      </c>
      <c r="H385" s="14" t="s">
        <v>42</v>
      </c>
      <c r="I385" s="2">
        <v>2</v>
      </c>
      <c r="J385" s="2">
        <v>0</v>
      </c>
      <c r="K385" s="2">
        <v>0</v>
      </c>
      <c r="L385" s="2"/>
      <c r="M385" s="2">
        <v>0</v>
      </c>
      <c r="N385" s="14"/>
      <c r="O385" s="14"/>
      <c r="P385" s="2">
        <v>98</v>
      </c>
      <c r="Q385" s="2">
        <v>196</v>
      </c>
      <c r="R385" s="2">
        <v>78.59</v>
      </c>
      <c r="S385">
        <f t="shared" si="28"/>
        <v>157.18</v>
      </c>
      <c r="T385" t="s">
        <v>132</v>
      </c>
      <c r="U385" s="1">
        <f t="shared" si="30"/>
        <v>3.1055999999999995</v>
      </c>
      <c r="AD385" s="19">
        <v>39223</v>
      </c>
      <c r="AE385">
        <v>15.407200000000003</v>
      </c>
      <c r="AG385">
        <v>39223</v>
      </c>
      <c r="AH385" s="1">
        <v>15.407200000000003</v>
      </c>
    </row>
    <row r="386" spans="1:34" hidden="1" x14ac:dyDescent="0.25">
      <c r="A386" s="2">
        <v>38532</v>
      </c>
      <c r="B386" s="13" t="s">
        <v>751</v>
      </c>
      <c r="C386" s="14" t="s">
        <v>39</v>
      </c>
      <c r="D386" s="15">
        <v>45313</v>
      </c>
      <c r="E386" s="2">
        <v>0</v>
      </c>
      <c r="F386" s="14" t="s">
        <v>747</v>
      </c>
      <c r="G386" t="s">
        <v>746</v>
      </c>
      <c r="H386" s="14" t="s">
        <v>42</v>
      </c>
      <c r="I386" s="2">
        <v>2</v>
      </c>
      <c r="J386" s="2">
        <v>0</v>
      </c>
      <c r="K386" s="2">
        <v>0</v>
      </c>
      <c r="L386" s="2"/>
      <c r="M386" s="2">
        <v>0</v>
      </c>
      <c r="N386" s="14"/>
      <c r="O386" s="14"/>
      <c r="P386" s="2">
        <v>573</v>
      </c>
      <c r="Q386" s="2">
        <v>1146</v>
      </c>
      <c r="R386" s="2">
        <v>475.59</v>
      </c>
      <c r="S386">
        <f t="shared" ref="S386:S449" si="31">R386*I386</f>
        <v>951.18</v>
      </c>
      <c r="T386" t="s">
        <v>184</v>
      </c>
      <c r="U386" s="1">
        <f t="shared" si="30"/>
        <v>0</v>
      </c>
      <c r="AD386" s="19">
        <v>39224</v>
      </c>
      <c r="AE386">
        <v>4.1432000000000002</v>
      </c>
      <c r="AG386">
        <v>39224</v>
      </c>
      <c r="AH386" s="1">
        <v>4.1432000000000002</v>
      </c>
    </row>
    <row r="387" spans="1:34" hidden="1" x14ac:dyDescent="0.25">
      <c r="A387" s="2">
        <v>38533</v>
      </c>
      <c r="B387" s="13" t="s">
        <v>752</v>
      </c>
      <c r="C387" s="14" t="s">
        <v>39</v>
      </c>
      <c r="D387" s="15">
        <v>45313</v>
      </c>
      <c r="E387" s="2">
        <v>0</v>
      </c>
      <c r="F387" s="14" t="s">
        <v>753</v>
      </c>
      <c r="G387" t="s">
        <v>754</v>
      </c>
      <c r="H387" s="14" t="s">
        <v>42</v>
      </c>
      <c r="I387" s="2">
        <v>1</v>
      </c>
      <c r="J387" s="2">
        <v>0</v>
      </c>
      <c r="K387" s="2">
        <v>0</v>
      </c>
      <c r="L387" s="2"/>
      <c r="M387" s="2">
        <v>0</v>
      </c>
      <c r="N387" s="14"/>
      <c r="O387" s="14"/>
      <c r="P387" s="2">
        <v>3047.45</v>
      </c>
      <c r="Q387" s="2">
        <v>3047.45</v>
      </c>
      <c r="R387" s="2">
        <v>2437.96</v>
      </c>
      <c r="S387">
        <f t="shared" si="31"/>
        <v>2437.96</v>
      </c>
      <c r="T387" t="s">
        <v>140</v>
      </c>
      <c r="U387" s="1">
        <f t="shared" si="30"/>
        <v>48.759199999999986</v>
      </c>
      <c r="AD387" s="19">
        <v>39241</v>
      </c>
      <c r="AE387">
        <v>34.646399999999993</v>
      </c>
      <c r="AG387">
        <v>39241</v>
      </c>
      <c r="AH387" s="1">
        <v>34.646399999999993</v>
      </c>
    </row>
    <row r="388" spans="1:34" x14ac:dyDescent="0.25">
      <c r="A388" s="2">
        <v>38534</v>
      </c>
      <c r="B388" s="13" t="s">
        <v>755</v>
      </c>
      <c r="C388" s="14" t="s">
        <v>39</v>
      </c>
      <c r="D388" s="15">
        <v>45294</v>
      </c>
      <c r="E388" s="2">
        <v>0</v>
      </c>
      <c r="F388" s="14" t="s">
        <v>756</v>
      </c>
      <c r="G388" t="s">
        <v>757</v>
      </c>
      <c r="H388" s="14" t="s">
        <v>126</v>
      </c>
      <c r="I388" s="2">
        <v>55</v>
      </c>
      <c r="J388" s="2">
        <v>0</v>
      </c>
      <c r="K388" s="2">
        <v>0</v>
      </c>
      <c r="L388" s="2"/>
      <c r="M388" s="2">
        <v>0</v>
      </c>
      <c r="N388" s="14"/>
      <c r="O388" s="14"/>
      <c r="P388" s="2">
        <v>38</v>
      </c>
      <c r="Q388" s="2">
        <v>2090</v>
      </c>
      <c r="R388" s="2">
        <v>27.06</v>
      </c>
      <c r="S388">
        <f t="shared" si="31"/>
        <v>1488.3</v>
      </c>
      <c r="T388" t="s">
        <v>174</v>
      </c>
      <c r="U388">
        <f>_xlfn.XLOOKUP(T388,$Y$2:$Y$45,$AB$2:$AB$45)*(Q388)</f>
        <v>0</v>
      </c>
      <c r="AD388" s="19">
        <v>39242</v>
      </c>
      <c r="AE388">
        <v>7.6959999999999988</v>
      </c>
      <c r="AG388">
        <v>39242</v>
      </c>
      <c r="AH388" s="1">
        <v>7.6959999999999988</v>
      </c>
    </row>
    <row r="389" spans="1:34" hidden="1" x14ac:dyDescent="0.25">
      <c r="A389" s="2">
        <v>38535</v>
      </c>
      <c r="B389" s="13" t="s">
        <v>758</v>
      </c>
      <c r="C389" s="14" t="s">
        <v>39</v>
      </c>
      <c r="D389" s="15">
        <v>45313</v>
      </c>
      <c r="E389" s="2">
        <v>0</v>
      </c>
      <c r="F389" s="14" t="s">
        <v>747</v>
      </c>
      <c r="G389" t="s">
        <v>746</v>
      </c>
      <c r="H389" s="14" t="s">
        <v>42</v>
      </c>
      <c r="I389" s="2">
        <v>1</v>
      </c>
      <c r="J389" s="2">
        <v>0</v>
      </c>
      <c r="K389" s="2">
        <v>0</v>
      </c>
      <c r="L389" s="2"/>
      <c r="M389" s="2">
        <v>0</v>
      </c>
      <c r="N389" s="14"/>
      <c r="O389" s="14"/>
      <c r="P389" s="2">
        <v>573</v>
      </c>
      <c r="Q389" s="2">
        <v>573</v>
      </c>
      <c r="R389" s="2">
        <v>475.59</v>
      </c>
      <c r="S389">
        <f t="shared" si="31"/>
        <v>475.59</v>
      </c>
      <c r="T389" t="s">
        <v>184</v>
      </c>
      <c r="U389" s="1">
        <f t="shared" ref="U389:U396" si="32">_xlfn.XLOOKUP(T389,$Y$2:$Y$45,$AA$2:$AA$45)*(Q389-S389)</f>
        <v>0</v>
      </c>
      <c r="AD389" s="19">
        <v>39243</v>
      </c>
      <c r="AE389">
        <v>8.7776000000000032</v>
      </c>
      <c r="AG389">
        <v>39243</v>
      </c>
      <c r="AH389" s="1">
        <v>8.7776000000000032</v>
      </c>
    </row>
    <row r="390" spans="1:34" hidden="1" x14ac:dyDescent="0.25">
      <c r="A390" s="2">
        <v>38545</v>
      </c>
      <c r="B390" s="13" t="s">
        <v>759</v>
      </c>
      <c r="C390" s="14" t="s">
        <v>39</v>
      </c>
      <c r="D390" s="15">
        <v>45313</v>
      </c>
      <c r="E390" s="2">
        <v>0</v>
      </c>
      <c r="F390" s="14" t="s">
        <v>760</v>
      </c>
      <c r="G390" t="s">
        <v>761</v>
      </c>
      <c r="H390" s="14" t="s">
        <v>42</v>
      </c>
      <c r="I390" s="2">
        <v>1</v>
      </c>
      <c r="J390" s="2">
        <v>0</v>
      </c>
      <c r="K390" s="2">
        <v>0</v>
      </c>
      <c r="L390" s="2"/>
      <c r="M390" s="2">
        <v>0</v>
      </c>
      <c r="N390" s="14"/>
      <c r="O390" s="14"/>
      <c r="P390" s="2">
        <v>168.19</v>
      </c>
      <c r="Q390" s="2">
        <v>168.19</v>
      </c>
      <c r="R390" s="2">
        <v>139.6</v>
      </c>
      <c r="S390">
        <f t="shared" si="31"/>
        <v>139.6</v>
      </c>
      <c r="T390" t="s">
        <v>184</v>
      </c>
      <c r="U390" s="1">
        <f t="shared" si="32"/>
        <v>0</v>
      </c>
      <c r="AD390" s="19">
        <v>39244</v>
      </c>
      <c r="AE390">
        <v>32</v>
      </c>
      <c r="AG390">
        <v>39244</v>
      </c>
      <c r="AH390" s="1">
        <v>32</v>
      </c>
    </row>
    <row r="391" spans="1:34" hidden="1" x14ac:dyDescent="0.25">
      <c r="A391" s="2">
        <v>38545</v>
      </c>
      <c r="B391" s="13" t="s">
        <v>759</v>
      </c>
      <c r="C391" s="14" t="s">
        <v>39</v>
      </c>
      <c r="D391" s="15">
        <v>45313</v>
      </c>
      <c r="E391" s="2">
        <v>0</v>
      </c>
      <c r="F391" s="14" t="s">
        <v>747</v>
      </c>
      <c r="G391" t="s">
        <v>746</v>
      </c>
      <c r="H391" s="14" t="s">
        <v>42</v>
      </c>
      <c r="I391" s="2">
        <v>1</v>
      </c>
      <c r="J391" s="2">
        <v>0</v>
      </c>
      <c r="K391" s="2">
        <v>0</v>
      </c>
      <c r="L391" s="2"/>
      <c r="M391" s="2">
        <v>0</v>
      </c>
      <c r="N391" s="14"/>
      <c r="O391" s="14"/>
      <c r="P391" s="2">
        <v>573</v>
      </c>
      <c r="Q391" s="2">
        <v>573</v>
      </c>
      <c r="R391" s="2">
        <v>475.59</v>
      </c>
      <c r="S391">
        <f t="shared" si="31"/>
        <v>475.59</v>
      </c>
      <c r="T391" t="s">
        <v>184</v>
      </c>
      <c r="U391" s="1">
        <f t="shared" si="32"/>
        <v>0</v>
      </c>
      <c r="AD391" s="19">
        <v>39245</v>
      </c>
      <c r="AE391">
        <v>5.4880000000000022</v>
      </c>
      <c r="AG391">
        <v>39245</v>
      </c>
      <c r="AH391" s="1">
        <v>5.4880000000000022</v>
      </c>
    </row>
    <row r="392" spans="1:34" hidden="1" x14ac:dyDescent="0.25">
      <c r="A392" s="2">
        <v>38546</v>
      </c>
      <c r="B392" s="13" t="s">
        <v>762</v>
      </c>
      <c r="C392" s="14" t="s">
        <v>39</v>
      </c>
      <c r="D392" s="15">
        <v>45295</v>
      </c>
      <c r="E392" s="2">
        <v>0</v>
      </c>
      <c r="F392" s="14" t="s">
        <v>763</v>
      </c>
      <c r="G392" t="s">
        <v>764</v>
      </c>
      <c r="H392" s="14" t="s">
        <v>42</v>
      </c>
      <c r="I392" s="2">
        <v>1</v>
      </c>
      <c r="J392" s="2">
        <v>0</v>
      </c>
      <c r="K392" s="2">
        <v>0</v>
      </c>
      <c r="L392" s="2"/>
      <c r="M392" s="2">
        <v>0</v>
      </c>
      <c r="N392" s="14"/>
      <c r="O392" s="14"/>
      <c r="P392" s="2">
        <v>483</v>
      </c>
      <c r="Q392" s="2">
        <v>483</v>
      </c>
      <c r="R392" s="2">
        <v>396</v>
      </c>
      <c r="S392">
        <f t="shared" si="31"/>
        <v>396</v>
      </c>
      <c r="T392" t="s">
        <v>43</v>
      </c>
      <c r="U392" s="1">
        <f t="shared" si="32"/>
        <v>7.3950000000000005</v>
      </c>
      <c r="AD392" s="19">
        <v>39248</v>
      </c>
      <c r="AE392">
        <v>13.375999999999998</v>
      </c>
      <c r="AG392">
        <v>39248</v>
      </c>
      <c r="AH392" s="1">
        <v>13.375999999999998</v>
      </c>
    </row>
    <row r="393" spans="1:34" hidden="1" x14ac:dyDescent="0.25">
      <c r="A393" s="2">
        <v>38547</v>
      </c>
      <c r="B393" s="13" t="s">
        <v>765</v>
      </c>
      <c r="C393" s="14" t="s">
        <v>39</v>
      </c>
      <c r="D393" s="15">
        <v>45313</v>
      </c>
      <c r="E393" s="2">
        <v>0</v>
      </c>
      <c r="F393" s="14" t="s">
        <v>747</v>
      </c>
      <c r="G393" t="s">
        <v>746</v>
      </c>
      <c r="H393" s="14" t="s">
        <v>42</v>
      </c>
      <c r="I393" s="2">
        <v>2</v>
      </c>
      <c r="J393" s="2">
        <v>0</v>
      </c>
      <c r="K393" s="2">
        <v>0</v>
      </c>
      <c r="L393" s="2"/>
      <c r="M393" s="2">
        <v>0</v>
      </c>
      <c r="N393" s="14"/>
      <c r="O393" s="14"/>
      <c r="P393" s="2">
        <v>573</v>
      </c>
      <c r="Q393" s="2">
        <v>1146</v>
      </c>
      <c r="R393" s="2">
        <v>475.59</v>
      </c>
      <c r="S393">
        <f t="shared" si="31"/>
        <v>951.18</v>
      </c>
      <c r="T393" t="s">
        <v>184</v>
      </c>
      <c r="U393" s="1">
        <f t="shared" si="32"/>
        <v>0</v>
      </c>
      <c r="AD393" s="19">
        <v>39249</v>
      </c>
      <c r="AE393">
        <v>50.655999999999985</v>
      </c>
      <c r="AG393">
        <v>39249</v>
      </c>
      <c r="AH393" s="1">
        <v>50.655999999999985</v>
      </c>
    </row>
    <row r="394" spans="1:34" hidden="1" x14ac:dyDescent="0.25">
      <c r="A394" s="2">
        <v>38550</v>
      </c>
      <c r="B394" s="13" t="s">
        <v>766</v>
      </c>
      <c r="C394" s="14" t="s">
        <v>39</v>
      </c>
      <c r="D394" s="15">
        <v>45296</v>
      </c>
      <c r="E394" s="2">
        <v>0</v>
      </c>
      <c r="F394" s="14" t="s">
        <v>767</v>
      </c>
      <c r="G394" t="s">
        <v>768</v>
      </c>
      <c r="H394" s="14" t="s">
        <v>42</v>
      </c>
      <c r="I394" s="2">
        <v>1</v>
      </c>
      <c r="J394" s="2">
        <v>0</v>
      </c>
      <c r="K394" s="2">
        <v>0</v>
      </c>
      <c r="L394" s="2"/>
      <c r="M394" s="2">
        <v>0</v>
      </c>
      <c r="N394" s="14"/>
      <c r="O394" s="14"/>
      <c r="P394" s="2">
        <v>900.06</v>
      </c>
      <c r="Q394" s="2">
        <v>900.06</v>
      </c>
      <c r="R394" s="2">
        <v>829.9</v>
      </c>
      <c r="S394">
        <f t="shared" si="31"/>
        <v>829.9</v>
      </c>
      <c r="T394" t="s">
        <v>1874</v>
      </c>
      <c r="U394" s="1">
        <f t="shared" si="32"/>
        <v>5.6127999999999973</v>
      </c>
      <c r="AD394" s="19">
        <v>39255</v>
      </c>
      <c r="AE394">
        <v>1.0975999999999999</v>
      </c>
      <c r="AG394">
        <v>39255</v>
      </c>
      <c r="AH394" s="1">
        <v>1.0975999999999999</v>
      </c>
    </row>
    <row r="395" spans="1:34" hidden="1" x14ac:dyDescent="0.25">
      <c r="A395" s="2">
        <v>38551</v>
      </c>
      <c r="B395" s="13" t="s">
        <v>769</v>
      </c>
      <c r="C395" s="14" t="s">
        <v>39</v>
      </c>
      <c r="D395" s="15">
        <v>45306</v>
      </c>
      <c r="E395" s="2">
        <v>0</v>
      </c>
      <c r="F395" s="14" t="s">
        <v>770</v>
      </c>
      <c r="G395" t="s">
        <v>771</v>
      </c>
      <c r="H395" s="14" t="s">
        <v>42</v>
      </c>
      <c r="I395" s="2">
        <v>6</v>
      </c>
      <c r="J395" s="2">
        <v>0</v>
      </c>
      <c r="K395" s="2">
        <v>0</v>
      </c>
      <c r="L395" s="2"/>
      <c r="M395" s="2">
        <v>0</v>
      </c>
      <c r="N395" s="14"/>
      <c r="O395" s="14"/>
      <c r="P395" s="2">
        <v>1379</v>
      </c>
      <c r="Q395" s="2">
        <v>8274</v>
      </c>
      <c r="R395" s="2">
        <v>1192.56</v>
      </c>
      <c r="S395">
        <f t="shared" si="31"/>
        <v>7155.36</v>
      </c>
      <c r="T395" t="s">
        <v>140</v>
      </c>
      <c r="U395" s="1">
        <f t="shared" si="32"/>
        <v>89.491200000000035</v>
      </c>
      <c r="AD395" s="19">
        <v>39258</v>
      </c>
      <c r="AE395">
        <v>481</v>
      </c>
      <c r="AG395">
        <v>39258</v>
      </c>
      <c r="AH395" s="1">
        <v>481</v>
      </c>
    </row>
    <row r="396" spans="1:34" hidden="1" x14ac:dyDescent="0.25">
      <c r="A396" s="2">
        <v>38551</v>
      </c>
      <c r="B396" s="13" t="s">
        <v>769</v>
      </c>
      <c r="C396" s="14" t="s">
        <v>39</v>
      </c>
      <c r="D396" s="15">
        <v>45306</v>
      </c>
      <c r="E396" s="2">
        <v>0</v>
      </c>
      <c r="F396" s="14" t="s">
        <v>772</v>
      </c>
      <c r="G396" t="s">
        <v>773</v>
      </c>
      <c r="H396" s="14" t="s">
        <v>42</v>
      </c>
      <c r="I396" s="2">
        <v>3</v>
      </c>
      <c r="J396" s="2">
        <v>0</v>
      </c>
      <c r="K396" s="2">
        <v>0</v>
      </c>
      <c r="L396" s="2"/>
      <c r="M396" s="2">
        <v>0</v>
      </c>
      <c r="N396" s="14"/>
      <c r="O396" s="14"/>
      <c r="P396" s="2">
        <v>2027</v>
      </c>
      <c r="Q396" s="2">
        <v>6081</v>
      </c>
      <c r="R396" s="2">
        <v>1905.38</v>
      </c>
      <c r="S396">
        <f t="shared" si="31"/>
        <v>5716.14</v>
      </c>
      <c r="T396" t="s">
        <v>140</v>
      </c>
      <c r="U396" s="1">
        <f t="shared" si="32"/>
        <v>29.188799999999976</v>
      </c>
      <c r="AD396" s="19">
        <v>39259</v>
      </c>
      <c r="AE396">
        <v>13.44</v>
      </c>
      <c r="AG396">
        <v>39259</v>
      </c>
      <c r="AH396" s="1">
        <v>13.44</v>
      </c>
    </row>
    <row r="397" spans="1:34" x14ac:dyDescent="0.25">
      <c r="A397" s="2">
        <v>38553</v>
      </c>
      <c r="B397" s="13" t="s">
        <v>774</v>
      </c>
      <c r="C397" s="14" t="s">
        <v>775</v>
      </c>
      <c r="D397" s="15">
        <v>45313</v>
      </c>
      <c r="E397" s="2">
        <v>1134.3900000000001</v>
      </c>
      <c r="F397" s="14" t="s">
        <v>441</v>
      </c>
      <c r="G397" t="s">
        <v>442</v>
      </c>
      <c r="H397" s="14" t="s">
        <v>126</v>
      </c>
      <c r="I397" s="2">
        <v>1</v>
      </c>
      <c r="J397" s="2">
        <v>300</v>
      </c>
      <c r="K397" s="2">
        <v>15</v>
      </c>
      <c r="L397" s="2"/>
      <c r="M397" s="2">
        <v>300</v>
      </c>
      <c r="N397" s="14"/>
      <c r="O397" s="14"/>
      <c r="P397" s="2">
        <v>300</v>
      </c>
      <c r="Q397" s="2">
        <v>300</v>
      </c>
      <c r="R397" s="2">
        <v>0</v>
      </c>
      <c r="S397">
        <f t="shared" si="31"/>
        <v>0</v>
      </c>
      <c r="T397" t="s">
        <v>43</v>
      </c>
      <c r="U397">
        <f>_xlfn.XLOOKUP(T397,$Y$2:$Y$45,$AB$2:$AB$45)*(Q397)</f>
        <v>12</v>
      </c>
      <c r="AD397" s="19">
        <v>39266</v>
      </c>
      <c r="AE397">
        <v>5.0184000000000024</v>
      </c>
      <c r="AG397">
        <v>39266</v>
      </c>
      <c r="AH397" s="1">
        <v>5.0184000000000024</v>
      </c>
    </row>
    <row r="398" spans="1:34" x14ac:dyDescent="0.25">
      <c r="A398" s="2">
        <v>38553</v>
      </c>
      <c r="B398" s="13" t="s">
        <v>774</v>
      </c>
      <c r="C398" s="14" t="s">
        <v>775</v>
      </c>
      <c r="D398" s="15">
        <v>45313</v>
      </c>
      <c r="E398" s="2">
        <v>1134.3900000000001</v>
      </c>
      <c r="F398" s="14" t="s">
        <v>776</v>
      </c>
      <c r="G398" t="s">
        <v>777</v>
      </c>
      <c r="H398" s="14" t="s">
        <v>126</v>
      </c>
      <c r="I398" s="2">
        <v>25</v>
      </c>
      <c r="J398" s="2">
        <v>8.5</v>
      </c>
      <c r="K398" s="2">
        <v>3.77</v>
      </c>
      <c r="L398" s="2"/>
      <c r="M398" s="2">
        <v>212.5</v>
      </c>
      <c r="N398" s="14"/>
      <c r="O398" s="14"/>
      <c r="P398" s="2">
        <v>1.25</v>
      </c>
      <c r="Q398" s="2">
        <v>31.25</v>
      </c>
      <c r="R398" s="2">
        <v>15</v>
      </c>
      <c r="S398">
        <f t="shared" si="31"/>
        <v>375</v>
      </c>
      <c r="T398" t="s">
        <v>43</v>
      </c>
      <c r="U398">
        <f>_xlfn.XLOOKUP(T398,$Y$2:$Y$45,$AB$2:$AB$45)*(Q398)</f>
        <v>1.25</v>
      </c>
      <c r="AD398" s="19">
        <v>39269</v>
      </c>
      <c r="AE398">
        <v>92.128</v>
      </c>
      <c r="AG398">
        <v>39269</v>
      </c>
      <c r="AH398" s="1">
        <v>92.128</v>
      </c>
    </row>
    <row r="399" spans="1:34" x14ac:dyDescent="0.25">
      <c r="A399" s="2">
        <v>38553</v>
      </c>
      <c r="B399" s="13" t="s">
        <v>774</v>
      </c>
      <c r="C399" s="14" t="s">
        <v>775</v>
      </c>
      <c r="D399" s="15">
        <v>45313</v>
      </c>
      <c r="E399" s="2">
        <v>1134.3900000000001</v>
      </c>
      <c r="F399" s="14" t="s">
        <v>164</v>
      </c>
      <c r="G399" t="s">
        <v>165</v>
      </c>
      <c r="H399" s="14" t="s">
        <v>126</v>
      </c>
      <c r="I399" s="2">
        <v>25</v>
      </c>
      <c r="J399" s="2">
        <v>5</v>
      </c>
      <c r="K399" s="2">
        <v>0.8</v>
      </c>
      <c r="L399" s="2"/>
      <c r="M399" s="2">
        <v>125</v>
      </c>
      <c r="N399" s="14"/>
      <c r="O399" s="14"/>
      <c r="P399" s="2">
        <v>6</v>
      </c>
      <c r="Q399" s="2">
        <v>150</v>
      </c>
      <c r="R399" s="2">
        <v>0</v>
      </c>
      <c r="S399">
        <f t="shared" si="31"/>
        <v>0</v>
      </c>
      <c r="T399" t="s">
        <v>43</v>
      </c>
      <c r="U399">
        <f>_xlfn.XLOOKUP(T399,$Y$2:$Y$45,$AB$2:$AB$45)*(Q399)</f>
        <v>6</v>
      </c>
      <c r="AD399" s="19">
        <v>39270</v>
      </c>
      <c r="AE399">
        <v>127.59679999999997</v>
      </c>
      <c r="AG399">
        <v>39270</v>
      </c>
      <c r="AH399" s="1">
        <v>127.59679999999997</v>
      </c>
    </row>
    <row r="400" spans="1:34" hidden="1" x14ac:dyDescent="0.25">
      <c r="A400" s="2">
        <v>38553</v>
      </c>
      <c r="B400" s="13" t="s">
        <v>774</v>
      </c>
      <c r="C400" s="14" t="s">
        <v>775</v>
      </c>
      <c r="D400" s="15">
        <v>45313</v>
      </c>
      <c r="E400" s="2">
        <v>1134.3900000000001</v>
      </c>
      <c r="F400" s="14" t="s">
        <v>158</v>
      </c>
      <c r="G400" t="s">
        <v>159</v>
      </c>
      <c r="H400" s="14" t="s">
        <v>104</v>
      </c>
      <c r="I400" s="2">
        <v>25</v>
      </c>
      <c r="J400" s="2">
        <v>5.5</v>
      </c>
      <c r="K400" s="2">
        <v>1.05</v>
      </c>
      <c r="L400" s="2"/>
      <c r="M400" s="2">
        <v>137.5</v>
      </c>
      <c r="N400" s="14"/>
      <c r="O400" s="14"/>
      <c r="P400" s="2">
        <v>0.25</v>
      </c>
      <c r="Q400" s="2">
        <v>6.25</v>
      </c>
      <c r="R400" s="2">
        <v>0</v>
      </c>
      <c r="S400">
        <f t="shared" si="31"/>
        <v>0</v>
      </c>
      <c r="T400" t="s">
        <v>43</v>
      </c>
      <c r="U400">
        <f>_xlfn.XLOOKUP(T400,$Y$2:$Y$45,$AB$2:$AB$45)*(Q400)</f>
        <v>0.25</v>
      </c>
      <c r="AD400" s="19">
        <v>39274</v>
      </c>
      <c r="AE400">
        <v>8</v>
      </c>
      <c r="AG400">
        <v>39274</v>
      </c>
      <c r="AH400" s="1">
        <v>8</v>
      </c>
    </row>
    <row r="401" spans="1:34" hidden="1" x14ac:dyDescent="0.25">
      <c r="A401" s="2">
        <v>38553</v>
      </c>
      <c r="B401" s="13" t="s">
        <v>774</v>
      </c>
      <c r="C401" s="14" t="s">
        <v>775</v>
      </c>
      <c r="D401" s="15">
        <v>45313</v>
      </c>
      <c r="E401" s="2">
        <v>1134.3900000000001</v>
      </c>
      <c r="F401" s="14" t="s">
        <v>161</v>
      </c>
      <c r="G401" t="s">
        <v>162</v>
      </c>
      <c r="H401" s="14" t="s">
        <v>104</v>
      </c>
      <c r="I401" s="2">
        <v>25</v>
      </c>
      <c r="J401" s="2">
        <v>7</v>
      </c>
      <c r="K401" s="2">
        <v>0</v>
      </c>
      <c r="L401" s="2"/>
      <c r="M401" s="2">
        <v>175</v>
      </c>
      <c r="N401" s="14"/>
      <c r="O401" s="14"/>
      <c r="P401" s="2">
        <v>0.25</v>
      </c>
      <c r="Q401" s="2">
        <v>6.25</v>
      </c>
      <c r="R401" s="2">
        <v>0</v>
      </c>
      <c r="S401">
        <f t="shared" si="31"/>
        <v>0</v>
      </c>
      <c r="T401" t="s">
        <v>43</v>
      </c>
      <c r="U401">
        <f>_xlfn.XLOOKUP(T401,$Y$2:$Y$45,$AB$2:$AB$45)*(Q401)</f>
        <v>0.25</v>
      </c>
      <c r="AD401" s="19">
        <v>39275</v>
      </c>
      <c r="AE401">
        <v>7.9636500000000048</v>
      </c>
      <c r="AG401">
        <v>39275</v>
      </c>
      <c r="AH401" s="1">
        <v>7.9636500000000048</v>
      </c>
    </row>
    <row r="402" spans="1:34" hidden="1" x14ac:dyDescent="0.25">
      <c r="A402" s="2">
        <v>38554</v>
      </c>
      <c r="B402" s="13" t="s">
        <v>778</v>
      </c>
      <c r="C402" s="14" t="s">
        <v>39</v>
      </c>
      <c r="D402" s="15">
        <v>45296</v>
      </c>
      <c r="E402" s="2">
        <v>0</v>
      </c>
      <c r="F402" s="14" t="s">
        <v>779</v>
      </c>
      <c r="G402" t="s">
        <v>780</v>
      </c>
      <c r="H402" s="14" t="s">
        <v>42</v>
      </c>
      <c r="I402" s="2">
        <v>1</v>
      </c>
      <c r="J402" s="2">
        <v>0</v>
      </c>
      <c r="K402" s="2">
        <v>0</v>
      </c>
      <c r="L402" s="2"/>
      <c r="M402" s="2">
        <v>0</v>
      </c>
      <c r="N402" s="14"/>
      <c r="O402" s="14"/>
      <c r="P402" s="2">
        <v>3933</v>
      </c>
      <c r="Q402" s="2">
        <v>3933</v>
      </c>
      <c r="R402" s="2">
        <v>3224.59</v>
      </c>
      <c r="S402">
        <f t="shared" si="31"/>
        <v>3224.59</v>
      </c>
      <c r="T402" t="s">
        <v>1874</v>
      </c>
      <c r="U402" s="1">
        <f t="shared" ref="U402:U407" si="33">_xlfn.XLOOKUP(T402,$Y$2:$Y$45,$AA$2:$AA$45)*(Q402-S402)</f>
        <v>56.672799999999988</v>
      </c>
      <c r="AD402" s="19">
        <v>39276</v>
      </c>
      <c r="AE402">
        <v>2.8896000000000006</v>
      </c>
      <c r="AG402">
        <v>39276</v>
      </c>
      <c r="AH402" s="1">
        <v>2.8896000000000006</v>
      </c>
    </row>
    <row r="403" spans="1:34" hidden="1" x14ac:dyDescent="0.25">
      <c r="A403" s="2">
        <v>38557</v>
      </c>
      <c r="B403" s="13" t="s">
        <v>781</v>
      </c>
      <c r="C403" s="14" t="s">
        <v>39</v>
      </c>
      <c r="D403" s="15">
        <v>45313</v>
      </c>
      <c r="E403" s="2">
        <v>0</v>
      </c>
      <c r="F403" s="14" t="s">
        <v>760</v>
      </c>
      <c r="G403" t="s">
        <v>761</v>
      </c>
      <c r="H403" s="14" t="s">
        <v>42</v>
      </c>
      <c r="I403" s="2">
        <v>1</v>
      </c>
      <c r="J403" s="2">
        <v>0</v>
      </c>
      <c r="K403" s="2">
        <v>0</v>
      </c>
      <c r="L403" s="2"/>
      <c r="M403" s="2">
        <v>0</v>
      </c>
      <c r="N403" s="14"/>
      <c r="O403" s="14"/>
      <c r="P403" s="2">
        <v>168.19</v>
      </c>
      <c r="Q403" s="2">
        <v>168.19</v>
      </c>
      <c r="R403" s="2">
        <v>139.6</v>
      </c>
      <c r="S403">
        <f t="shared" si="31"/>
        <v>139.6</v>
      </c>
      <c r="T403" t="s">
        <v>184</v>
      </c>
      <c r="U403" s="1">
        <f t="shared" si="33"/>
        <v>0</v>
      </c>
      <c r="AD403" s="19">
        <v>39277</v>
      </c>
      <c r="AE403">
        <v>30.896000000000004</v>
      </c>
      <c r="AG403">
        <v>39277</v>
      </c>
      <c r="AH403" s="1">
        <v>30.896000000000004</v>
      </c>
    </row>
    <row r="404" spans="1:34" hidden="1" x14ac:dyDescent="0.25">
      <c r="A404" s="2">
        <v>38558</v>
      </c>
      <c r="B404" s="13" t="s">
        <v>782</v>
      </c>
      <c r="C404" s="14" t="s">
        <v>39</v>
      </c>
      <c r="D404" s="15">
        <v>45294</v>
      </c>
      <c r="E404" s="2">
        <v>0</v>
      </c>
      <c r="F404" s="14" t="s">
        <v>783</v>
      </c>
      <c r="G404" t="s">
        <v>784</v>
      </c>
      <c r="H404" s="14" t="s">
        <v>42</v>
      </c>
      <c r="I404" s="2">
        <v>1</v>
      </c>
      <c r="J404" s="2">
        <v>0</v>
      </c>
      <c r="K404" s="2">
        <v>0</v>
      </c>
      <c r="L404" s="2"/>
      <c r="M404" s="2">
        <v>0</v>
      </c>
      <c r="N404" s="14"/>
      <c r="O404" s="14"/>
      <c r="P404" s="2">
        <v>1259.6199999999999</v>
      </c>
      <c r="Q404" s="2">
        <v>1259.6199999999999</v>
      </c>
      <c r="R404" s="2">
        <v>1010.43</v>
      </c>
      <c r="S404">
        <f t="shared" si="31"/>
        <v>1010.43</v>
      </c>
      <c r="T404" t="s">
        <v>47</v>
      </c>
      <c r="U404" s="1">
        <f t="shared" si="33"/>
        <v>21.181149999999995</v>
      </c>
      <c r="AD404" s="19">
        <v>39278</v>
      </c>
      <c r="AE404">
        <v>11.256</v>
      </c>
      <c r="AG404">
        <v>39278</v>
      </c>
      <c r="AH404" s="1">
        <v>11.256</v>
      </c>
    </row>
    <row r="405" spans="1:34" hidden="1" x14ac:dyDescent="0.25">
      <c r="A405" s="2">
        <v>38562</v>
      </c>
      <c r="B405" s="13" t="s">
        <v>785</v>
      </c>
      <c r="C405" s="14" t="s">
        <v>39</v>
      </c>
      <c r="D405" s="15">
        <v>45295</v>
      </c>
      <c r="E405" s="2">
        <v>0</v>
      </c>
      <c r="F405" s="14" t="s">
        <v>786</v>
      </c>
      <c r="G405" t="s">
        <v>787</v>
      </c>
      <c r="H405" s="14" t="s">
        <v>173</v>
      </c>
      <c r="I405" s="2">
        <v>1</v>
      </c>
      <c r="J405" s="2">
        <v>0</v>
      </c>
      <c r="K405" s="2">
        <v>0</v>
      </c>
      <c r="L405" s="2"/>
      <c r="M405" s="2">
        <v>0</v>
      </c>
      <c r="N405" s="14"/>
      <c r="O405" s="14"/>
      <c r="P405" s="2">
        <v>14.24</v>
      </c>
      <c r="Q405" s="2">
        <v>14.24</v>
      </c>
      <c r="R405" s="2">
        <v>13.15</v>
      </c>
      <c r="S405">
        <f t="shared" si="31"/>
        <v>13.15</v>
      </c>
      <c r="T405" t="s">
        <v>140</v>
      </c>
      <c r="U405" s="1">
        <f t="shared" si="33"/>
        <v>8.7199999999999986E-2</v>
      </c>
      <c r="AD405" s="19">
        <v>39281</v>
      </c>
      <c r="AE405">
        <v>24.006400000000006</v>
      </c>
      <c r="AG405">
        <v>39281</v>
      </c>
      <c r="AH405" s="1">
        <v>24.006400000000006</v>
      </c>
    </row>
    <row r="406" spans="1:34" hidden="1" x14ac:dyDescent="0.25">
      <c r="A406" s="2">
        <v>38563</v>
      </c>
      <c r="B406" s="13" t="s">
        <v>788</v>
      </c>
      <c r="C406" s="14" t="s">
        <v>39</v>
      </c>
      <c r="D406" s="15">
        <v>45295</v>
      </c>
      <c r="E406" s="2">
        <v>0</v>
      </c>
      <c r="F406" s="14" t="s">
        <v>686</v>
      </c>
      <c r="G406" t="s">
        <v>687</v>
      </c>
      <c r="H406" s="14" t="s">
        <v>42</v>
      </c>
      <c r="I406" s="2">
        <v>1</v>
      </c>
      <c r="J406" s="2">
        <v>0</v>
      </c>
      <c r="K406" s="2">
        <v>0</v>
      </c>
      <c r="L406" s="2"/>
      <c r="M406" s="2">
        <v>0</v>
      </c>
      <c r="N406" s="14"/>
      <c r="O406" s="14"/>
      <c r="P406" s="2">
        <v>225.35</v>
      </c>
      <c r="Q406" s="2">
        <v>225.35</v>
      </c>
      <c r="R406" s="2">
        <v>185.56</v>
      </c>
      <c r="S406">
        <f t="shared" si="31"/>
        <v>185.56</v>
      </c>
      <c r="T406" t="s">
        <v>132</v>
      </c>
      <c r="U406" s="1">
        <f t="shared" si="33"/>
        <v>3.1831999999999994</v>
      </c>
      <c r="AD406" s="19">
        <v>39282</v>
      </c>
      <c r="AE406">
        <v>19.905600000000003</v>
      </c>
      <c r="AG406">
        <v>39282</v>
      </c>
      <c r="AH406" s="1">
        <v>19.905600000000003</v>
      </c>
    </row>
    <row r="407" spans="1:34" hidden="1" x14ac:dyDescent="0.25">
      <c r="A407" s="2">
        <v>38568</v>
      </c>
      <c r="B407" s="13" t="s">
        <v>789</v>
      </c>
      <c r="C407" s="14" t="s">
        <v>39</v>
      </c>
      <c r="D407" s="15">
        <v>45299</v>
      </c>
      <c r="E407" s="2">
        <v>0</v>
      </c>
      <c r="F407" s="14" t="s">
        <v>790</v>
      </c>
      <c r="G407" t="s">
        <v>791</v>
      </c>
      <c r="H407" s="14" t="s">
        <v>42</v>
      </c>
      <c r="I407" s="2">
        <v>1</v>
      </c>
      <c r="J407" s="2">
        <v>0</v>
      </c>
      <c r="K407" s="2">
        <v>0</v>
      </c>
      <c r="L407" s="2"/>
      <c r="M407" s="2">
        <v>0</v>
      </c>
      <c r="N407" s="14"/>
      <c r="O407" s="14"/>
      <c r="P407" s="2">
        <v>269.74</v>
      </c>
      <c r="Q407" s="2">
        <v>269.74</v>
      </c>
      <c r="R407" s="2">
        <v>186.52</v>
      </c>
      <c r="S407">
        <f t="shared" si="31"/>
        <v>186.52</v>
      </c>
      <c r="T407" t="s">
        <v>47</v>
      </c>
      <c r="U407" s="1">
        <f t="shared" si="33"/>
        <v>7.0737000000000005</v>
      </c>
      <c r="AD407" s="19">
        <v>39284</v>
      </c>
      <c r="AE407">
        <v>4.944</v>
      </c>
      <c r="AG407">
        <v>39284</v>
      </c>
      <c r="AH407" s="1">
        <v>4.944</v>
      </c>
    </row>
    <row r="408" spans="1:34" x14ac:dyDescent="0.25">
      <c r="A408" s="2">
        <v>38571</v>
      </c>
      <c r="B408" s="13" t="s">
        <v>792</v>
      </c>
      <c r="C408" s="14" t="s">
        <v>39</v>
      </c>
      <c r="D408" s="15">
        <v>45296</v>
      </c>
      <c r="E408" s="2">
        <v>0</v>
      </c>
      <c r="F408" s="14" t="s">
        <v>793</v>
      </c>
      <c r="G408" t="s">
        <v>794</v>
      </c>
      <c r="H408" s="14" t="s">
        <v>93</v>
      </c>
      <c r="I408" s="2">
        <v>8</v>
      </c>
      <c r="J408" s="2">
        <v>0</v>
      </c>
      <c r="K408" s="2">
        <v>0</v>
      </c>
      <c r="L408" s="2"/>
      <c r="M408" s="2">
        <v>0</v>
      </c>
      <c r="N408" s="14"/>
      <c r="O408" s="14"/>
      <c r="P408" s="2">
        <v>220</v>
      </c>
      <c r="Q408" s="2">
        <v>1760</v>
      </c>
      <c r="R408" s="2">
        <v>0</v>
      </c>
      <c r="S408">
        <f t="shared" si="31"/>
        <v>0</v>
      </c>
      <c r="T408" t="s">
        <v>1874</v>
      </c>
      <c r="U408">
        <f>_xlfn.XLOOKUP(T408,$Y$2:$Y$45,$AB$2:$AB$45)*(Q408)</f>
        <v>70.400000000000006</v>
      </c>
      <c r="AD408" s="19">
        <v>39290</v>
      </c>
      <c r="AE408">
        <v>0.34880000000000155</v>
      </c>
      <c r="AG408">
        <v>39290</v>
      </c>
      <c r="AH408" s="1">
        <v>0.34880000000000155</v>
      </c>
    </row>
    <row r="409" spans="1:34" hidden="1" x14ac:dyDescent="0.25">
      <c r="A409" s="2">
        <v>38572</v>
      </c>
      <c r="B409" s="13" t="s">
        <v>795</v>
      </c>
      <c r="C409" s="14" t="s">
        <v>39</v>
      </c>
      <c r="D409" s="15">
        <v>45316</v>
      </c>
      <c r="E409" s="2">
        <v>0</v>
      </c>
      <c r="F409" s="14" t="s">
        <v>796</v>
      </c>
      <c r="G409" t="s">
        <v>797</v>
      </c>
      <c r="H409" s="14" t="s">
        <v>42</v>
      </c>
      <c r="I409" s="2">
        <v>25</v>
      </c>
      <c r="J409" s="2">
        <v>0</v>
      </c>
      <c r="K409" s="2">
        <v>0</v>
      </c>
      <c r="L409" s="2"/>
      <c r="M409" s="2">
        <v>0</v>
      </c>
      <c r="N409" s="14"/>
      <c r="O409" s="14"/>
      <c r="P409" s="2">
        <v>228</v>
      </c>
      <c r="Q409" s="2">
        <v>5700</v>
      </c>
      <c r="R409" s="2">
        <v>196.94</v>
      </c>
      <c r="S409">
        <f t="shared" si="31"/>
        <v>4923.5</v>
      </c>
      <c r="T409" t="s">
        <v>43</v>
      </c>
      <c r="U409" s="1">
        <f t="shared" ref="U409:U416" si="34">_xlfn.XLOOKUP(T409,$Y$2:$Y$45,$AA$2:$AA$45)*(Q409-S409)</f>
        <v>66.002499999999998</v>
      </c>
      <c r="AD409" s="19">
        <v>39292</v>
      </c>
      <c r="AE409">
        <v>5.6328000000000022</v>
      </c>
      <c r="AG409">
        <v>39292</v>
      </c>
      <c r="AH409" s="1">
        <v>5.6328000000000022</v>
      </c>
    </row>
    <row r="410" spans="1:34" hidden="1" x14ac:dyDescent="0.25">
      <c r="A410" s="2">
        <v>38573</v>
      </c>
      <c r="B410" s="13" t="s">
        <v>798</v>
      </c>
      <c r="C410" s="14" t="s">
        <v>39</v>
      </c>
      <c r="D410" s="15">
        <v>45295</v>
      </c>
      <c r="E410" s="2">
        <v>0</v>
      </c>
      <c r="F410" s="14" t="s">
        <v>799</v>
      </c>
      <c r="G410" t="s">
        <v>800</v>
      </c>
      <c r="H410" s="14" t="s">
        <v>42</v>
      </c>
      <c r="I410" s="2">
        <v>1</v>
      </c>
      <c r="J410" s="2">
        <v>0</v>
      </c>
      <c r="K410" s="2">
        <v>0</v>
      </c>
      <c r="L410" s="2"/>
      <c r="M410" s="2">
        <v>0</v>
      </c>
      <c r="N410" s="14"/>
      <c r="O410" s="14"/>
      <c r="P410" s="2">
        <v>1076</v>
      </c>
      <c r="Q410" s="2">
        <v>1076</v>
      </c>
      <c r="R410" s="2">
        <v>882.65</v>
      </c>
      <c r="S410">
        <f t="shared" si="31"/>
        <v>882.65</v>
      </c>
      <c r="T410" t="s">
        <v>43</v>
      </c>
      <c r="U410" s="1">
        <f t="shared" si="34"/>
        <v>16.434750000000005</v>
      </c>
      <c r="AD410" s="19">
        <v>39293</v>
      </c>
      <c r="AE410">
        <v>19.910399999999999</v>
      </c>
      <c r="AG410">
        <v>39293</v>
      </c>
      <c r="AH410" s="1">
        <v>19.910399999999999</v>
      </c>
    </row>
    <row r="411" spans="1:34" hidden="1" x14ac:dyDescent="0.25">
      <c r="A411" s="2">
        <v>38577</v>
      </c>
      <c r="B411" s="13" t="s">
        <v>801</v>
      </c>
      <c r="C411" s="14" t="s">
        <v>39</v>
      </c>
      <c r="D411" s="15">
        <v>45296</v>
      </c>
      <c r="E411" s="2">
        <v>0</v>
      </c>
      <c r="F411" s="14" t="s">
        <v>802</v>
      </c>
      <c r="G411" t="s">
        <v>803</v>
      </c>
      <c r="H411" s="14" t="s">
        <v>42</v>
      </c>
      <c r="I411" s="2">
        <v>496</v>
      </c>
      <c r="J411" s="2">
        <v>0</v>
      </c>
      <c r="K411" s="2">
        <v>0</v>
      </c>
      <c r="L411" s="2"/>
      <c r="M411" s="2">
        <v>0</v>
      </c>
      <c r="N411" s="14"/>
      <c r="O411" s="14"/>
      <c r="P411" s="2">
        <v>1</v>
      </c>
      <c r="Q411" s="2">
        <v>496</v>
      </c>
      <c r="R411" s="2">
        <v>0.82</v>
      </c>
      <c r="S411">
        <f t="shared" si="31"/>
        <v>406.71999999999997</v>
      </c>
      <c r="T411" t="s">
        <v>107</v>
      </c>
      <c r="U411" s="1">
        <f t="shared" si="34"/>
        <v>3.571200000000001</v>
      </c>
      <c r="AD411" s="19">
        <v>39307</v>
      </c>
      <c r="AE411">
        <v>22.529250000000005</v>
      </c>
      <c r="AG411">
        <v>39307</v>
      </c>
      <c r="AH411" s="1">
        <v>22.529250000000005</v>
      </c>
    </row>
    <row r="412" spans="1:34" hidden="1" x14ac:dyDescent="0.25">
      <c r="A412" s="2">
        <v>38577</v>
      </c>
      <c r="B412" s="13" t="s">
        <v>801</v>
      </c>
      <c r="C412" s="14" t="s">
        <v>39</v>
      </c>
      <c r="D412" s="15">
        <v>45296</v>
      </c>
      <c r="E412" s="2">
        <v>0</v>
      </c>
      <c r="F412" s="14" t="s">
        <v>804</v>
      </c>
      <c r="G412" t="s">
        <v>805</v>
      </c>
      <c r="H412" s="14" t="s">
        <v>42</v>
      </c>
      <c r="I412" s="2">
        <v>25</v>
      </c>
      <c r="J412" s="2">
        <v>0</v>
      </c>
      <c r="K412" s="2">
        <v>0</v>
      </c>
      <c r="L412" s="2"/>
      <c r="M412" s="2">
        <v>0</v>
      </c>
      <c r="N412" s="14"/>
      <c r="O412" s="14"/>
      <c r="P412" s="2">
        <v>11.29</v>
      </c>
      <c r="Q412" s="2">
        <v>282.25</v>
      </c>
      <c r="R412" s="2">
        <v>7.91</v>
      </c>
      <c r="S412">
        <f t="shared" si="31"/>
        <v>197.75</v>
      </c>
      <c r="T412" t="s">
        <v>107</v>
      </c>
      <c r="U412" s="1">
        <f t="shared" si="34"/>
        <v>3.38</v>
      </c>
      <c r="AD412" s="19">
        <v>39308</v>
      </c>
      <c r="AE412">
        <v>43.171199999999999</v>
      </c>
      <c r="AG412">
        <v>39308</v>
      </c>
      <c r="AH412" s="1">
        <v>43.171199999999999</v>
      </c>
    </row>
    <row r="413" spans="1:34" hidden="1" x14ac:dyDescent="0.25">
      <c r="A413" s="2">
        <v>38581</v>
      </c>
      <c r="B413" s="13" t="s">
        <v>806</v>
      </c>
      <c r="C413" s="14" t="s">
        <v>39</v>
      </c>
      <c r="D413" s="15">
        <v>45320</v>
      </c>
      <c r="E413" s="2">
        <v>0</v>
      </c>
      <c r="F413" s="14" t="s">
        <v>115</v>
      </c>
      <c r="G413" t="s">
        <v>807</v>
      </c>
      <c r="H413" s="14" t="s">
        <v>42</v>
      </c>
      <c r="I413" s="2">
        <v>1</v>
      </c>
      <c r="J413" s="2">
        <v>0</v>
      </c>
      <c r="K413" s="2">
        <v>0</v>
      </c>
      <c r="L413" s="2"/>
      <c r="M413" s="2">
        <v>0</v>
      </c>
      <c r="N413" s="14"/>
      <c r="O413" s="14"/>
      <c r="P413" s="2">
        <v>60</v>
      </c>
      <c r="Q413" s="2">
        <v>60</v>
      </c>
      <c r="R413" s="2">
        <v>48.34</v>
      </c>
      <c r="S413">
        <f t="shared" si="31"/>
        <v>48.34</v>
      </c>
      <c r="T413" t="s">
        <v>147</v>
      </c>
      <c r="U413" s="1">
        <f t="shared" si="34"/>
        <v>0.93279999999999974</v>
      </c>
      <c r="AD413" s="19">
        <v>39309</v>
      </c>
      <c r="AE413">
        <v>3.0022000000000046</v>
      </c>
      <c r="AG413">
        <v>39309</v>
      </c>
      <c r="AH413" s="1">
        <v>3.0022000000000046</v>
      </c>
    </row>
    <row r="414" spans="1:34" hidden="1" x14ac:dyDescent="0.25">
      <c r="A414" s="2">
        <v>38581</v>
      </c>
      <c r="B414" s="13" t="s">
        <v>806</v>
      </c>
      <c r="C414" s="14" t="s">
        <v>39</v>
      </c>
      <c r="D414" s="15">
        <v>45320</v>
      </c>
      <c r="E414" s="2">
        <v>0</v>
      </c>
      <c r="F414" s="14" t="s">
        <v>115</v>
      </c>
      <c r="G414" t="s">
        <v>808</v>
      </c>
      <c r="H414" s="14" t="s">
        <v>42</v>
      </c>
      <c r="I414" s="2">
        <v>1</v>
      </c>
      <c r="J414" s="2">
        <v>0</v>
      </c>
      <c r="K414" s="2">
        <v>0</v>
      </c>
      <c r="L414" s="2"/>
      <c r="M414" s="2">
        <v>0</v>
      </c>
      <c r="N414" s="14"/>
      <c r="O414" s="14"/>
      <c r="P414" s="2">
        <v>24</v>
      </c>
      <c r="Q414" s="2">
        <v>24</v>
      </c>
      <c r="R414" s="2">
        <v>19.329999999999998</v>
      </c>
      <c r="S414">
        <f t="shared" si="31"/>
        <v>19.329999999999998</v>
      </c>
      <c r="T414" t="s">
        <v>147</v>
      </c>
      <c r="U414" s="1">
        <f t="shared" si="34"/>
        <v>0.37360000000000015</v>
      </c>
      <c r="AD414" s="19">
        <v>39313</v>
      </c>
      <c r="AE414">
        <v>45.127199999999988</v>
      </c>
      <c r="AG414">
        <v>39313</v>
      </c>
      <c r="AH414" s="1">
        <v>45.127199999999988</v>
      </c>
    </row>
    <row r="415" spans="1:34" hidden="1" x14ac:dyDescent="0.25">
      <c r="A415" s="2">
        <v>38582</v>
      </c>
      <c r="B415" s="13" t="s">
        <v>524</v>
      </c>
      <c r="C415" s="14" t="s">
        <v>39</v>
      </c>
      <c r="D415" s="15">
        <v>45296</v>
      </c>
      <c r="E415" s="2">
        <v>0</v>
      </c>
      <c r="F415" s="14" t="s">
        <v>809</v>
      </c>
      <c r="G415" t="s">
        <v>810</v>
      </c>
      <c r="H415" s="14" t="s">
        <v>42</v>
      </c>
      <c r="I415" s="2">
        <v>1</v>
      </c>
      <c r="J415" s="2">
        <v>0</v>
      </c>
      <c r="K415" s="2">
        <v>0</v>
      </c>
      <c r="L415" s="2"/>
      <c r="M415" s="2">
        <v>0</v>
      </c>
      <c r="N415" s="14"/>
      <c r="O415" s="14"/>
      <c r="P415" s="2">
        <v>68.099999999999994</v>
      </c>
      <c r="Q415" s="2">
        <v>68.099999999999994</v>
      </c>
      <c r="R415" s="2">
        <v>54.48</v>
      </c>
      <c r="S415">
        <f t="shared" si="31"/>
        <v>54.48</v>
      </c>
      <c r="T415" t="s">
        <v>107</v>
      </c>
      <c r="U415" s="1">
        <f t="shared" si="34"/>
        <v>0.54479999999999995</v>
      </c>
      <c r="AD415" s="19">
        <v>39316</v>
      </c>
      <c r="AE415">
        <v>72</v>
      </c>
      <c r="AG415">
        <v>39316</v>
      </c>
      <c r="AH415" s="1">
        <v>72</v>
      </c>
    </row>
    <row r="416" spans="1:34" hidden="1" x14ac:dyDescent="0.25">
      <c r="A416" s="2">
        <v>38586</v>
      </c>
      <c r="B416" s="13" t="s">
        <v>811</v>
      </c>
      <c r="C416" s="14" t="s">
        <v>39</v>
      </c>
      <c r="D416" s="15">
        <v>45295</v>
      </c>
      <c r="E416" s="2">
        <v>0</v>
      </c>
      <c r="F416" s="14" t="s">
        <v>812</v>
      </c>
      <c r="G416" t="s">
        <v>813</v>
      </c>
      <c r="H416" s="14" t="s">
        <v>42</v>
      </c>
      <c r="I416" s="2">
        <v>1</v>
      </c>
      <c r="J416" s="2">
        <v>0</v>
      </c>
      <c r="K416" s="2">
        <v>0</v>
      </c>
      <c r="L416" s="2"/>
      <c r="M416" s="2">
        <v>0</v>
      </c>
      <c r="N416" s="14"/>
      <c r="O416" s="14"/>
      <c r="P416" s="2">
        <v>925.35</v>
      </c>
      <c r="Q416" s="2">
        <v>925.35</v>
      </c>
      <c r="R416" s="2">
        <v>860.58</v>
      </c>
      <c r="S416">
        <f t="shared" si="31"/>
        <v>860.58</v>
      </c>
      <c r="T416" t="s">
        <v>184</v>
      </c>
      <c r="U416" s="1">
        <f t="shared" si="34"/>
        <v>0</v>
      </c>
      <c r="AD416" s="19">
        <v>39320</v>
      </c>
      <c r="AE416">
        <v>0</v>
      </c>
      <c r="AG416">
        <v>39320</v>
      </c>
      <c r="AH416" s="1">
        <v>0</v>
      </c>
    </row>
    <row r="417" spans="1:34" x14ac:dyDescent="0.25">
      <c r="A417" s="2">
        <v>38586</v>
      </c>
      <c r="B417" s="13" t="s">
        <v>811</v>
      </c>
      <c r="C417" s="14" t="s">
        <v>39</v>
      </c>
      <c r="D417" s="15">
        <v>45295</v>
      </c>
      <c r="E417" s="2">
        <v>0</v>
      </c>
      <c r="F417" s="14" t="s">
        <v>260</v>
      </c>
      <c r="G417" t="s">
        <v>279</v>
      </c>
      <c r="H417" s="14" t="s">
        <v>93</v>
      </c>
      <c r="I417" s="2">
        <v>1</v>
      </c>
      <c r="J417" s="2">
        <v>0</v>
      </c>
      <c r="K417" s="2">
        <v>0</v>
      </c>
      <c r="L417" s="2"/>
      <c r="M417" s="2">
        <v>0</v>
      </c>
      <c r="N417" s="14"/>
      <c r="O417" s="14"/>
      <c r="P417" s="2">
        <v>200</v>
      </c>
      <c r="Q417" s="2">
        <v>200</v>
      </c>
      <c r="R417" s="2">
        <v>0</v>
      </c>
      <c r="S417">
        <f t="shared" si="31"/>
        <v>0</v>
      </c>
      <c r="T417" t="s">
        <v>184</v>
      </c>
      <c r="U417">
        <f>_xlfn.XLOOKUP(T417,$Y$2:$Y$45,$AB$2:$AB$45)*(Q417)</f>
        <v>0</v>
      </c>
      <c r="AD417" s="19">
        <v>39324</v>
      </c>
      <c r="AE417">
        <v>5.579200000000001</v>
      </c>
      <c r="AG417">
        <v>39324</v>
      </c>
      <c r="AH417" s="1">
        <v>5.579200000000001</v>
      </c>
    </row>
    <row r="418" spans="1:34" hidden="1" x14ac:dyDescent="0.25">
      <c r="A418" s="2">
        <v>38586</v>
      </c>
      <c r="B418" s="13" t="s">
        <v>811</v>
      </c>
      <c r="C418" s="14" t="s">
        <v>39</v>
      </c>
      <c r="D418" s="15">
        <v>45295</v>
      </c>
      <c r="E418" s="2">
        <v>0</v>
      </c>
      <c r="F418" s="14" t="s">
        <v>699</v>
      </c>
      <c r="G418" t="s">
        <v>631</v>
      </c>
      <c r="H418" s="14" t="s">
        <v>42</v>
      </c>
      <c r="I418" s="2">
        <v>1</v>
      </c>
      <c r="J418" s="2">
        <v>0</v>
      </c>
      <c r="K418" s="2">
        <v>0</v>
      </c>
      <c r="L418" s="2"/>
      <c r="M418" s="2">
        <v>0</v>
      </c>
      <c r="N418" s="14"/>
      <c r="O418" s="14"/>
      <c r="P418" s="2">
        <v>4</v>
      </c>
      <c r="Q418" s="2">
        <v>4</v>
      </c>
      <c r="R418" s="2">
        <v>4</v>
      </c>
      <c r="S418">
        <f t="shared" si="31"/>
        <v>4</v>
      </c>
      <c r="T418" t="s">
        <v>184</v>
      </c>
      <c r="U418" s="1">
        <f t="shared" ref="U418:U430" si="35">_xlfn.XLOOKUP(T418,$Y$2:$Y$45,$AA$2:$AA$45)*(Q418-S418)</f>
        <v>0</v>
      </c>
      <c r="AD418" s="19">
        <v>39326</v>
      </c>
      <c r="AE418">
        <v>21.548000000000002</v>
      </c>
      <c r="AG418">
        <v>39326</v>
      </c>
      <c r="AH418" s="1">
        <v>21.548000000000002</v>
      </c>
    </row>
    <row r="419" spans="1:34" hidden="1" x14ac:dyDescent="0.25">
      <c r="A419" s="2">
        <v>38587</v>
      </c>
      <c r="B419" s="13" t="s">
        <v>801</v>
      </c>
      <c r="C419" s="14" t="s">
        <v>39</v>
      </c>
      <c r="D419" s="15">
        <v>45296</v>
      </c>
      <c r="E419" s="2">
        <v>0</v>
      </c>
      <c r="F419" s="14" t="s">
        <v>814</v>
      </c>
      <c r="G419" t="s">
        <v>815</v>
      </c>
      <c r="H419" s="14" t="s">
        <v>42</v>
      </c>
      <c r="I419" s="2">
        <v>25</v>
      </c>
      <c r="J419" s="2">
        <v>0</v>
      </c>
      <c r="K419" s="2">
        <v>0</v>
      </c>
      <c r="L419" s="2"/>
      <c r="M419" s="2">
        <v>0</v>
      </c>
      <c r="N419" s="14"/>
      <c r="O419" s="14"/>
      <c r="P419" s="2">
        <v>6.45</v>
      </c>
      <c r="Q419" s="2">
        <v>161.25</v>
      </c>
      <c r="R419" s="2">
        <v>3.42</v>
      </c>
      <c r="S419">
        <f t="shared" si="31"/>
        <v>85.5</v>
      </c>
      <c r="T419" t="s">
        <v>107</v>
      </c>
      <c r="U419" s="1">
        <f t="shared" si="35"/>
        <v>3.0300000000000002</v>
      </c>
      <c r="AD419" s="19">
        <v>39327</v>
      </c>
      <c r="AE419">
        <v>9.3216000000000001</v>
      </c>
      <c r="AG419">
        <v>39327</v>
      </c>
      <c r="AH419" s="1">
        <v>9.3216000000000001</v>
      </c>
    </row>
    <row r="420" spans="1:34" hidden="1" x14ac:dyDescent="0.25">
      <c r="A420" s="2">
        <v>38587</v>
      </c>
      <c r="B420" s="13" t="s">
        <v>801</v>
      </c>
      <c r="C420" s="14" t="s">
        <v>39</v>
      </c>
      <c r="D420" s="15">
        <v>45296</v>
      </c>
      <c r="E420" s="2">
        <v>0</v>
      </c>
      <c r="F420" s="14" t="s">
        <v>802</v>
      </c>
      <c r="G420" t="s">
        <v>816</v>
      </c>
      <c r="H420" s="14" t="s">
        <v>42</v>
      </c>
      <c r="I420" s="2">
        <v>152</v>
      </c>
      <c r="J420" s="2">
        <v>0</v>
      </c>
      <c r="K420" s="2">
        <v>0</v>
      </c>
      <c r="L420" s="2"/>
      <c r="M420" s="2">
        <v>0</v>
      </c>
      <c r="N420" s="14"/>
      <c r="O420" s="14"/>
      <c r="P420" s="2">
        <v>1</v>
      </c>
      <c r="Q420" s="2">
        <v>152</v>
      </c>
      <c r="R420" s="2">
        <v>0.8</v>
      </c>
      <c r="S420">
        <f t="shared" si="31"/>
        <v>121.60000000000001</v>
      </c>
      <c r="T420" t="s">
        <v>107</v>
      </c>
      <c r="U420" s="1">
        <f t="shared" si="35"/>
        <v>1.2159999999999997</v>
      </c>
      <c r="AD420" s="19">
        <v>39330</v>
      </c>
      <c r="AE420">
        <v>0.50159999999999971</v>
      </c>
      <c r="AG420">
        <v>39330</v>
      </c>
      <c r="AH420" s="1">
        <v>0.50159999999999971</v>
      </c>
    </row>
    <row r="421" spans="1:34" hidden="1" x14ac:dyDescent="0.25">
      <c r="A421" s="2">
        <v>38587</v>
      </c>
      <c r="B421" s="13" t="s">
        <v>801</v>
      </c>
      <c r="C421" s="14" t="s">
        <v>39</v>
      </c>
      <c r="D421" s="15">
        <v>45296</v>
      </c>
      <c r="E421" s="2">
        <v>0</v>
      </c>
      <c r="F421" s="14" t="s">
        <v>802</v>
      </c>
      <c r="G421" t="s">
        <v>816</v>
      </c>
      <c r="H421" s="14" t="s">
        <v>42</v>
      </c>
      <c r="I421" s="2">
        <v>496</v>
      </c>
      <c r="J421" s="2">
        <v>0</v>
      </c>
      <c r="K421" s="2">
        <v>0</v>
      </c>
      <c r="L421" s="2"/>
      <c r="M421" s="2">
        <v>0</v>
      </c>
      <c r="N421" s="14"/>
      <c r="O421" s="14"/>
      <c r="P421" s="2">
        <v>1</v>
      </c>
      <c r="Q421" s="2">
        <v>496</v>
      </c>
      <c r="R421" s="2">
        <v>0.8</v>
      </c>
      <c r="S421">
        <f t="shared" si="31"/>
        <v>396.8</v>
      </c>
      <c r="T421" t="s">
        <v>107</v>
      </c>
      <c r="U421" s="1">
        <f t="shared" si="35"/>
        <v>3.9679999999999995</v>
      </c>
      <c r="AD421" s="19">
        <v>39336</v>
      </c>
      <c r="AE421">
        <v>75.156800000000004</v>
      </c>
      <c r="AG421">
        <v>39336</v>
      </c>
      <c r="AH421" s="1">
        <v>75.156800000000004</v>
      </c>
    </row>
    <row r="422" spans="1:34" hidden="1" x14ac:dyDescent="0.25">
      <c r="A422" s="2">
        <v>38588</v>
      </c>
      <c r="B422" s="13" t="s">
        <v>817</v>
      </c>
      <c r="C422" s="14" t="s">
        <v>39</v>
      </c>
      <c r="D422" s="15">
        <v>45300</v>
      </c>
      <c r="E422" s="2">
        <v>0</v>
      </c>
      <c r="F422" s="14" t="s">
        <v>725</v>
      </c>
      <c r="G422" t="s">
        <v>726</v>
      </c>
      <c r="H422" s="14" t="s">
        <v>42</v>
      </c>
      <c r="I422" s="2">
        <v>1</v>
      </c>
      <c r="J422" s="2">
        <v>0</v>
      </c>
      <c r="K422" s="2">
        <v>0</v>
      </c>
      <c r="L422" s="2"/>
      <c r="M422" s="2">
        <v>0</v>
      </c>
      <c r="N422" s="14"/>
      <c r="O422" s="14"/>
      <c r="P422" s="2">
        <v>152</v>
      </c>
      <c r="Q422" s="2">
        <v>152</v>
      </c>
      <c r="R422" s="2">
        <v>124.15</v>
      </c>
      <c r="S422">
        <f t="shared" si="31"/>
        <v>124.15</v>
      </c>
      <c r="T422" t="s">
        <v>132</v>
      </c>
      <c r="U422" s="1">
        <f t="shared" si="35"/>
        <v>2.2279999999999998</v>
      </c>
      <c r="AD422" s="19">
        <v>39338</v>
      </c>
      <c r="AE422">
        <v>56.765999999999998</v>
      </c>
      <c r="AG422">
        <v>39338</v>
      </c>
      <c r="AH422" s="1">
        <v>56.765999999999998</v>
      </c>
    </row>
    <row r="423" spans="1:34" hidden="1" x14ac:dyDescent="0.25">
      <c r="A423" s="2">
        <v>38588</v>
      </c>
      <c r="B423" s="13" t="s">
        <v>817</v>
      </c>
      <c r="C423" s="14" t="s">
        <v>39</v>
      </c>
      <c r="D423" s="15">
        <v>45300</v>
      </c>
      <c r="E423" s="2">
        <v>0</v>
      </c>
      <c r="F423" s="14" t="s">
        <v>818</v>
      </c>
      <c r="G423" t="s">
        <v>819</v>
      </c>
      <c r="H423" s="14" t="s">
        <v>42</v>
      </c>
      <c r="I423" s="2">
        <v>1</v>
      </c>
      <c r="J423" s="2">
        <v>0</v>
      </c>
      <c r="K423" s="2">
        <v>0</v>
      </c>
      <c r="L423" s="2"/>
      <c r="M423" s="2">
        <v>0</v>
      </c>
      <c r="N423" s="14"/>
      <c r="O423" s="14"/>
      <c r="P423" s="2">
        <v>1095</v>
      </c>
      <c r="Q423" s="2">
        <v>1095</v>
      </c>
      <c r="R423" s="2">
        <v>897.27</v>
      </c>
      <c r="S423">
        <f t="shared" si="31"/>
        <v>897.27</v>
      </c>
      <c r="T423" t="s">
        <v>132</v>
      </c>
      <c r="U423" s="1">
        <f t="shared" si="35"/>
        <v>15.818400000000002</v>
      </c>
      <c r="AD423" s="19">
        <v>39340</v>
      </c>
      <c r="AE423">
        <v>10.220000000000001</v>
      </c>
      <c r="AG423">
        <v>39340</v>
      </c>
      <c r="AH423" s="1">
        <v>10.220000000000001</v>
      </c>
    </row>
    <row r="424" spans="1:34" hidden="1" x14ac:dyDescent="0.25">
      <c r="A424" s="2">
        <v>38590</v>
      </c>
      <c r="B424" s="13" t="s">
        <v>820</v>
      </c>
      <c r="C424" s="14" t="s">
        <v>39</v>
      </c>
      <c r="D424" s="15">
        <v>45296</v>
      </c>
      <c r="E424" s="2">
        <v>0</v>
      </c>
      <c r="F424" s="14" t="s">
        <v>429</v>
      </c>
      <c r="G424" t="s">
        <v>665</v>
      </c>
      <c r="H424" s="14" t="s">
        <v>42</v>
      </c>
      <c r="I424" s="2">
        <v>1</v>
      </c>
      <c r="J424" s="2">
        <v>0</v>
      </c>
      <c r="K424" s="2">
        <v>0</v>
      </c>
      <c r="L424" s="2"/>
      <c r="M424" s="2">
        <v>0</v>
      </c>
      <c r="N424" s="14"/>
      <c r="O424" s="14"/>
      <c r="P424" s="2">
        <v>37</v>
      </c>
      <c r="Q424" s="2">
        <v>37</v>
      </c>
      <c r="R424" s="2">
        <v>0</v>
      </c>
      <c r="S424">
        <f t="shared" si="31"/>
        <v>0</v>
      </c>
      <c r="T424" t="s">
        <v>140</v>
      </c>
      <c r="U424" s="1">
        <f t="shared" si="35"/>
        <v>2.96</v>
      </c>
      <c r="AD424" s="19">
        <v>39343</v>
      </c>
      <c r="AE424">
        <v>82.806000000000012</v>
      </c>
      <c r="AG424">
        <v>39343</v>
      </c>
      <c r="AH424" s="1">
        <v>82.806000000000012</v>
      </c>
    </row>
    <row r="425" spans="1:34" hidden="1" x14ac:dyDescent="0.25">
      <c r="A425" s="2">
        <v>38590</v>
      </c>
      <c r="B425" s="13" t="s">
        <v>820</v>
      </c>
      <c r="C425" s="14" t="s">
        <v>39</v>
      </c>
      <c r="D425" s="15">
        <v>45296</v>
      </c>
      <c r="E425" s="2">
        <v>0</v>
      </c>
      <c r="F425" s="14" t="s">
        <v>821</v>
      </c>
      <c r="G425" t="s">
        <v>822</v>
      </c>
      <c r="H425" s="14" t="s">
        <v>42</v>
      </c>
      <c r="I425" s="2">
        <v>5</v>
      </c>
      <c r="J425" s="2">
        <v>0</v>
      </c>
      <c r="K425" s="2">
        <v>0</v>
      </c>
      <c r="L425" s="2"/>
      <c r="M425" s="2">
        <v>0</v>
      </c>
      <c r="N425" s="14"/>
      <c r="O425" s="14"/>
      <c r="P425" s="2">
        <v>5</v>
      </c>
      <c r="Q425" s="2">
        <v>25</v>
      </c>
      <c r="R425" s="2">
        <v>0</v>
      </c>
      <c r="S425">
        <f t="shared" si="31"/>
        <v>0</v>
      </c>
      <c r="T425" t="s">
        <v>140</v>
      </c>
      <c r="U425" s="1">
        <f t="shared" si="35"/>
        <v>2</v>
      </c>
      <c r="AD425" s="19">
        <v>39348</v>
      </c>
      <c r="AE425">
        <v>11.575299999999997</v>
      </c>
      <c r="AG425">
        <v>39348</v>
      </c>
      <c r="AH425" s="1">
        <v>11.575299999999997</v>
      </c>
    </row>
    <row r="426" spans="1:34" hidden="1" x14ac:dyDescent="0.25">
      <c r="A426" s="2">
        <v>38590</v>
      </c>
      <c r="B426" s="13" t="s">
        <v>820</v>
      </c>
      <c r="C426" s="14" t="s">
        <v>39</v>
      </c>
      <c r="D426" s="15">
        <v>45296</v>
      </c>
      <c r="E426" s="2">
        <v>0</v>
      </c>
      <c r="F426" s="14" t="s">
        <v>823</v>
      </c>
      <c r="G426" t="s">
        <v>824</v>
      </c>
      <c r="H426" s="14" t="s">
        <v>42</v>
      </c>
      <c r="I426" s="2">
        <v>5</v>
      </c>
      <c r="J426" s="2">
        <v>0</v>
      </c>
      <c r="K426" s="2">
        <v>0</v>
      </c>
      <c r="L426" s="2"/>
      <c r="M426" s="2">
        <v>0</v>
      </c>
      <c r="N426" s="14"/>
      <c r="O426" s="14"/>
      <c r="P426" s="2">
        <v>1495</v>
      </c>
      <c r="Q426" s="2">
        <v>7475</v>
      </c>
      <c r="R426" s="2">
        <v>1186.1400000000001</v>
      </c>
      <c r="S426">
        <f t="shared" si="31"/>
        <v>5930.7000000000007</v>
      </c>
      <c r="T426" t="s">
        <v>140</v>
      </c>
      <c r="U426" s="1">
        <f t="shared" si="35"/>
        <v>123.54399999999994</v>
      </c>
      <c r="AD426" s="19">
        <v>39351</v>
      </c>
      <c r="AE426">
        <v>7.1608000000000001</v>
      </c>
      <c r="AG426">
        <v>39351</v>
      </c>
      <c r="AH426" s="1">
        <v>7.1608000000000001</v>
      </c>
    </row>
    <row r="427" spans="1:34" hidden="1" x14ac:dyDescent="0.25">
      <c r="A427" s="2">
        <v>38591</v>
      </c>
      <c r="B427" s="13" t="s">
        <v>825</v>
      </c>
      <c r="C427" s="14" t="s">
        <v>39</v>
      </c>
      <c r="D427" s="15">
        <v>45299</v>
      </c>
      <c r="E427" s="2">
        <v>0</v>
      </c>
      <c r="F427" s="14" t="s">
        <v>826</v>
      </c>
      <c r="G427" t="s">
        <v>827</v>
      </c>
      <c r="H427" s="14" t="s">
        <v>42</v>
      </c>
      <c r="I427" s="2">
        <v>1</v>
      </c>
      <c r="J427" s="2">
        <v>0</v>
      </c>
      <c r="K427" s="2">
        <v>0</v>
      </c>
      <c r="L427" s="2"/>
      <c r="M427" s="2">
        <v>0</v>
      </c>
      <c r="N427" s="14"/>
      <c r="O427" s="14"/>
      <c r="P427" s="2">
        <v>65</v>
      </c>
      <c r="Q427" s="2">
        <v>65</v>
      </c>
      <c r="R427" s="2">
        <v>41.25</v>
      </c>
      <c r="S427">
        <f t="shared" si="31"/>
        <v>41.25</v>
      </c>
      <c r="T427" t="s">
        <v>107</v>
      </c>
      <c r="U427" s="1">
        <f t="shared" si="35"/>
        <v>0.95000000000000007</v>
      </c>
      <c r="AD427" s="19">
        <v>39356</v>
      </c>
      <c r="AE427">
        <v>36.795200000000008</v>
      </c>
      <c r="AG427">
        <v>39356</v>
      </c>
      <c r="AH427" s="1">
        <v>36.795200000000008</v>
      </c>
    </row>
    <row r="428" spans="1:34" hidden="1" x14ac:dyDescent="0.25">
      <c r="A428" s="2">
        <v>38592</v>
      </c>
      <c r="B428" s="13" t="s">
        <v>828</v>
      </c>
      <c r="C428" s="14" t="s">
        <v>39</v>
      </c>
      <c r="D428" s="15">
        <v>45303</v>
      </c>
      <c r="E428" s="2">
        <v>0</v>
      </c>
      <c r="F428" s="14" t="s">
        <v>829</v>
      </c>
      <c r="G428" t="s">
        <v>830</v>
      </c>
      <c r="H428" s="14" t="s">
        <v>42</v>
      </c>
      <c r="I428" s="2">
        <v>1</v>
      </c>
      <c r="J428" s="2">
        <v>0</v>
      </c>
      <c r="K428" s="2">
        <v>0</v>
      </c>
      <c r="L428" s="2"/>
      <c r="M428" s="2">
        <v>0</v>
      </c>
      <c r="N428" s="14"/>
      <c r="O428" s="14"/>
      <c r="P428" s="2">
        <v>37.880000000000003</v>
      </c>
      <c r="Q428" s="2">
        <v>37.880000000000003</v>
      </c>
      <c r="R428" s="2">
        <v>35.99</v>
      </c>
      <c r="S428">
        <f t="shared" si="31"/>
        <v>35.99</v>
      </c>
      <c r="T428" t="s">
        <v>184</v>
      </c>
      <c r="U428" s="1">
        <f t="shared" si="35"/>
        <v>0</v>
      </c>
      <c r="AD428" s="19">
        <v>39357</v>
      </c>
      <c r="AE428">
        <v>0</v>
      </c>
      <c r="AG428">
        <v>39357</v>
      </c>
      <c r="AH428" s="1">
        <v>0</v>
      </c>
    </row>
    <row r="429" spans="1:34" hidden="1" x14ac:dyDescent="0.25">
      <c r="A429" s="2">
        <v>38594</v>
      </c>
      <c r="B429" s="13" t="s">
        <v>831</v>
      </c>
      <c r="C429" s="14" t="s">
        <v>39</v>
      </c>
      <c r="D429" s="15">
        <v>45309</v>
      </c>
      <c r="E429" s="2">
        <v>0</v>
      </c>
      <c r="F429" s="14" t="s">
        <v>832</v>
      </c>
      <c r="G429" t="s">
        <v>833</v>
      </c>
      <c r="H429" s="14" t="s">
        <v>42</v>
      </c>
      <c r="I429" s="2">
        <v>2</v>
      </c>
      <c r="J429" s="2">
        <v>0</v>
      </c>
      <c r="K429" s="2">
        <v>0</v>
      </c>
      <c r="L429" s="2"/>
      <c r="M429" s="2">
        <v>0</v>
      </c>
      <c r="N429" s="14"/>
      <c r="O429" s="14"/>
      <c r="P429" s="2">
        <v>1247</v>
      </c>
      <c r="Q429" s="2">
        <v>2494</v>
      </c>
      <c r="R429" s="2">
        <v>1022.09</v>
      </c>
      <c r="S429">
        <f t="shared" si="31"/>
        <v>2044.18</v>
      </c>
      <c r="T429" t="s">
        <v>1874</v>
      </c>
      <c r="U429" s="1">
        <f t="shared" si="35"/>
        <v>35.985599999999998</v>
      </c>
      <c r="AD429" s="19">
        <v>39361</v>
      </c>
      <c r="AE429">
        <v>1904.2371000000003</v>
      </c>
      <c r="AG429">
        <v>39361</v>
      </c>
      <c r="AH429" s="1">
        <v>1904.2371000000003</v>
      </c>
    </row>
    <row r="430" spans="1:34" hidden="1" x14ac:dyDescent="0.25">
      <c r="A430" s="2">
        <v>38595</v>
      </c>
      <c r="B430" s="13" t="s">
        <v>834</v>
      </c>
      <c r="C430" s="14" t="s">
        <v>39</v>
      </c>
      <c r="D430" s="15">
        <v>45296</v>
      </c>
      <c r="E430" s="2">
        <v>0</v>
      </c>
      <c r="F430" s="14" t="s">
        <v>835</v>
      </c>
      <c r="G430" t="s">
        <v>836</v>
      </c>
      <c r="H430" s="14" t="s">
        <v>42</v>
      </c>
      <c r="I430" s="2">
        <v>1</v>
      </c>
      <c r="J430" s="2">
        <v>0</v>
      </c>
      <c r="K430" s="2">
        <v>0</v>
      </c>
      <c r="L430" s="2"/>
      <c r="M430" s="2">
        <v>0</v>
      </c>
      <c r="N430" s="14"/>
      <c r="O430" s="14"/>
      <c r="P430" s="2">
        <v>2872.49</v>
      </c>
      <c r="Q430" s="2">
        <v>2872.49</v>
      </c>
      <c r="R430" s="2">
        <v>2393.7399999999998</v>
      </c>
      <c r="S430">
        <f t="shared" si="31"/>
        <v>2393.7399999999998</v>
      </c>
      <c r="T430" t="s">
        <v>132</v>
      </c>
      <c r="U430" s="1">
        <f t="shared" si="35"/>
        <v>38.300000000000004</v>
      </c>
      <c r="AD430" s="19">
        <v>39365</v>
      </c>
      <c r="AE430">
        <v>44.805600000000013</v>
      </c>
      <c r="AG430">
        <v>39365</v>
      </c>
      <c r="AH430" s="1">
        <v>44.805600000000013</v>
      </c>
    </row>
    <row r="431" spans="1:34" x14ac:dyDescent="0.25">
      <c r="A431" s="2">
        <v>38595</v>
      </c>
      <c r="B431" s="13" t="s">
        <v>834</v>
      </c>
      <c r="C431" s="14" t="s">
        <v>39</v>
      </c>
      <c r="D431" s="15">
        <v>45296</v>
      </c>
      <c r="E431" s="2">
        <v>0</v>
      </c>
      <c r="F431" s="14" t="s">
        <v>152</v>
      </c>
      <c r="G431" t="s">
        <v>417</v>
      </c>
      <c r="H431" s="14" t="s">
        <v>93</v>
      </c>
      <c r="I431" s="2">
        <v>1</v>
      </c>
      <c r="J431" s="2">
        <v>0</v>
      </c>
      <c r="K431" s="2">
        <v>0</v>
      </c>
      <c r="L431" s="2"/>
      <c r="M431" s="2">
        <v>0</v>
      </c>
      <c r="N431" s="14"/>
      <c r="O431" s="14"/>
      <c r="P431" s="2">
        <v>250</v>
      </c>
      <c r="Q431" s="2">
        <v>250</v>
      </c>
      <c r="R431" s="2">
        <v>0</v>
      </c>
      <c r="S431">
        <f t="shared" si="31"/>
        <v>0</v>
      </c>
      <c r="T431" t="s">
        <v>132</v>
      </c>
      <c r="U431">
        <f>_xlfn.XLOOKUP(T431,$Y$2:$Y$45,$AB$2:$AB$45)*(Q431)</f>
        <v>10</v>
      </c>
      <c r="AD431" s="19">
        <v>39367</v>
      </c>
      <c r="AE431">
        <v>1.1903999999999997</v>
      </c>
      <c r="AG431">
        <v>39367</v>
      </c>
      <c r="AH431" s="1">
        <v>1.1903999999999997</v>
      </c>
    </row>
    <row r="432" spans="1:34" hidden="1" x14ac:dyDescent="0.25">
      <c r="A432" s="2">
        <v>38597</v>
      </c>
      <c r="B432" s="13" t="s">
        <v>837</v>
      </c>
      <c r="C432" s="14" t="s">
        <v>39</v>
      </c>
      <c r="D432" s="15">
        <v>45303</v>
      </c>
      <c r="E432" s="2">
        <v>0</v>
      </c>
      <c r="F432" s="14" t="s">
        <v>838</v>
      </c>
      <c r="G432" t="s">
        <v>839</v>
      </c>
      <c r="H432" s="14" t="s">
        <v>42</v>
      </c>
      <c r="I432" s="2">
        <v>3</v>
      </c>
      <c r="J432" s="2">
        <v>0</v>
      </c>
      <c r="K432" s="2">
        <v>0</v>
      </c>
      <c r="L432" s="2"/>
      <c r="M432" s="2">
        <v>0</v>
      </c>
      <c r="N432" s="14"/>
      <c r="O432" s="14"/>
      <c r="P432" s="2">
        <v>59</v>
      </c>
      <c r="Q432" s="2">
        <v>177</v>
      </c>
      <c r="R432" s="2">
        <v>47.62</v>
      </c>
      <c r="S432">
        <f t="shared" si="31"/>
        <v>142.85999999999999</v>
      </c>
      <c r="T432" t="s">
        <v>1874</v>
      </c>
      <c r="U432" s="1">
        <f>_xlfn.XLOOKUP(T432,$Y$2:$Y$45,$AA$2:$AA$45)*(Q432-S432)</f>
        <v>2.7312000000000012</v>
      </c>
      <c r="AD432" s="19">
        <v>39375</v>
      </c>
      <c r="AE432">
        <v>0</v>
      </c>
      <c r="AG432">
        <v>39375</v>
      </c>
      <c r="AH432" s="1">
        <v>0</v>
      </c>
    </row>
    <row r="433" spans="1:34" x14ac:dyDescent="0.25">
      <c r="A433" s="2">
        <v>38597</v>
      </c>
      <c r="B433" s="13" t="s">
        <v>837</v>
      </c>
      <c r="C433" s="14" t="s">
        <v>39</v>
      </c>
      <c r="D433" s="15">
        <v>45303</v>
      </c>
      <c r="E433" s="2">
        <v>0</v>
      </c>
      <c r="F433" s="14" t="s">
        <v>533</v>
      </c>
      <c r="G433" t="s">
        <v>534</v>
      </c>
      <c r="H433" s="14" t="s">
        <v>93</v>
      </c>
      <c r="I433" s="2">
        <v>1</v>
      </c>
      <c r="J433" s="2">
        <v>0</v>
      </c>
      <c r="K433" s="2">
        <v>0</v>
      </c>
      <c r="L433" s="2"/>
      <c r="M433" s="2">
        <v>0</v>
      </c>
      <c r="N433" s="14"/>
      <c r="O433" s="14"/>
      <c r="P433" s="2">
        <v>149</v>
      </c>
      <c r="Q433" s="2">
        <v>149</v>
      </c>
      <c r="R433" s="2">
        <v>0</v>
      </c>
      <c r="S433">
        <f t="shared" si="31"/>
        <v>0</v>
      </c>
      <c r="T433" t="s">
        <v>1874</v>
      </c>
      <c r="U433">
        <f>_xlfn.XLOOKUP(T433,$Y$2:$Y$45,$AB$2:$AB$45)*(Q433)</f>
        <v>5.96</v>
      </c>
      <c r="AD433" s="19">
        <v>39376</v>
      </c>
      <c r="AE433">
        <v>25.472000000000005</v>
      </c>
      <c r="AG433">
        <v>39376</v>
      </c>
      <c r="AH433" s="1">
        <v>25.472000000000005</v>
      </c>
    </row>
    <row r="434" spans="1:34" hidden="1" x14ac:dyDescent="0.25">
      <c r="A434" s="2">
        <v>38597</v>
      </c>
      <c r="B434" s="13" t="s">
        <v>837</v>
      </c>
      <c r="C434" s="14" t="s">
        <v>39</v>
      </c>
      <c r="D434" s="15">
        <v>45303</v>
      </c>
      <c r="E434" s="2">
        <v>0</v>
      </c>
      <c r="F434" s="14" t="s">
        <v>840</v>
      </c>
      <c r="G434" t="s">
        <v>841</v>
      </c>
      <c r="H434" s="14" t="s">
        <v>42</v>
      </c>
      <c r="I434" s="2">
        <v>1</v>
      </c>
      <c r="J434" s="2">
        <v>0</v>
      </c>
      <c r="K434" s="2">
        <v>0</v>
      </c>
      <c r="L434" s="2"/>
      <c r="M434" s="2">
        <v>0</v>
      </c>
      <c r="N434" s="14"/>
      <c r="O434" s="14"/>
      <c r="P434" s="2">
        <v>2580</v>
      </c>
      <c r="Q434" s="2">
        <v>2580</v>
      </c>
      <c r="R434" s="2">
        <v>2115.33</v>
      </c>
      <c r="S434">
        <f t="shared" si="31"/>
        <v>2115.33</v>
      </c>
      <c r="T434" t="s">
        <v>1874</v>
      </c>
      <c r="U434" s="1">
        <f>_xlfn.XLOOKUP(T434,$Y$2:$Y$45,$AA$2:$AA$45)*(Q434-S434)</f>
        <v>37.173600000000008</v>
      </c>
      <c r="AD434" s="19">
        <v>39377</v>
      </c>
      <c r="AE434">
        <v>0</v>
      </c>
      <c r="AG434">
        <v>39377</v>
      </c>
      <c r="AH434" s="1">
        <v>0</v>
      </c>
    </row>
    <row r="435" spans="1:34" hidden="1" x14ac:dyDescent="0.25">
      <c r="A435" s="2">
        <v>38598</v>
      </c>
      <c r="B435" s="13" t="s">
        <v>842</v>
      </c>
      <c r="C435" s="14" t="s">
        <v>39</v>
      </c>
      <c r="D435" s="15">
        <v>45296</v>
      </c>
      <c r="E435" s="2">
        <v>45</v>
      </c>
      <c r="F435" s="14" t="s">
        <v>134</v>
      </c>
      <c r="G435" t="s">
        <v>135</v>
      </c>
      <c r="H435" s="14" t="s">
        <v>131</v>
      </c>
      <c r="I435" s="2">
        <v>1</v>
      </c>
      <c r="J435" s="2">
        <v>45</v>
      </c>
      <c r="K435" s="2">
        <v>0.97</v>
      </c>
      <c r="L435" s="2"/>
      <c r="M435" s="2">
        <v>45</v>
      </c>
      <c r="N435" s="14"/>
      <c r="O435" s="14"/>
      <c r="P435" s="2">
        <v>300</v>
      </c>
      <c r="Q435" s="2">
        <v>300</v>
      </c>
      <c r="R435" s="2">
        <v>542.70000000000005</v>
      </c>
      <c r="S435">
        <f t="shared" si="31"/>
        <v>542.70000000000005</v>
      </c>
      <c r="T435" t="s">
        <v>43</v>
      </c>
      <c r="U435">
        <f>_xlfn.XLOOKUP(T435,$Y$2:$Y$45,$AB$2:$AB$45)*(Q435)</f>
        <v>12</v>
      </c>
      <c r="AD435" s="19">
        <v>39378</v>
      </c>
      <c r="AE435">
        <v>0</v>
      </c>
      <c r="AG435">
        <v>39378</v>
      </c>
      <c r="AH435" s="1">
        <v>0</v>
      </c>
    </row>
    <row r="436" spans="1:34" hidden="1" x14ac:dyDescent="0.25">
      <c r="A436" s="2">
        <v>38609</v>
      </c>
      <c r="B436" s="13" t="s">
        <v>843</v>
      </c>
      <c r="C436" s="14" t="s">
        <v>39</v>
      </c>
      <c r="D436" s="15">
        <v>45300</v>
      </c>
      <c r="E436" s="2">
        <v>0</v>
      </c>
      <c r="F436" s="14" t="s">
        <v>844</v>
      </c>
      <c r="G436" t="s">
        <v>845</v>
      </c>
      <c r="H436" s="14" t="s">
        <v>42</v>
      </c>
      <c r="I436" s="2">
        <v>8</v>
      </c>
      <c r="J436" s="2">
        <v>0</v>
      </c>
      <c r="K436" s="2">
        <v>0</v>
      </c>
      <c r="L436" s="2"/>
      <c r="M436" s="2">
        <v>0</v>
      </c>
      <c r="N436" s="14"/>
      <c r="O436" s="14"/>
      <c r="P436" s="2">
        <v>184.8</v>
      </c>
      <c r="Q436" s="2">
        <v>1478.4</v>
      </c>
      <c r="R436" s="2">
        <v>138.6</v>
      </c>
      <c r="S436">
        <f t="shared" si="31"/>
        <v>1108.8</v>
      </c>
      <c r="T436" t="s">
        <v>174</v>
      </c>
      <c r="U436" s="1">
        <f>_xlfn.XLOOKUP(T436,$Y$2:$Y$45,$AA$2:$AA$45)*(Q436-S436)</f>
        <v>0</v>
      </c>
      <c r="AD436" s="19">
        <v>39380</v>
      </c>
      <c r="AE436">
        <v>0</v>
      </c>
      <c r="AG436">
        <v>39380</v>
      </c>
      <c r="AH436" s="1">
        <v>0</v>
      </c>
    </row>
    <row r="437" spans="1:34" hidden="1" x14ac:dyDescent="0.25">
      <c r="A437" s="2">
        <v>38609</v>
      </c>
      <c r="B437" s="13" t="s">
        <v>843</v>
      </c>
      <c r="C437" s="14" t="s">
        <v>39</v>
      </c>
      <c r="D437" s="15">
        <v>45300</v>
      </c>
      <c r="E437" s="2">
        <v>0</v>
      </c>
      <c r="F437" s="14" t="s">
        <v>846</v>
      </c>
      <c r="G437" t="s">
        <v>845</v>
      </c>
      <c r="H437" s="14" t="s">
        <v>42</v>
      </c>
      <c r="I437" s="2">
        <v>3</v>
      </c>
      <c r="J437" s="2">
        <v>0</v>
      </c>
      <c r="K437" s="2">
        <v>0</v>
      </c>
      <c r="L437" s="2"/>
      <c r="M437" s="2">
        <v>0</v>
      </c>
      <c r="N437" s="14"/>
      <c r="O437" s="14"/>
      <c r="P437" s="2">
        <v>123.7</v>
      </c>
      <c r="Q437" s="2">
        <v>371.1</v>
      </c>
      <c r="R437" s="2">
        <v>92.78</v>
      </c>
      <c r="S437">
        <f t="shared" si="31"/>
        <v>278.34000000000003</v>
      </c>
      <c r="T437" t="s">
        <v>174</v>
      </c>
      <c r="U437" s="1">
        <f>_xlfn.XLOOKUP(T437,$Y$2:$Y$45,$AA$2:$AA$45)*(Q437-S437)</f>
        <v>0</v>
      </c>
      <c r="AD437" s="19">
        <v>39382</v>
      </c>
      <c r="AE437">
        <v>0</v>
      </c>
      <c r="AG437">
        <v>39382</v>
      </c>
      <c r="AH437" s="1">
        <v>0</v>
      </c>
    </row>
    <row r="438" spans="1:34" hidden="1" x14ac:dyDescent="0.25">
      <c r="A438" s="2">
        <v>38610</v>
      </c>
      <c r="B438" s="13" t="s">
        <v>847</v>
      </c>
      <c r="C438" s="14" t="s">
        <v>39</v>
      </c>
      <c r="D438" s="15">
        <v>45300</v>
      </c>
      <c r="E438" s="2">
        <v>0</v>
      </c>
      <c r="F438" s="14" t="s">
        <v>844</v>
      </c>
      <c r="G438" t="s">
        <v>845</v>
      </c>
      <c r="H438" s="14" t="s">
        <v>42</v>
      </c>
      <c r="I438" s="2">
        <v>10</v>
      </c>
      <c r="J438" s="2">
        <v>0</v>
      </c>
      <c r="K438" s="2">
        <v>0</v>
      </c>
      <c r="L438" s="2"/>
      <c r="M438" s="2">
        <v>0</v>
      </c>
      <c r="N438" s="14"/>
      <c r="O438" s="14"/>
      <c r="P438" s="2">
        <v>184.8</v>
      </c>
      <c r="Q438" s="2">
        <v>1848</v>
      </c>
      <c r="R438" s="2">
        <v>138.6</v>
      </c>
      <c r="S438">
        <f t="shared" si="31"/>
        <v>1386</v>
      </c>
      <c r="T438" t="s">
        <v>174</v>
      </c>
      <c r="U438" s="1">
        <f>_xlfn.XLOOKUP(T438,$Y$2:$Y$45,$AA$2:$AA$45)*(Q438-S438)</f>
        <v>0</v>
      </c>
      <c r="AD438" s="19">
        <v>39383</v>
      </c>
      <c r="AE438">
        <v>0</v>
      </c>
      <c r="AG438">
        <v>39383</v>
      </c>
      <c r="AH438" s="1">
        <v>0</v>
      </c>
    </row>
    <row r="439" spans="1:34" hidden="1" x14ac:dyDescent="0.25">
      <c r="A439" s="2">
        <v>38610</v>
      </c>
      <c r="B439" s="13" t="s">
        <v>847</v>
      </c>
      <c r="C439" s="14" t="s">
        <v>39</v>
      </c>
      <c r="D439" s="15">
        <v>45300</v>
      </c>
      <c r="E439" s="2">
        <v>0</v>
      </c>
      <c r="F439" s="14" t="s">
        <v>846</v>
      </c>
      <c r="G439" t="s">
        <v>845</v>
      </c>
      <c r="H439" s="14" t="s">
        <v>42</v>
      </c>
      <c r="I439" s="2">
        <v>1</v>
      </c>
      <c r="J439" s="2">
        <v>0</v>
      </c>
      <c r="K439" s="2">
        <v>0</v>
      </c>
      <c r="L439" s="2"/>
      <c r="M439" s="2">
        <v>0</v>
      </c>
      <c r="N439" s="14"/>
      <c r="O439" s="14"/>
      <c r="P439" s="2">
        <v>123.7</v>
      </c>
      <c r="Q439" s="2">
        <v>123.7</v>
      </c>
      <c r="R439" s="2">
        <v>92.78</v>
      </c>
      <c r="S439">
        <f t="shared" si="31"/>
        <v>92.78</v>
      </c>
      <c r="T439" t="s">
        <v>174</v>
      </c>
      <c r="U439" s="1">
        <f>_xlfn.XLOOKUP(T439,$Y$2:$Y$45,$AA$2:$AA$45)*(Q439-S439)</f>
        <v>0</v>
      </c>
      <c r="AD439" s="19">
        <v>39386</v>
      </c>
      <c r="AE439">
        <v>0</v>
      </c>
      <c r="AG439">
        <v>39386</v>
      </c>
      <c r="AH439" s="1">
        <v>0</v>
      </c>
    </row>
    <row r="440" spans="1:34" hidden="1" x14ac:dyDescent="0.25">
      <c r="A440" s="2">
        <v>38615</v>
      </c>
      <c r="B440" s="13" t="s">
        <v>848</v>
      </c>
      <c r="C440" s="14" t="s">
        <v>39</v>
      </c>
      <c r="D440" s="15">
        <v>45310</v>
      </c>
      <c r="E440" s="2">
        <v>-445</v>
      </c>
      <c r="F440" s="14" t="s">
        <v>849</v>
      </c>
      <c r="G440" t="s">
        <v>850</v>
      </c>
      <c r="H440" s="14" t="s">
        <v>415</v>
      </c>
      <c r="I440" s="2">
        <v>1</v>
      </c>
      <c r="J440" s="2">
        <v>200</v>
      </c>
      <c r="K440" s="2">
        <v>119.94</v>
      </c>
      <c r="L440" s="2"/>
      <c r="M440" s="2">
        <v>200</v>
      </c>
      <c r="N440" s="14"/>
      <c r="O440" s="14"/>
      <c r="P440" s="2">
        <v>56.35</v>
      </c>
      <c r="Q440" s="2">
        <v>56.35</v>
      </c>
      <c r="R440" s="2">
        <v>49</v>
      </c>
      <c r="S440">
        <f t="shared" si="31"/>
        <v>49</v>
      </c>
      <c r="T440" t="s">
        <v>56</v>
      </c>
      <c r="U440">
        <f>_xlfn.XLOOKUP(T440,$Y$2:$Y$45,$AB$2:$AB$45)*(Q440)</f>
        <v>2.254</v>
      </c>
      <c r="AD440" s="19">
        <v>39387</v>
      </c>
      <c r="AE440">
        <v>0</v>
      </c>
      <c r="AG440">
        <v>39387</v>
      </c>
      <c r="AH440" s="1">
        <v>0</v>
      </c>
    </row>
    <row r="441" spans="1:34" hidden="1" x14ac:dyDescent="0.25">
      <c r="A441" s="2">
        <v>38615</v>
      </c>
      <c r="B441" s="13" t="s">
        <v>848</v>
      </c>
      <c r="C441" s="14" t="s">
        <v>39</v>
      </c>
      <c r="D441" s="15">
        <v>45310</v>
      </c>
      <c r="E441" s="2">
        <v>-445</v>
      </c>
      <c r="F441" s="14" t="s">
        <v>851</v>
      </c>
      <c r="G441" t="s">
        <v>852</v>
      </c>
      <c r="H441" s="14" t="s">
        <v>131</v>
      </c>
      <c r="I441" s="2">
        <v>1</v>
      </c>
      <c r="J441" s="2">
        <v>75</v>
      </c>
      <c r="K441" s="2">
        <v>0.97</v>
      </c>
      <c r="L441" s="2"/>
      <c r="M441" s="2">
        <v>75</v>
      </c>
      <c r="N441" s="14"/>
      <c r="O441" s="14"/>
      <c r="P441" s="2">
        <v>300</v>
      </c>
      <c r="Q441" s="2">
        <v>300</v>
      </c>
      <c r="R441" s="2">
        <v>871</v>
      </c>
      <c r="S441">
        <f t="shared" si="31"/>
        <v>871</v>
      </c>
      <c r="T441" t="s">
        <v>56</v>
      </c>
      <c r="U441">
        <f>_xlfn.XLOOKUP(T441,$Y$2:$Y$45,$AB$2:$AB$45)*(Q441)</f>
        <v>12</v>
      </c>
      <c r="AD441" s="19">
        <v>39388</v>
      </c>
      <c r="AE441">
        <v>0</v>
      </c>
      <c r="AG441">
        <v>39388</v>
      </c>
      <c r="AH441" s="1">
        <v>0</v>
      </c>
    </row>
    <row r="442" spans="1:34" hidden="1" x14ac:dyDescent="0.25">
      <c r="A442" s="2">
        <v>38616</v>
      </c>
      <c r="B442" s="13" t="s">
        <v>853</v>
      </c>
      <c r="C442" s="14" t="s">
        <v>39</v>
      </c>
      <c r="D442" s="15">
        <v>45299</v>
      </c>
      <c r="E442" s="2">
        <v>0</v>
      </c>
      <c r="F442" s="14" t="s">
        <v>854</v>
      </c>
      <c r="G442" t="s">
        <v>855</v>
      </c>
      <c r="H442" s="14" t="s">
        <v>42</v>
      </c>
      <c r="I442" s="2">
        <v>1</v>
      </c>
      <c r="J442" s="2">
        <v>0</v>
      </c>
      <c r="K442" s="2">
        <v>0</v>
      </c>
      <c r="L442" s="2"/>
      <c r="M442" s="2">
        <v>0</v>
      </c>
      <c r="N442" s="14"/>
      <c r="O442" s="14"/>
      <c r="P442" s="2">
        <v>618</v>
      </c>
      <c r="Q442" s="2">
        <v>618</v>
      </c>
      <c r="R442" s="2">
        <v>543.76</v>
      </c>
      <c r="S442">
        <f t="shared" si="31"/>
        <v>543.76</v>
      </c>
      <c r="T442" t="s">
        <v>140</v>
      </c>
      <c r="U442" s="1">
        <f>_xlfn.XLOOKUP(T442,$Y$2:$Y$45,$AA$2:$AA$45)*(Q442-S442)</f>
        <v>5.9392000000000005</v>
      </c>
      <c r="AD442" s="19">
        <v>39389</v>
      </c>
      <c r="AE442">
        <v>0</v>
      </c>
      <c r="AG442">
        <v>39389</v>
      </c>
      <c r="AH442" s="1">
        <v>0</v>
      </c>
    </row>
    <row r="443" spans="1:34" hidden="1" x14ac:dyDescent="0.25">
      <c r="A443" s="2">
        <v>38616</v>
      </c>
      <c r="B443" s="13" t="s">
        <v>853</v>
      </c>
      <c r="C443" s="14" t="s">
        <v>39</v>
      </c>
      <c r="D443" s="15">
        <v>45299</v>
      </c>
      <c r="E443" s="2">
        <v>0</v>
      </c>
      <c r="F443" s="14" t="s">
        <v>429</v>
      </c>
      <c r="G443" t="s">
        <v>665</v>
      </c>
      <c r="H443" s="14" t="s">
        <v>42</v>
      </c>
      <c r="I443" s="2">
        <v>1</v>
      </c>
      <c r="J443" s="2">
        <v>0</v>
      </c>
      <c r="K443" s="2">
        <v>0</v>
      </c>
      <c r="L443" s="2"/>
      <c r="M443" s="2">
        <v>0</v>
      </c>
      <c r="N443" s="14"/>
      <c r="O443" s="14"/>
      <c r="P443" s="2">
        <v>47</v>
      </c>
      <c r="Q443" s="2">
        <v>47</v>
      </c>
      <c r="R443" s="2">
        <v>0</v>
      </c>
      <c r="S443">
        <f t="shared" si="31"/>
        <v>0</v>
      </c>
      <c r="T443" t="s">
        <v>140</v>
      </c>
      <c r="U443" s="1">
        <f>_xlfn.XLOOKUP(T443,$Y$2:$Y$45,$AA$2:$AA$45)*(Q443-S443)</f>
        <v>3.7600000000000002</v>
      </c>
      <c r="AD443" s="19">
        <v>39390</v>
      </c>
      <c r="AE443">
        <v>0</v>
      </c>
      <c r="AG443">
        <v>39390</v>
      </c>
      <c r="AH443" s="1">
        <v>0</v>
      </c>
    </row>
    <row r="444" spans="1:34" x14ac:dyDescent="0.25">
      <c r="A444" s="2">
        <v>38617</v>
      </c>
      <c r="B444" s="13" t="s">
        <v>856</v>
      </c>
      <c r="C444" s="14" t="s">
        <v>39</v>
      </c>
      <c r="D444" s="15">
        <v>45295</v>
      </c>
      <c r="E444" s="2">
        <v>0</v>
      </c>
      <c r="F444" s="14" t="s">
        <v>660</v>
      </c>
      <c r="G444" t="s">
        <v>661</v>
      </c>
      <c r="H444" s="14" t="s">
        <v>93</v>
      </c>
      <c r="I444" s="2">
        <v>1</v>
      </c>
      <c r="J444" s="2">
        <v>0</v>
      </c>
      <c r="K444" s="2">
        <v>0</v>
      </c>
      <c r="L444" s="2"/>
      <c r="M444" s="2">
        <v>0</v>
      </c>
      <c r="N444" s="14"/>
      <c r="O444" s="14"/>
      <c r="P444" s="2">
        <v>295</v>
      </c>
      <c r="Q444" s="2">
        <v>295</v>
      </c>
      <c r="R444" s="2">
        <v>0</v>
      </c>
      <c r="S444">
        <f t="shared" si="31"/>
        <v>0</v>
      </c>
      <c r="T444" t="s">
        <v>1874</v>
      </c>
      <c r="U444">
        <f>_xlfn.XLOOKUP(T444,$Y$2:$Y$45,$AB$2:$AB$45)*(Q444)</f>
        <v>11.8</v>
      </c>
      <c r="AD444" s="19">
        <v>39395</v>
      </c>
      <c r="AE444">
        <v>15.804</v>
      </c>
      <c r="AG444">
        <v>39395</v>
      </c>
      <c r="AH444" s="1">
        <v>15.804</v>
      </c>
    </row>
    <row r="445" spans="1:34" x14ac:dyDescent="0.25">
      <c r="A445" s="2">
        <v>38617</v>
      </c>
      <c r="B445" s="13" t="s">
        <v>856</v>
      </c>
      <c r="C445" s="14" t="s">
        <v>39</v>
      </c>
      <c r="D445" s="15">
        <v>45295</v>
      </c>
      <c r="E445" s="2">
        <v>0</v>
      </c>
      <c r="F445" s="14" t="s">
        <v>657</v>
      </c>
      <c r="G445" t="s">
        <v>657</v>
      </c>
      <c r="H445" s="14" t="s">
        <v>93</v>
      </c>
      <c r="I445" s="2">
        <v>0.25</v>
      </c>
      <c r="J445" s="2">
        <v>0</v>
      </c>
      <c r="K445" s="2">
        <v>0</v>
      </c>
      <c r="L445" s="2"/>
      <c r="M445" s="2">
        <v>0</v>
      </c>
      <c r="N445" s="14"/>
      <c r="O445" s="14"/>
      <c r="P445" s="2">
        <v>135</v>
      </c>
      <c r="Q445" s="2">
        <v>33.75</v>
      </c>
      <c r="R445" s="2">
        <v>0</v>
      </c>
      <c r="S445">
        <f t="shared" si="31"/>
        <v>0</v>
      </c>
      <c r="T445" t="s">
        <v>1874</v>
      </c>
      <c r="U445">
        <f>_xlfn.XLOOKUP(T445,$Y$2:$Y$45,$AB$2:$AB$45)*(Q445)</f>
        <v>1.35</v>
      </c>
      <c r="AD445" s="19">
        <v>39397</v>
      </c>
      <c r="AE445">
        <v>11.158400000000002</v>
      </c>
      <c r="AG445">
        <v>39397</v>
      </c>
      <c r="AH445" s="1">
        <v>11.158400000000002</v>
      </c>
    </row>
    <row r="446" spans="1:34" hidden="1" x14ac:dyDescent="0.25">
      <c r="A446" s="2">
        <v>38617</v>
      </c>
      <c r="B446" s="13" t="s">
        <v>856</v>
      </c>
      <c r="C446" s="14" t="s">
        <v>39</v>
      </c>
      <c r="D446" s="15">
        <v>45295</v>
      </c>
      <c r="E446" s="2">
        <v>0</v>
      </c>
      <c r="F446" s="14" t="s">
        <v>857</v>
      </c>
      <c r="G446" t="s">
        <v>858</v>
      </c>
      <c r="H446" s="14" t="s">
        <v>42</v>
      </c>
      <c r="I446" s="2">
        <v>1</v>
      </c>
      <c r="J446" s="2">
        <v>0</v>
      </c>
      <c r="K446" s="2">
        <v>0</v>
      </c>
      <c r="L446" s="2"/>
      <c r="M446" s="2">
        <v>0</v>
      </c>
      <c r="N446" s="14"/>
      <c r="O446" s="14"/>
      <c r="P446" s="2">
        <v>1424.11</v>
      </c>
      <c r="Q446" s="2">
        <v>1424.11</v>
      </c>
      <c r="R446" s="2">
        <v>1238.3599999999999</v>
      </c>
      <c r="S446">
        <f t="shared" si="31"/>
        <v>1238.3599999999999</v>
      </c>
      <c r="T446" t="s">
        <v>1874</v>
      </c>
      <c r="U446" s="1">
        <f>_xlfn.XLOOKUP(T446,$Y$2:$Y$45,$AA$2:$AA$45)*(Q446-S446)</f>
        <v>14.86</v>
      </c>
      <c r="AD446" s="19">
        <v>39398</v>
      </c>
      <c r="AE446">
        <v>0.24240000000000003</v>
      </c>
      <c r="AG446">
        <v>39398</v>
      </c>
      <c r="AH446" s="1">
        <v>0.24240000000000003</v>
      </c>
    </row>
    <row r="447" spans="1:34" hidden="1" x14ac:dyDescent="0.25">
      <c r="A447" s="2">
        <v>38619</v>
      </c>
      <c r="B447" s="13" t="s">
        <v>859</v>
      </c>
      <c r="C447" s="14" t="s">
        <v>39</v>
      </c>
      <c r="D447" s="15">
        <v>45300</v>
      </c>
      <c r="E447" s="2">
        <v>0</v>
      </c>
      <c r="F447" s="14" t="s">
        <v>860</v>
      </c>
      <c r="G447" t="s">
        <v>861</v>
      </c>
      <c r="H447" s="14" t="s">
        <v>42</v>
      </c>
      <c r="I447" s="2">
        <v>1</v>
      </c>
      <c r="J447" s="2">
        <v>0</v>
      </c>
      <c r="K447" s="2">
        <v>0</v>
      </c>
      <c r="L447" s="2"/>
      <c r="M447" s="2">
        <v>0</v>
      </c>
      <c r="N447" s="14"/>
      <c r="O447" s="14"/>
      <c r="P447" s="2">
        <v>941</v>
      </c>
      <c r="Q447" s="2">
        <v>941</v>
      </c>
      <c r="R447" s="2">
        <v>771.17</v>
      </c>
      <c r="S447">
        <f t="shared" si="31"/>
        <v>771.17</v>
      </c>
      <c r="T447" t="s">
        <v>1874</v>
      </c>
      <c r="U447" s="1">
        <f>_xlfn.XLOOKUP(T447,$Y$2:$Y$45,$AA$2:$AA$45)*(Q447-S447)</f>
        <v>13.586400000000003</v>
      </c>
      <c r="AD447" s="19">
        <v>39401</v>
      </c>
      <c r="AE447">
        <v>0</v>
      </c>
      <c r="AG447">
        <v>39401</v>
      </c>
      <c r="AH447" s="1">
        <v>0</v>
      </c>
    </row>
    <row r="448" spans="1:34" hidden="1" x14ac:dyDescent="0.25">
      <c r="A448" s="2">
        <v>38619</v>
      </c>
      <c r="B448" s="13" t="s">
        <v>859</v>
      </c>
      <c r="C448" s="14" t="s">
        <v>39</v>
      </c>
      <c r="D448" s="15">
        <v>45300</v>
      </c>
      <c r="E448" s="2">
        <v>0</v>
      </c>
      <c r="F448" s="14" t="s">
        <v>862</v>
      </c>
      <c r="G448" t="s">
        <v>863</v>
      </c>
      <c r="H448" s="14" t="s">
        <v>42</v>
      </c>
      <c r="I448" s="2">
        <v>1</v>
      </c>
      <c r="J448" s="2">
        <v>0</v>
      </c>
      <c r="K448" s="2">
        <v>0</v>
      </c>
      <c r="L448" s="2"/>
      <c r="M448" s="2">
        <v>0</v>
      </c>
      <c r="N448" s="14"/>
      <c r="O448" s="14"/>
      <c r="P448" s="2">
        <v>46</v>
      </c>
      <c r="Q448" s="2">
        <v>46</v>
      </c>
      <c r="R448" s="2">
        <v>37.35</v>
      </c>
      <c r="S448">
        <f t="shared" si="31"/>
        <v>37.35</v>
      </c>
      <c r="T448" t="s">
        <v>1874</v>
      </c>
      <c r="U448" s="1">
        <f>_xlfn.XLOOKUP(T448,$Y$2:$Y$45,$AA$2:$AA$45)*(Q448-S448)</f>
        <v>0.69199999999999995</v>
      </c>
      <c r="AD448" s="19">
        <v>39403</v>
      </c>
      <c r="AE448">
        <v>63.797600000000024</v>
      </c>
      <c r="AG448">
        <v>39403</v>
      </c>
      <c r="AH448" s="1">
        <v>63.797600000000024</v>
      </c>
    </row>
    <row r="449" spans="1:34" x14ac:dyDescent="0.25">
      <c r="A449" s="2">
        <v>38619</v>
      </c>
      <c r="B449" s="13" t="s">
        <v>859</v>
      </c>
      <c r="C449" s="14" t="s">
        <v>39</v>
      </c>
      <c r="D449" s="15">
        <v>45300</v>
      </c>
      <c r="E449" s="2">
        <v>0</v>
      </c>
      <c r="F449" s="14" t="s">
        <v>657</v>
      </c>
      <c r="G449" t="s">
        <v>657</v>
      </c>
      <c r="H449" s="14" t="s">
        <v>93</v>
      </c>
      <c r="I449" s="2">
        <v>0.5</v>
      </c>
      <c r="J449" s="2">
        <v>0</v>
      </c>
      <c r="K449" s="2">
        <v>0</v>
      </c>
      <c r="L449" s="2"/>
      <c r="M449" s="2">
        <v>0</v>
      </c>
      <c r="N449" s="14"/>
      <c r="O449" s="14"/>
      <c r="P449" s="2">
        <v>135</v>
      </c>
      <c r="Q449" s="2">
        <v>67.5</v>
      </c>
      <c r="R449" s="2">
        <v>0</v>
      </c>
      <c r="S449">
        <f t="shared" si="31"/>
        <v>0</v>
      </c>
      <c r="T449" t="s">
        <v>1874</v>
      </c>
      <c r="U449">
        <f>_xlfn.XLOOKUP(T449,$Y$2:$Y$45,$AB$2:$AB$45)*(Q449)</f>
        <v>2.7</v>
      </c>
      <c r="AD449" s="19">
        <v>39407</v>
      </c>
      <c r="AE449">
        <v>14.402399999999998</v>
      </c>
      <c r="AG449">
        <v>39407</v>
      </c>
      <c r="AH449" s="1">
        <v>14.402399999999998</v>
      </c>
    </row>
    <row r="450" spans="1:34" hidden="1" x14ac:dyDescent="0.25">
      <c r="A450" s="2">
        <v>38620</v>
      </c>
      <c r="B450" s="13" t="s">
        <v>864</v>
      </c>
      <c r="C450" s="14" t="s">
        <v>39</v>
      </c>
      <c r="D450" s="15">
        <v>45296</v>
      </c>
      <c r="E450" s="2">
        <v>0</v>
      </c>
      <c r="F450" s="14" t="s">
        <v>865</v>
      </c>
      <c r="G450" t="s">
        <v>866</v>
      </c>
      <c r="H450" s="14" t="s">
        <v>42</v>
      </c>
      <c r="I450" s="2">
        <v>1</v>
      </c>
      <c r="J450" s="2">
        <v>0</v>
      </c>
      <c r="K450" s="2">
        <v>0</v>
      </c>
      <c r="L450" s="2"/>
      <c r="M450" s="2">
        <v>0</v>
      </c>
      <c r="N450" s="14"/>
      <c r="O450" s="14"/>
      <c r="P450" s="2">
        <v>1072.3599999999999</v>
      </c>
      <c r="Q450" s="2">
        <v>1072.3599999999999</v>
      </c>
      <c r="R450" s="2">
        <v>893.63</v>
      </c>
      <c r="S450">
        <f t="shared" ref="S450:S513" si="36">R450*I450</f>
        <v>893.63</v>
      </c>
      <c r="T450" t="s">
        <v>132</v>
      </c>
      <c r="U450" s="1">
        <f>_xlfn.XLOOKUP(T450,$Y$2:$Y$45,$AA$2:$AA$45)*(Q450-S450)</f>
        <v>14.298399999999992</v>
      </c>
      <c r="AD450" s="19">
        <v>39420</v>
      </c>
      <c r="AE450">
        <v>0</v>
      </c>
      <c r="AG450">
        <v>39420</v>
      </c>
      <c r="AH450" s="1">
        <v>0</v>
      </c>
    </row>
    <row r="451" spans="1:34" x14ac:dyDescent="0.25">
      <c r="A451" s="2">
        <v>38624</v>
      </c>
      <c r="B451" s="13" t="s">
        <v>867</v>
      </c>
      <c r="C451" s="14" t="s">
        <v>39</v>
      </c>
      <c r="D451" s="15">
        <v>45299</v>
      </c>
      <c r="E451" s="2">
        <v>0</v>
      </c>
      <c r="F451" s="14" t="s">
        <v>533</v>
      </c>
      <c r="G451" t="s">
        <v>534</v>
      </c>
      <c r="H451" s="14" t="s">
        <v>93</v>
      </c>
      <c r="I451" s="2">
        <v>-3</v>
      </c>
      <c r="J451" s="2">
        <v>0</v>
      </c>
      <c r="K451" s="2">
        <v>0</v>
      </c>
      <c r="L451" s="2"/>
      <c r="M451" s="2">
        <v>0</v>
      </c>
      <c r="N451" s="14"/>
      <c r="O451" s="14"/>
      <c r="P451" s="2">
        <v>149</v>
      </c>
      <c r="Q451" s="2">
        <v>-447</v>
      </c>
      <c r="R451" s="2">
        <v>0</v>
      </c>
      <c r="S451">
        <f t="shared" si="36"/>
        <v>0</v>
      </c>
      <c r="T451" t="s">
        <v>1874</v>
      </c>
      <c r="U451">
        <f>_xlfn.XLOOKUP(T451,$Y$2:$Y$45,$AB$2:$AB$45)*(Q451)</f>
        <v>-17.88</v>
      </c>
      <c r="AD451" s="19">
        <v>39422</v>
      </c>
      <c r="AE451">
        <v>3.5040000000000009</v>
      </c>
      <c r="AG451">
        <v>39422</v>
      </c>
      <c r="AH451" s="1">
        <v>3.5040000000000009</v>
      </c>
    </row>
    <row r="452" spans="1:34" hidden="1" x14ac:dyDescent="0.25">
      <c r="A452" s="2">
        <v>38627</v>
      </c>
      <c r="B452" s="13" t="s">
        <v>868</v>
      </c>
      <c r="C452" s="14" t="s">
        <v>39</v>
      </c>
      <c r="D452" s="15">
        <v>45300</v>
      </c>
      <c r="E452" s="2">
        <v>0</v>
      </c>
      <c r="F452" s="14" t="s">
        <v>869</v>
      </c>
      <c r="G452" t="s">
        <v>870</v>
      </c>
      <c r="H452" s="14" t="s">
        <v>146</v>
      </c>
      <c r="I452" s="2">
        <v>1</v>
      </c>
      <c r="J452" s="2">
        <v>0</v>
      </c>
      <c r="K452" s="2">
        <v>0</v>
      </c>
      <c r="L452" s="2"/>
      <c r="M452" s="2">
        <v>0</v>
      </c>
      <c r="N452" s="14"/>
      <c r="O452" s="14"/>
      <c r="P452" s="2">
        <v>1260</v>
      </c>
      <c r="Q452" s="2">
        <v>1260</v>
      </c>
      <c r="R452" s="2">
        <v>1125.8599999999999</v>
      </c>
      <c r="S452">
        <f t="shared" si="36"/>
        <v>1125.8599999999999</v>
      </c>
      <c r="T452" t="s">
        <v>43</v>
      </c>
      <c r="U452" s="1">
        <f>_xlfn.XLOOKUP(T452,$Y$2:$Y$45,$AA$2:$AA$45)*(Q452-S452)</f>
        <v>11.40190000000001</v>
      </c>
      <c r="AD452" s="19">
        <v>39423</v>
      </c>
      <c r="AE452">
        <v>222</v>
      </c>
      <c r="AG452">
        <v>39423</v>
      </c>
      <c r="AH452" s="1">
        <v>222</v>
      </c>
    </row>
    <row r="453" spans="1:34" hidden="1" x14ac:dyDescent="0.25">
      <c r="A453" s="2">
        <v>38627</v>
      </c>
      <c r="B453" s="13" t="s">
        <v>868</v>
      </c>
      <c r="C453" s="14" t="s">
        <v>39</v>
      </c>
      <c r="D453" s="15">
        <v>45300</v>
      </c>
      <c r="E453" s="2">
        <v>0</v>
      </c>
      <c r="F453" s="14" t="s">
        <v>869</v>
      </c>
      <c r="G453" t="s">
        <v>871</v>
      </c>
      <c r="H453" s="14" t="s">
        <v>146</v>
      </c>
      <c r="I453" s="2">
        <v>1</v>
      </c>
      <c r="J453" s="2">
        <v>0</v>
      </c>
      <c r="K453" s="2">
        <v>0</v>
      </c>
      <c r="L453" s="2"/>
      <c r="M453" s="2">
        <v>0</v>
      </c>
      <c r="N453" s="14"/>
      <c r="O453" s="14"/>
      <c r="P453" s="2">
        <v>1260</v>
      </c>
      <c r="Q453" s="2">
        <v>1260</v>
      </c>
      <c r="R453" s="2">
        <v>1125.8599999999999</v>
      </c>
      <c r="S453">
        <f t="shared" si="36"/>
        <v>1125.8599999999999</v>
      </c>
      <c r="T453" t="s">
        <v>43</v>
      </c>
      <c r="U453" s="1">
        <f>_xlfn.XLOOKUP(T453,$Y$2:$Y$45,$AA$2:$AA$45)*(Q453-S453)</f>
        <v>11.40190000000001</v>
      </c>
      <c r="AD453" s="19">
        <v>39425</v>
      </c>
      <c r="AE453">
        <v>0</v>
      </c>
      <c r="AG453">
        <v>39425</v>
      </c>
      <c r="AH453" s="1">
        <v>0</v>
      </c>
    </row>
    <row r="454" spans="1:34" hidden="1" x14ac:dyDescent="0.25">
      <c r="A454" s="2">
        <v>38627</v>
      </c>
      <c r="B454" s="13" t="s">
        <v>868</v>
      </c>
      <c r="C454" s="14" t="s">
        <v>39</v>
      </c>
      <c r="D454" s="15">
        <v>45300</v>
      </c>
      <c r="E454" s="2">
        <v>0</v>
      </c>
      <c r="F454" s="14" t="s">
        <v>872</v>
      </c>
      <c r="G454" t="s">
        <v>873</v>
      </c>
      <c r="H454" s="14" t="s">
        <v>146</v>
      </c>
      <c r="I454" s="2">
        <v>1</v>
      </c>
      <c r="J454" s="2">
        <v>0</v>
      </c>
      <c r="K454" s="2">
        <v>0</v>
      </c>
      <c r="L454" s="2"/>
      <c r="M454" s="2">
        <v>0</v>
      </c>
      <c r="N454" s="14"/>
      <c r="O454" s="14"/>
      <c r="P454" s="2">
        <v>913</v>
      </c>
      <c r="Q454" s="2">
        <v>913</v>
      </c>
      <c r="R454" s="2">
        <v>814.08</v>
      </c>
      <c r="S454">
        <f t="shared" si="36"/>
        <v>814.08</v>
      </c>
      <c r="T454" t="s">
        <v>43</v>
      </c>
      <c r="U454" s="1">
        <f>_xlfn.XLOOKUP(T454,$Y$2:$Y$45,$AA$2:$AA$45)*(Q454-S454)</f>
        <v>8.4081999999999972</v>
      </c>
      <c r="AD454" s="19">
        <v>39426</v>
      </c>
      <c r="AE454">
        <v>3.1855999999999951</v>
      </c>
      <c r="AG454">
        <v>39426</v>
      </c>
      <c r="AH454" s="1">
        <v>3.1855999999999951</v>
      </c>
    </row>
    <row r="455" spans="1:34" hidden="1" x14ac:dyDescent="0.25">
      <c r="A455" s="2">
        <v>38627</v>
      </c>
      <c r="B455" s="13" t="s">
        <v>868</v>
      </c>
      <c r="C455" s="14" t="s">
        <v>39</v>
      </c>
      <c r="D455" s="15">
        <v>45300</v>
      </c>
      <c r="E455" s="2">
        <v>0</v>
      </c>
      <c r="F455" s="14" t="s">
        <v>872</v>
      </c>
      <c r="G455" t="s">
        <v>874</v>
      </c>
      <c r="H455" s="14" t="s">
        <v>146</v>
      </c>
      <c r="I455" s="2">
        <v>1</v>
      </c>
      <c r="J455" s="2">
        <v>0</v>
      </c>
      <c r="K455" s="2">
        <v>0</v>
      </c>
      <c r="L455" s="2"/>
      <c r="M455" s="2">
        <v>0</v>
      </c>
      <c r="N455" s="14"/>
      <c r="O455" s="14"/>
      <c r="P455" s="2">
        <v>913</v>
      </c>
      <c r="Q455" s="2">
        <v>913</v>
      </c>
      <c r="R455" s="2">
        <v>814.08</v>
      </c>
      <c r="S455">
        <f t="shared" si="36"/>
        <v>814.08</v>
      </c>
      <c r="T455" t="s">
        <v>43</v>
      </c>
      <c r="U455" s="1">
        <f>_xlfn.XLOOKUP(T455,$Y$2:$Y$45,$AA$2:$AA$45)*(Q455-S455)</f>
        <v>8.4081999999999972</v>
      </c>
      <c r="AD455" s="19">
        <v>39427</v>
      </c>
      <c r="AE455">
        <v>8.9008000000000003</v>
      </c>
      <c r="AG455">
        <v>39427</v>
      </c>
      <c r="AH455" s="1">
        <v>8.9008000000000003</v>
      </c>
    </row>
    <row r="456" spans="1:34" x14ac:dyDescent="0.25">
      <c r="A456" s="2">
        <v>38629</v>
      </c>
      <c r="B456" s="13" t="s">
        <v>875</v>
      </c>
      <c r="C456" s="14" t="s">
        <v>39</v>
      </c>
      <c r="D456" s="15">
        <v>45299</v>
      </c>
      <c r="E456" s="2">
        <v>0</v>
      </c>
      <c r="F456" s="14" t="s">
        <v>219</v>
      </c>
      <c r="G456" t="s">
        <v>220</v>
      </c>
      <c r="H456" s="14" t="s">
        <v>93</v>
      </c>
      <c r="I456" s="2">
        <v>1</v>
      </c>
      <c r="J456" s="2">
        <v>0</v>
      </c>
      <c r="K456" s="2">
        <v>0</v>
      </c>
      <c r="L456" s="2"/>
      <c r="M456" s="2">
        <v>0</v>
      </c>
      <c r="N456" s="14"/>
      <c r="O456" s="14"/>
      <c r="P456" s="2">
        <v>149</v>
      </c>
      <c r="Q456" s="2">
        <v>149</v>
      </c>
      <c r="R456" s="2">
        <v>0</v>
      </c>
      <c r="S456">
        <f t="shared" si="36"/>
        <v>0</v>
      </c>
      <c r="T456" t="s">
        <v>132</v>
      </c>
      <c r="U456">
        <f>_xlfn.XLOOKUP(T456,$Y$2:$Y$45,$AB$2:$AB$45)*(Q456)</f>
        <v>5.96</v>
      </c>
      <c r="AD456" s="19">
        <v>39429</v>
      </c>
      <c r="AE456">
        <v>17.920000000000002</v>
      </c>
      <c r="AG456">
        <v>39429</v>
      </c>
      <c r="AH456" s="1">
        <v>17.920000000000002</v>
      </c>
    </row>
    <row r="457" spans="1:34" hidden="1" x14ac:dyDescent="0.25">
      <c r="A457" s="2">
        <v>38629</v>
      </c>
      <c r="B457" s="13" t="s">
        <v>875</v>
      </c>
      <c r="C457" s="14" t="s">
        <v>39</v>
      </c>
      <c r="D457" s="15">
        <v>45299</v>
      </c>
      <c r="E457" s="2">
        <v>0</v>
      </c>
      <c r="F457" s="14" t="s">
        <v>217</v>
      </c>
      <c r="G457" t="s">
        <v>218</v>
      </c>
      <c r="H457" s="14" t="s">
        <v>173</v>
      </c>
      <c r="I457" s="2">
        <v>1</v>
      </c>
      <c r="J457" s="2">
        <v>0</v>
      </c>
      <c r="K457" s="2">
        <v>0</v>
      </c>
      <c r="L457" s="2"/>
      <c r="M457" s="2">
        <v>0</v>
      </c>
      <c r="N457" s="14"/>
      <c r="O457" s="14"/>
      <c r="P457" s="2">
        <v>83</v>
      </c>
      <c r="Q457" s="2">
        <v>83</v>
      </c>
      <c r="R457" s="2">
        <v>67.989999999999995</v>
      </c>
      <c r="S457">
        <f t="shared" si="36"/>
        <v>67.989999999999995</v>
      </c>
      <c r="T457" t="s">
        <v>132</v>
      </c>
      <c r="U457" s="1">
        <f t="shared" ref="U457:U462" si="37">_xlfn.XLOOKUP(T457,$Y$2:$Y$45,$AA$2:$AA$45)*(Q457-S457)</f>
        <v>1.2008000000000005</v>
      </c>
      <c r="AD457" s="19">
        <v>39430</v>
      </c>
      <c r="AE457">
        <v>43.726399999999998</v>
      </c>
      <c r="AG457">
        <v>39430</v>
      </c>
      <c r="AH457" s="1">
        <v>43.726399999999998</v>
      </c>
    </row>
    <row r="458" spans="1:34" hidden="1" x14ac:dyDescent="0.25">
      <c r="A458" s="2">
        <v>38632</v>
      </c>
      <c r="B458" s="13" t="s">
        <v>876</v>
      </c>
      <c r="C458" s="14" t="s">
        <v>39</v>
      </c>
      <c r="D458" s="15">
        <v>45299</v>
      </c>
      <c r="E458" s="2">
        <v>0</v>
      </c>
      <c r="F458" s="14" t="s">
        <v>877</v>
      </c>
      <c r="G458" t="s">
        <v>878</v>
      </c>
      <c r="H458" s="14" t="s">
        <v>42</v>
      </c>
      <c r="I458" s="2">
        <v>1</v>
      </c>
      <c r="J458" s="2">
        <v>0</v>
      </c>
      <c r="K458" s="2">
        <v>0</v>
      </c>
      <c r="L458" s="2"/>
      <c r="M458" s="2">
        <v>0</v>
      </c>
      <c r="N458" s="14"/>
      <c r="O458" s="14"/>
      <c r="P458" s="2">
        <v>437</v>
      </c>
      <c r="Q458" s="2">
        <v>437</v>
      </c>
      <c r="R458" s="2">
        <v>398.64</v>
      </c>
      <c r="S458">
        <f t="shared" si="36"/>
        <v>398.64</v>
      </c>
      <c r="T458" t="s">
        <v>178</v>
      </c>
      <c r="U458" s="1">
        <f t="shared" si="37"/>
        <v>0</v>
      </c>
      <c r="AD458" s="19">
        <v>39431</v>
      </c>
      <c r="AE458">
        <v>11.972799999999998</v>
      </c>
      <c r="AG458">
        <v>39431</v>
      </c>
      <c r="AH458" s="1">
        <v>11.972799999999998</v>
      </c>
    </row>
    <row r="459" spans="1:34" hidden="1" x14ac:dyDescent="0.25">
      <c r="A459" s="2">
        <v>38632</v>
      </c>
      <c r="B459" s="13" t="s">
        <v>876</v>
      </c>
      <c r="C459" s="14" t="s">
        <v>39</v>
      </c>
      <c r="D459" s="15">
        <v>45299</v>
      </c>
      <c r="E459" s="2">
        <v>0</v>
      </c>
      <c r="F459" s="14" t="s">
        <v>879</v>
      </c>
      <c r="G459" t="s">
        <v>880</v>
      </c>
      <c r="H459" s="14" t="s">
        <v>146</v>
      </c>
      <c r="I459" s="2">
        <v>266</v>
      </c>
      <c r="J459" s="2">
        <v>0</v>
      </c>
      <c r="K459" s="2">
        <v>0</v>
      </c>
      <c r="L459" s="2"/>
      <c r="M459" s="2">
        <v>0</v>
      </c>
      <c r="N459" s="14"/>
      <c r="O459" s="14"/>
      <c r="P459" s="2">
        <v>46</v>
      </c>
      <c r="Q459" s="2">
        <v>12236</v>
      </c>
      <c r="R459" s="2">
        <v>41.58</v>
      </c>
      <c r="S459">
        <f t="shared" si="36"/>
        <v>11060.279999999999</v>
      </c>
      <c r="T459" t="s">
        <v>178</v>
      </c>
      <c r="U459" s="1">
        <f t="shared" si="37"/>
        <v>0</v>
      </c>
      <c r="AD459" s="19">
        <v>39433</v>
      </c>
      <c r="AE459">
        <v>35.924799999999998</v>
      </c>
      <c r="AG459">
        <v>39433</v>
      </c>
      <c r="AH459" s="1">
        <v>35.924799999999998</v>
      </c>
    </row>
    <row r="460" spans="1:34" hidden="1" x14ac:dyDescent="0.25">
      <c r="A460" s="2">
        <v>38638</v>
      </c>
      <c r="B460" s="13" t="s">
        <v>881</v>
      </c>
      <c r="C460" s="14" t="s">
        <v>39</v>
      </c>
      <c r="D460" s="15">
        <v>45308</v>
      </c>
      <c r="E460" s="2">
        <v>0</v>
      </c>
      <c r="F460" s="14" t="s">
        <v>882</v>
      </c>
      <c r="G460" t="s">
        <v>883</v>
      </c>
      <c r="H460" s="14" t="s">
        <v>42</v>
      </c>
      <c r="I460" s="2">
        <v>1</v>
      </c>
      <c r="J460" s="2">
        <v>0</v>
      </c>
      <c r="K460" s="2">
        <v>0</v>
      </c>
      <c r="L460" s="2"/>
      <c r="M460" s="2">
        <v>0</v>
      </c>
      <c r="N460" s="14"/>
      <c r="O460" s="14"/>
      <c r="P460" s="2">
        <v>830</v>
      </c>
      <c r="Q460" s="2">
        <v>830</v>
      </c>
      <c r="R460" s="2">
        <v>701.8</v>
      </c>
      <c r="S460">
        <f t="shared" si="36"/>
        <v>701.8</v>
      </c>
      <c r="T460" t="s">
        <v>140</v>
      </c>
      <c r="U460" s="1">
        <f t="shared" si="37"/>
        <v>10.256000000000004</v>
      </c>
      <c r="AD460" s="19">
        <v>39434</v>
      </c>
      <c r="AE460">
        <v>6.0350000000000001</v>
      </c>
      <c r="AG460">
        <v>39434</v>
      </c>
      <c r="AH460" s="1">
        <v>6.0350000000000001</v>
      </c>
    </row>
    <row r="461" spans="1:34" hidden="1" x14ac:dyDescent="0.25">
      <c r="A461" s="2">
        <v>38638</v>
      </c>
      <c r="B461" s="13" t="s">
        <v>881</v>
      </c>
      <c r="C461" s="14" t="s">
        <v>39</v>
      </c>
      <c r="D461" s="15">
        <v>45308</v>
      </c>
      <c r="E461" s="2">
        <v>0</v>
      </c>
      <c r="F461" s="14" t="s">
        <v>821</v>
      </c>
      <c r="G461" t="s">
        <v>822</v>
      </c>
      <c r="H461" s="14" t="s">
        <v>42</v>
      </c>
      <c r="I461" s="2">
        <v>1</v>
      </c>
      <c r="J461" s="2">
        <v>0</v>
      </c>
      <c r="K461" s="2">
        <v>0</v>
      </c>
      <c r="L461" s="2"/>
      <c r="M461" s="2">
        <v>0</v>
      </c>
      <c r="N461" s="14"/>
      <c r="O461" s="14"/>
      <c r="P461" s="2">
        <v>5</v>
      </c>
      <c r="Q461" s="2">
        <v>5</v>
      </c>
      <c r="R461" s="2">
        <v>0</v>
      </c>
      <c r="S461">
        <f t="shared" si="36"/>
        <v>0</v>
      </c>
      <c r="T461" t="s">
        <v>140</v>
      </c>
      <c r="U461" s="1">
        <f t="shared" si="37"/>
        <v>0.4</v>
      </c>
      <c r="AD461" s="19">
        <v>39437</v>
      </c>
      <c r="AE461">
        <v>414.92495000000008</v>
      </c>
      <c r="AG461">
        <v>39437</v>
      </c>
      <c r="AH461" s="1">
        <v>414.92495000000008</v>
      </c>
    </row>
    <row r="462" spans="1:34" hidden="1" x14ac:dyDescent="0.25">
      <c r="A462" s="2">
        <v>38638</v>
      </c>
      <c r="B462" s="13" t="s">
        <v>881</v>
      </c>
      <c r="C462" s="14" t="s">
        <v>39</v>
      </c>
      <c r="D462" s="15">
        <v>45308</v>
      </c>
      <c r="E462" s="2">
        <v>0</v>
      </c>
      <c r="F462" s="14" t="s">
        <v>429</v>
      </c>
      <c r="G462" t="s">
        <v>665</v>
      </c>
      <c r="H462" s="14" t="s">
        <v>42</v>
      </c>
      <c r="I462" s="2">
        <v>1</v>
      </c>
      <c r="J462" s="2">
        <v>0</v>
      </c>
      <c r="K462" s="2">
        <v>0</v>
      </c>
      <c r="L462" s="2"/>
      <c r="M462" s="2">
        <v>0</v>
      </c>
      <c r="N462" s="14"/>
      <c r="O462" s="14"/>
      <c r="P462" s="2">
        <v>18</v>
      </c>
      <c r="Q462" s="2">
        <v>18</v>
      </c>
      <c r="R462" s="2">
        <v>0</v>
      </c>
      <c r="S462">
        <f t="shared" si="36"/>
        <v>0</v>
      </c>
      <c r="T462" t="s">
        <v>140</v>
      </c>
      <c r="U462" s="1">
        <f t="shared" si="37"/>
        <v>1.44</v>
      </c>
      <c r="AD462" s="19">
        <v>39438</v>
      </c>
      <c r="AE462">
        <v>2.4560000000000004</v>
      </c>
      <c r="AG462">
        <v>39438</v>
      </c>
      <c r="AH462" s="1">
        <v>2.4560000000000004</v>
      </c>
    </row>
    <row r="463" spans="1:34" x14ac:dyDescent="0.25">
      <c r="A463" s="2">
        <v>38639</v>
      </c>
      <c r="B463" s="13" t="s">
        <v>884</v>
      </c>
      <c r="C463" s="14" t="s">
        <v>39</v>
      </c>
      <c r="D463" s="15">
        <v>45296</v>
      </c>
      <c r="E463" s="2">
        <v>0</v>
      </c>
      <c r="F463" s="14" t="s">
        <v>260</v>
      </c>
      <c r="G463" t="s">
        <v>313</v>
      </c>
      <c r="H463" s="14" t="s">
        <v>93</v>
      </c>
      <c r="I463" s="2">
        <v>3</v>
      </c>
      <c r="J463" s="2">
        <v>0</v>
      </c>
      <c r="K463" s="2">
        <v>0</v>
      </c>
      <c r="L463" s="2"/>
      <c r="M463" s="2">
        <v>0</v>
      </c>
      <c r="N463" s="14"/>
      <c r="O463" s="14"/>
      <c r="P463" s="2">
        <v>200</v>
      </c>
      <c r="Q463" s="2">
        <v>600</v>
      </c>
      <c r="R463" s="2">
        <v>0</v>
      </c>
      <c r="S463">
        <f t="shared" si="36"/>
        <v>0</v>
      </c>
      <c r="T463" t="s">
        <v>174</v>
      </c>
      <c r="U463">
        <f>_xlfn.XLOOKUP(T463,$Y$2:$Y$45,$AB$2:$AB$45)*(Q463)</f>
        <v>0</v>
      </c>
      <c r="AD463" s="19">
        <v>39440</v>
      </c>
      <c r="AE463">
        <v>1.9096</v>
      </c>
      <c r="AG463">
        <v>39440</v>
      </c>
      <c r="AH463" s="1">
        <v>1.9096</v>
      </c>
    </row>
    <row r="464" spans="1:34" hidden="1" x14ac:dyDescent="0.25">
      <c r="A464" s="2">
        <v>38639</v>
      </c>
      <c r="B464" s="13" t="s">
        <v>884</v>
      </c>
      <c r="C464" s="14" t="s">
        <v>39</v>
      </c>
      <c r="D464" s="15">
        <v>45296</v>
      </c>
      <c r="E464" s="2">
        <v>0</v>
      </c>
      <c r="F464" s="14" t="s">
        <v>885</v>
      </c>
      <c r="G464" t="s">
        <v>886</v>
      </c>
      <c r="H464" s="14" t="s">
        <v>42</v>
      </c>
      <c r="I464" s="2">
        <v>1</v>
      </c>
      <c r="J464" s="2">
        <v>0</v>
      </c>
      <c r="K464" s="2">
        <v>0</v>
      </c>
      <c r="L464" s="2"/>
      <c r="M464" s="2">
        <v>0</v>
      </c>
      <c r="N464" s="14"/>
      <c r="O464" s="14"/>
      <c r="P464" s="2">
        <v>1281.18</v>
      </c>
      <c r="Q464" s="2">
        <v>1281.18</v>
      </c>
      <c r="R464" s="2">
        <v>1088</v>
      </c>
      <c r="S464">
        <f t="shared" si="36"/>
        <v>1088</v>
      </c>
      <c r="T464" t="s">
        <v>174</v>
      </c>
      <c r="U464" s="1">
        <f>_xlfn.XLOOKUP(T464,$Y$2:$Y$45,$AA$2:$AA$45)*(Q464-S464)</f>
        <v>0</v>
      </c>
      <c r="AD464" s="19">
        <v>39445</v>
      </c>
      <c r="AE464">
        <v>27.304800000000007</v>
      </c>
      <c r="AG464">
        <v>39445</v>
      </c>
      <c r="AH464" s="1">
        <v>27.304800000000007</v>
      </c>
    </row>
    <row r="465" spans="1:34" hidden="1" x14ac:dyDescent="0.25">
      <c r="A465" s="2">
        <v>38639</v>
      </c>
      <c r="B465" s="13" t="s">
        <v>884</v>
      </c>
      <c r="C465" s="14" t="s">
        <v>39</v>
      </c>
      <c r="D465" s="15">
        <v>45296</v>
      </c>
      <c r="E465" s="2">
        <v>0</v>
      </c>
      <c r="F465" s="14" t="s">
        <v>887</v>
      </c>
      <c r="G465" t="s">
        <v>888</v>
      </c>
      <c r="H465" s="14" t="s">
        <v>42</v>
      </c>
      <c r="I465" s="2">
        <v>1</v>
      </c>
      <c r="J465" s="2">
        <v>0</v>
      </c>
      <c r="K465" s="2">
        <v>0</v>
      </c>
      <c r="L465" s="2"/>
      <c r="M465" s="2">
        <v>0</v>
      </c>
      <c r="N465" s="14"/>
      <c r="O465" s="14"/>
      <c r="P465" s="2">
        <v>60</v>
      </c>
      <c r="Q465" s="2">
        <v>60</v>
      </c>
      <c r="R465" s="2">
        <v>60</v>
      </c>
      <c r="S465">
        <f t="shared" si="36"/>
        <v>60</v>
      </c>
      <c r="T465" t="s">
        <v>174</v>
      </c>
      <c r="U465" s="1">
        <f>_xlfn.XLOOKUP(T465,$Y$2:$Y$45,$AA$2:$AA$45)*(Q465-S465)</f>
        <v>0</v>
      </c>
      <c r="AD465" s="19">
        <v>39447</v>
      </c>
      <c r="AE465">
        <v>2.1972499999999995</v>
      </c>
      <c r="AG465">
        <v>39447</v>
      </c>
      <c r="AH465" s="1">
        <v>2.1972499999999995</v>
      </c>
    </row>
    <row r="466" spans="1:34" x14ac:dyDescent="0.25">
      <c r="A466" s="2">
        <v>38640</v>
      </c>
      <c r="B466" s="13" t="s">
        <v>889</v>
      </c>
      <c r="C466" s="14" t="s">
        <v>39</v>
      </c>
      <c r="D466" s="15">
        <v>45309</v>
      </c>
      <c r="E466" s="2">
        <v>0</v>
      </c>
      <c r="F466" s="14" t="s">
        <v>152</v>
      </c>
      <c r="G466" t="s">
        <v>153</v>
      </c>
      <c r="H466" s="14" t="s">
        <v>93</v>
      </c>
      <c r="I466" s="2">
        <v>15</v>
      </c>
      <c r="J466" s="2">
        <v>0</v>
      </c>
      <c r="K466" s="2">
        <v>0</v>
      </c>
      <c r="L466" s="2"/>
      <c r="M466" s="2">
        <v>0</v>
      </c>
      <c r="N466" s="14"/>
      <c r="O466" s="14"/>
      <c r="P466" s="2">
        <v>150</v>
      </c>
      <c r="Q466" s="2">
        <v>2250</v>
      </c>
      <c r="R466" s="2">
        <v>0</v>
      </c>
      <c r="S466">
        <f t="shared" si="36"/>
        <v>0</v>
      </c>
      <c r="T466" t="s">
        <v>132</v>
      </c>
      <c r="U466">
        <f>_xlfn.XLOOKUP(T466,$Y$2:$Y$45,$AB$2:$AB$45)*(Q466)</f>
        <v>90</v>
      </c>
      <c r="AD466" s="19">
        <v>39449</v>
      </c>
      <c r="AE466">
        <v>0</v>
      </c>
      <c r="AG466">
        <v>39449</v>
      </c>
      <c r="AH466" s="1">
        <v>0</v>
      </c>
    </row>
    <row r="467" spans="1:34" x14ac:dyDescent="0.25">
      <c r="A467" s="2">
        <v>38640</v>
      </c>
      <c r="B467" s="13" t="s">
        <v>889</v>
      </c>
      <c r="C467" s="14" t="s">
        <v>39</v>
      </c>
      <c r="D467" s="15">
        <v>45309</v>
      </c>
      <c r="E467" s="2">
        <v>0</v>
      </c>
      <c r="F467" s="14" t="s">
        <v>154</v>
      </c>
      <c r="G467" t="s">
        <v>155</v>
      </c>
      <c r="H467" s="14" t="s">
        <v>93</v>
      </c>
      <c r="I467" s="2">
        <v>3</v>
      </c>
      <c r="J467" s="2">
        <v>0</v>
      </c>
      <c r="K467" s="2">
        <v>0</v>
      </c>
      <c r="L467" s="2"/>
      <c r="M467" s="2">
        <v>0</v>
      </c>
      <c r="N467" s="14"/>
      <c r="O467" s="14"/>
      <c r="P467" s="2">
        <v>150</v>
      </c>
      <c r="Q467" s="2">
        <v>450</v>
      </c>
      <c r="R467" s="2">
        <v>0</v>
      </c>
      <c r="S467">
        <f t="shared" si="36"/>
        <v>0</v>
      </c>
      <c r="T467" t="s">
        <v>132</v>
      </c>
      <c r="U467">
        <f>_xlfn.XLOOKUP(T467,$Y$2:$Y$45,$AB$2:$AB$45)*(Q467)</f>
        <v>18</v>
      </c>
      <c r="AD467" s="19">
        <v>39453</v>
      </c>
      <c r="AE467">
        <v>2.4375999999999998</v>
      </c>
      <c r="AG467">
        <v>39453</v>
      </c>
      <c r="AH467" s="1">
        <v>2.4375999999999998</v>
      </c>
    </row>
    <row r="468" spans="1:34" hidden="1" x14ac:dyDescent="0.25">
      <c r="A468" s="2">
        <v>38641</v>
      </c>
      <c r="B468" s="13" t="s">
        <v>890</v>
      </c>
      <c r="C468" s="14" t="s">
        <v>39</v>
      </c>
      <c r="D468" s="15">
        <v>45302</v>
      </c>
      <c r="E468" s="2">
        <v>0</v>
      </c>
      <c r="F468" s="14" t="s">
        <v>891</v>
      </c>
      <c r="G468" t="s">
        <v>892</v>
      </c>
      <c r="H468" s="14" t="s">
        <v>42</v>
      </c>
      <c r="I468" s="2">
        <v>2</v>
      </c>
      <c r="J468" s="2">
        <v>0</v>
      </c>
      <c r="K468" s="2">
        <v>0</v>
      </c>
      <c r="L468" s="2"/>
      <c r="M468" s="2">
        <v>0</v>
      </c>
      <c r="N468" s="14"/>
      <c r="O468" s="14"/>
      <c r="P468" s="2">
        <v>6.2</v>
      </c>
      <c r="Q468" s="2">
        <v>12.4</v>
      </c>
      <c r="R468" s="2">
        <v>5.27</v>
      </c>
      <c r="S468">
        <f t="shared" si="36"/>
        <v>10.54</v>
      </c>
      <c r="T468" t="s">
        <v>184</v>
      </c>
      <c r="U468" s="1">
        <f>_xlfn.XLOOKUP(T468,$Y$2:$Y$45,$AA$2:$AA$45)*(Q468-S468)</f>
        <v>0</v>
      </c>
      <c r="AD468" s="19">
        <v>39460</v>
      </c>
      <c r="AE468">
        <v>0</v>
      </c>
      <c r="AG468">
        <v>39460</v>
      </c>
      <c r="AH468" s="1">
        <v>0</v>
      </c>
    </row>
    <row r="469" spans="1:34" hidden="1" x14ac:dyDescent="0.25">
      <c r="A469" s="2">
        <v>38642</v>
      </c>
      <c r="B469" s="13" t="s">
        <v>893</v>
      </c>
      <c r="C469" s="14" t="s">
        <v>39</v>
      </c>
      <c r="D469" s="15">
        <v>45310</v>
      </c>
      <c r="E469" s="2">
        <v>0</v>
      </c>
      <c r="F469" s="14" t="s">
        <v>894</v>
      </c>
      <c r="G469" t="s">
        <v>895</v>
      </c>
      <c r="H469" s="14" t="s">
        <v>42</v>
      </c>
      <c r="I469" s="2">
        <v>1</v>
      </c>
      <c r="J469" s="2">
        <v>0</v>
      </c>
      <c r="K469" s="2">
        <v>0</v>
      </c>
      <c r="L469" s="2"/>
      <c r="M469" s="2">
        <v>0</v>
      </c>
      <c r="N469" s="14"/>
      <c r="O469" s="14"/>
      <c r="P469" s="2">
        <v>10147</v>
      </c>
      <c r="Q469" s="2">
        <v>10147</v>
      </c>
      <c r="R469" s="2">
        <v>8320</v>
      </c>
      <c r="S469">
        <f t="shared" si="36"/>
        <v>8320</v>
      </c>
      <c r="T469" t="s">
        <v>56</v>
      </c>
      <c r="U469" s="1">
        <f>_xlfn.XLOOKUP(T469,$Y$2:$Y$45,$AA$2:$AA$45)*(Q469-S469)</f>
        <v>155.29500000000002</v>
      </c>
      <c r="AD469" s="19">
        <v>39463</v>
      </c>
      <c r="AE469">
        <v>1.4727999999999997</v>
      </c>
      <c r="AG469">
        <v>39463</v>
      </c>
      <c r="AH469" s="1">
        <v>1.4727999999999997</v>
      </c>
    </row>
    <row r="470" spans="1:34" hidden="1" x14ac:dyDescent="0.25">
      <c r="A470" s="2">
        <v>38642</v>
      </c>
      <c r="B470" s="13" t="s">
        <v>893</v>
      </c>
      <c r="C470" s="14" t="s">
        <v>39</v>
      </c>
      <c r="D470" s="15">
        <v>45310</v>
      </c>
      <c r="E470" s="2">
        <v>0</v>
      </c>
      <c r="F470" s="14" t="s">
        <v>896</v>
      </c>
      <c r="G470" t="s">
        <v>896</v>
      </c>
      <c r="H470" s="14" t="s">
        <v>42</v>
      </c>
      <c r="I470" s="2">
        <v>1</v>
      </c>
      <c r="J470" s="2">
        <v>0</v>
      </c>
      <c r="K470" s="2">
        <v>0</v>
      </c>
      <c r="L470" s="2"/>
      <c r="M470" s="2">
        <v>0</v>
      </c>
      <c r="N470" s="14"/>
      <c r="O470" s="14"/>
      <c r="P470" s="2">
        <v>8093</v>
      </c>
      <c r="Q470" s="2">
        <v>8093</v>
      </c>
      <c r="R470" s="2">
        <v>6636</v>
      </c>
      <c r="S470">
        <f t="shared" si="36"/>
        <v>6636</v>
      </c>
      <c r="T470" t="s">
        <v>56</v>
      </c>
      <c r="U470" s="1">
        <f>_xlfn.XLOOKUP(T470,$Y$2:$Y$45,$AA$2:$AA$45)*(Q470-S470)</f>
        <v>123.84500000000001</v>
      </c>
      <c r="AD470" s="19">
        <v>39464</v>
      </c>
      <c r="AE470">
        <v>0</v>
      </c>
      <c r="AG470">
        <v>39464</v>
      </c>
      <c r="AH470" s="1">
        <v>0</v>
      </c>
    </row>
    <row r="471" spans="1:34" x14ac:dyDescent="0.25">
      <c r="A471" s="2">
        <v>38642</v>
      </c>
      <c r="B471" s="13" t="s">
        <v>893</v>
      </c>
      <c r="C471" s="14" t="s">
        <v>39</v>
      </c>
      <c r="D471" s="15">
        <v>45310</v>
      </c>
      <c r="E471" s="2">
        <v>0</v>
      </c>
      <c r="F471" s="14" t="s">
        <v>152</v>
      </c>
      <c r="G471" t="s">
        <v>153</v>
      </c>
      <c r="H471" s="14" t="s">
        <v>93</v>
      </c>
      <c r="I471" s="2">
        <v>20</v>
      </c>
      <c r="J471" s="2">
        <v>0</v>
      </c>
      <c r="K471" s="2">
        <v>0</v>
      </c>
      <c r="L471" s="2"/>
      <c r="M471" s="2">
        <v>0</v>
      </c>
      <c r="N471" s="14"/>
      <c r="O471" s="14"/>
      <c r="P471" s="2">
        <v>225</v>
      </c>
      <c r="Q471" s="2">
        <v>4500</v>
      </c>
      <c r="R471" s="2">
        <v>0</v>
      </c>
      <c r="S471">
        <f t="shared" si="36"/>
        <v>0</v>
      </c>
      <c r="T471" t="s">
        <v>56</v>
      </c>
      <c r="U471">
        <f>_xlfn.XLOOKUP(T471,$Y$2:$Y$45,$AB$2:$AB$45)*(Q471)</f>
        <v>180</v>
      </c>
      <c r="AD471" s="19">
        <v>39465</v>
      </c>
      <c r="AE471">
        <v>0</v>
      </c>
      <c r="AG471">
        <v>39465</v>
      </c>
      <c r="AH471" s="1">
        <v>0</v>
      </c>
    </row>
    <row r="472" spans="1:34" x14ac:dyDescent="0.25">
      <c r="A472" s="2">
        <v>38642</v>
      </c>
      <c r="B472" s="13" t="s">
        <v>893</v>
      </c>
      <c r="C472" s="14" t="s">
        <v>39</v>
      </c>
      <c r="D472" s="15">
        <v>45310</v>
      </c>
      <c r="E472" s="2">
        <v>0</v>
      </c>
      <c r="F472" s="14" t="s">
        <v>897</v>
      </c>
      <c r="G472" t="s">
        <v>898</v>
      </c>
      <c r="H472" s="14" t="s">
        <v>93</v>
      </c>
      <c r="I472" s="2">
        <v>4</v>
      </c>
      <c r="J472" s="2">
        <v>0</v>
      </c>
      <c r="K472" s="2">
        <v>0</v>
      </c>
      <c r="L472" s="2"/>
      <c r="M472" s="2">
        <v>0</v>
      </c>
      <c r="N472" s="14"/>
      <c r="O472" s="14"/>
      <c r="P472" s="2">
        <v>155</v>
      </c>
      <c r="Q472" s="2">
        <v>620</v>
      </c>
      <c r="R472" s="2">
        <v>0</v>
      </c>
      <c r="S472">
        <f t="shared" si="36"/>
        <v>0</v>
      </c>
      <c r="T472" t="s">
        <v>56</v>
      </c>
      <c r="U472">
        <f>_xlfn.XLOOKUP(T472,$Y$2:$Y$45,$AB$2:$AB$45)*(Q472)</f>
        <v>24.8</v>
      </c>
      <c r="AD472" s="19">
        <v>39466</v>
      </c>
      <c r="AE472">
        <v>0</v>
      </c>
      <c r="AG472">
        <v>39466</v>
      </c>
      <c r="AH472" s="1">
        <v>0</v>
      </c>
    </row>
    <row r="473" spans="1:34" hidden="1" x14ac:dyDescent="0.25">
      <c r="A473" s="2">
        <v>38644</v>
      </c>
      <c r="B473" s="13" t="s">
        <v>899</v>
      </c>
      <c r="C473" s="14" t="s">
        <v>39</v>
      </c>
      <c r="D473" s="15">
        <v>45316</v>
      </c>
      <c r="E473" s="2">
        <v>0</v>
      </c>
      <c r="F473" s="14" t="s">
        <v>191</v>
      </c>
      <c r="G473" t="s">
        <v>900</v>
      </c>
      <c r="H473" s="14" t="s">
        <v>42</v>
      </c>
      <c r="I473" s="2">
        <v>2</v>
      </c>
      <c r="J473" s="2">
        <v>0</v>
      </c>
      <c r="K473" s="2">
        <v>0</v>
      </c>
      <c r="L473" s="2"/>
      <c r="M473" s="2">
        <v>0</v>
      </c>
      <c r="N473" s="14"/>
      <c r="O473" s="14"/>
      <c r="P473" s="2">
        <v>1044</v>
      </c>
      <c r="Q473" s="2">
        <v>2088</v>
      </c>
      <c r="R473" s="2">
        <v>919.34</v>
      </c>
      <c r="S473">
        <f t="shared" si="36"/>
        <v>1838.68</v>
      </c>
      <c r="T473" t="s">
        <v>43</v>
      </c>
      <c r="U473" s="1">
        <f>_xlfn.XLOOKUP(T473,$Y$2:$Y$45,$AA$2:$AA$45)*(Q473-S473)</f>
        <v>21.192199999999996</v>
      </c>
      <c r="AD473" s="19">
        <v>39469</v>
      </c>
      <c r="AE473">
        <v>23.080000000000002</v>
      </c>
      <c r="AG473">
        <v>39469</v>
      </c>
      <c r="AH473" s="1">
        <v>23.080000000000002</v>
      </c>
    </row>
    <row r="474" spans="1:34" hidden="1" x14ac:dyDescent="0.25">
      <c r="A474" s="2">
        <v>38645</v>
      </c>
      <c r="B474" s="13" t="s">
        <v>901</v>
      </c>
      <c r="C474" s="14" t="s">
        <v>39</v>
      </c>
      <c r="D474" s="15">
        <v>45317</v>
      </c>
      <c r="E474" s="2">
        <v>0</v>
      </c>
      <c r="F474" s="14" t="s">
        <v>49</v>
      </c>
      <c r="G474" t="s">
        <v>902</v>
      </c>
      <c r="H474" s="14" t="s">
        <v>42</v>
      </c>
      <c r="I474" s="2">
        <v>1</v>
      </c>
      <c r="J474" s="2">
        <v>0</v>
      </c>
      <c r="K474" s="2">
        <v>0</v>
      </c>
      <c r="L474" s="2"/>
      <c r="M474" s="2">
        <v>0</v>
      </c>
      <c r="N474" s="14"/>
      <c r="O474" s="14"/>
      <c r="P474" s="2">
        <v>135</v>
      </c>
      <c r="Q474" s="2">
        <v>135</v>
      </c>
      <c r="R474" s="2">
        <v>108.48</v>
      </c>
      <c r="S474">
        <f t="shared" si="36"/>
        <v>108.48</v>
      </c>
      <c r="T474" t="s">
        <v>1875</v>
      </c>
      <c r="U474" s="1">
        <f>_xlfn.XLOOKUP(T474,$Y$2:$Y$45,$AA$2:$AA$45,0)*(Q474-S474)</f>
        <v>0</v>
      </c>
      <c r="AD474" s="19">
        <v>39479</v>
      </c>
      <c r="AE474">
        <v>18.103300000000004</v>
      </c>
      <c r="AG474">
        <v>39479</v>
      </c>
      <c r="AH474" s="1">
        <v>18.103300000000004</v>
      </c>
    </row>
    <row r="475" spans="1:34" hidden="1" x14ac:dyDescent="0.25">
      <c r="A475" s="2">
        <v>38645</v>
      </c>
      <c r="B475" s="13" t="s">
        <v>901</v>
      </c>
      <c r="C475" s="14" t="s">
        <v>39</v>
      </c>
      <c r="D475" s="15">
        <v>45317</v>
      </c>
      <c r="E475" s="2">
        <v>0</v>
      </c>
      <c r="F475" s="14" t="s">
        <v>903</v>
      </c>
      <c r="G475" t="s">
        <v>904</v>
      </c>
      <c r="H475" s="14" t="s">
        <v>173</v>
      </c>
      <c r="I475" s="2">
        <v>3</v>
      </c>
      <c r="J475" s="2">
        <v>0</v>
      </c>
      <c r="K475" s="2">
        <v>0</v>
      </c>
      <c r="L475" s="2"/>
      <c r="M475" s="2">
        <v>0</v>
      </c>
      <c r="N475" s="14"/>
      <c r="O475" s="14"/>
      <c r="P475" s="2">
        <v>492</v>
      </c>
      <c r="Q475" s="2">
        <v>1476</v>
      </c>
      <c r="R475" s="2">
        <v>344.36</v>
      </c>
      <c r="S475">
        <f t="shared" si="36"/>
        <v>1033.08</v>
      </c>
      <c r="T475" t="s">
        <v>1875</v>
      </c>
      <c r="U475" s="1">
        <f>_xlfn.XLOOKUP(T475,$Y$2:$Y$45,$AA$2:$AA$45,0)*(Q475-S475)</f>
        <v>0</v>
      </c>
      <c r="AD475" s="19">
        <v>39487</v>
      </c>
      <c r="AE475">
        <v>30.013999999999996</v>
      </c>
      <c r="AG475">
        <v>39487</v>
      </c>
      <c r="AH475" s="1">
        <v>30.013999999999996</v>
      </c>
    </row>
    <row r="476" spans="1:34" x14ac:dyDescent="0.25">
      <c r="A476" s="2">
        <v>38646</v>
      </c>
      <c r="B476" s="13" t="s">
        <v>905</v>
      </c>
      <c r="C476" s="14" t="s">
        <v>39</v>
      </c>
      <c r="D476" s="15">
        <v>45299</v>
      </c>
      <c r="E476" s="2">
        <v>0</v>
      </c>
      <c r="F476" s="14" t="s">
        <v>793</v>
      </c>
      <c r="G476" t="s">
        <v>794</v>
      </c>
      <c r="H476" s="14" t="s">
        <v>93</v>
      </c>
      <c r="I476" s="2">
        <v>10</v>
      </c>
      <c r="J476" s="2">
        <v>0</v>
      </c>
      <c r="K476" s="2">
        <v>0</v>
      </c>
      <c r="L476" s="2"/>
      <c r="M476" s="2">
        <v>0</v>
      </c>
      <c r="N476" s="14"/>
      <c r="O476" s="14"/>
      <c r="P476" s="2">
        <v>220</v>
      </c>
      <c r="Q476" s="2">
        <v>2200</v>
      </c>
      <c r="R476" s="2">
        <v>0</v>
      </c>
      <c r="S476">
        <f t="shared" si="36"/>
        <v>0</v>
      </c>
      <c r="T476" t="s">
        <v>1874</v>
      </c>
      <c r="U476">
        <f>_xlfn.XLOOKUP(T476,$Y$2:$Y$45,$AB$2:$AB$45)*(Q476)</f>
        <v>88</v>
      </c>
      <c r="AD476" s="19">
        <v>39488</v>
      </c>
      <c r="AE476">
        <v>23.080000000000002</v>
      </c>
      <c r="AG476">
        <v>39488</v>
      </c>
      <c r="AH476" s="1">
        <v>23.080000000000002</v>
      </c>
    </row>
    <row r="477" spans="1:34" hidden="1" x14ac:dyDescent="0.25">
      <c r="A477" s="2">
        <v>38651</v>
      </c>
      <c r="B477" s="13" t="s">
        <v>906</v>
      </c>
      <c r="C477" s="14" t="s">
        <v>39</v>
      </c>
      <c r="D477" s="15">
        <v>45300</v>
      </c>
      <c r="E477" s="2">
        <v>0</v>
      </c>
      <c r="F477" s="14" t="s">
        <v>907</v>
      </c>
      <c r="G477" t="s">
        <v>908</v>
      </c>
      <c r="H477" s="14" t="s">
        <v>42</v>
      </c>
      <c r="I477" s="2">
        <v>1</v>
      </c>
      <c r="J477" s="2">
        <v>0</v>
      </c>
      <c r="K477" s="2">
        <v>0</v>
      </c>
      <c r="L477" s="2"/>
      <c r="M477" s="2">
        <v>0</v>
      </c>
      <c r="N477" s="14"/>
      <c r="O477" s="14"/>
      <c r="P477" s="2">
        <v>1443</v>
      </c>
      <c r="Q477" s="2">
        <v>1443</v>
      </c>
      <c r="R477" s="2">
        <v>1183.25</v>
      </c>
      <c r="S477">
        <f t="shared" si="36"/>
        <v>1183.25</v>
      </c>
      <c r="T477" t="s">
        <v>132</v>
      </c>
      <c r="U477" s="1">
        <f>_xlfn.XLOOKUP(T477,$Y$2:$Y$45,$AA$2:$AA$45)*(Q477-S477)</f>
        <v>20.78</v>
      </c>
      <c r="AD477" s="19">
        <v>39496</v>
      </c>
      <c r="AE477">
        <v>1.7639999999999998</v>
      </c>
      <c r="AG477">
        <v>39496</v>
      </c>
      <c r="AH477" s="1">
        <v>1.7639999999999998</v>
      </c>
    </row>
    <row r="478" spans="1:34" hidden="1" x14ac:dyDescent="0.25">
      <c r="A478" s="2">
        <v>38651</v>
      </c>
      <c r="B478" s="13" t="s">
        <v>906</v>
      </c>
      <c r="C478" s="14" t="s">
        <v>39</v>
      </c>
      <c r="D478" s="15">
        <v>45300</v>
      </c>
      <c r="E478" s="2">
        <v>0</v>
      </c>
      <c r="F478" s="14" t="s">
        <v>909</v>
      </c>
      <c r="G478" t="s">
        <v>910</v>
      </c>
      <c r="H478" s="14" t="s">
        <v>42</v>
      </c>
      <c r="I478" s="2">
        <v>1</v>
      </c>
      <c r="J478" s="2">
        <v>0</v>
      </c>
      <c r="K478" s="2">
        <v>0</v>
      </c>
      <c r="L478" s="2"/>
      <c r="M478" s="2">
        <v>0</v>
      </c>
      <c r="N478" s="14"/>
      <c r="O478" s="14"/>
      <c r="P478" s="2">
        <v>292</v>
      </c>
      <c r="Q478" s="2">
        <v>292</v>
      </c>
      <c r="R478" s="2">
        <v>238.73</v>
      </c>
      <c r="S478">
        <f t="shared" si="36"/>
        <v>238.73</v>
      </c>
      <c r="T478" t="s">
        <v>132</v>
      </c>
      <c r="U478" s="1">
        <f>_xlfn.XLOOKUP(T478,$Y$2:$Y$45,$AA$2:$AA$45)*(Q478-S478)</f>
        <v>4.2616000000000005</v>
      </c>
      <c r="AD478" s="19">
        <v>39502</v>
      </c>
      <c r="AE478">
        <v>3.3456000000000006</v>
      </c>
      <c r="AG478">
        <v>39502</v>
      </c>
      <c r="AH478" s="1">
        <v>3.3456000000000006</v>
      </c>
    </row>
    <row r="479" spans="1:34" x14ac:dyDescent="0.25">
      <c r="A479" s="2">
        <v>38651</v>
      </c>
      <c r="B479" s="13" t="s">
        <v>906</v>
      </c>
      <c r="C479" s="14" t="s">
        <v>39</v>
      </c>
      <c r="D479" s="15">
        <v>45300</v>
      </c>
      <c r="E479" s="2">
        <v>0</v>
      </c>
      <c r="F479" s="14" t="s">
        <v>455</v>
      </c>
      <c r="G479" t="s">
        <v>598</v>
      </c>
      <c r="H479" s="14" t="s">
        <v>93</v>
      </c>
      <c r="I479" s="2">
        <v>2</v>
      </c>
      <c r="J479" s="2">
        <v>0</v>
      </c>
      <c r="K479" s="2">
        <v>0</v>
      </c>
      <c r="L479" s="2"/>
      <c r="M479" s="2">
        <v>0</v>
      </c>
      <c r="N479" s="14"/>
      <c r="O479" s="14"/>
      <c r="P479" s="2">
        <v>120</v>
      </c>
      <c r="Q479" s="2">
        <v>240</v>
      </c>
      <c r="R479" s="2">
        <v>0</v>
      </c>
      <c r="S479">
        <f t="shared" si="36"/>
        <v>0</v>
      </c>
      <c r="T479" t="s">
        <v>132</v>
      </c>
      <c r="U479">
        <f>_xlfn.XLOOKUP(T479,$Y$2:$Y$45,$AB$2:$AB$45)*(Q479)</f>
        <v>9.6</v>
      </c>
      <c r="AD479" s="19">
        <v>39536</v>
      </c>
      <c r="AE479">
        <v>16.000800000000002</v>
      </c>
      <c r="AG479">
        <v>39536</v>
      </c>
      <c r="AH479" s="1">
        <v>16.000800000000002</v>
      </c>
    </row>
    <row r="480" spans="1:34" hidden="1" x14ac:dyDescent="0.25">
      <c r="A480" s="2">
        <v>38657</v>
      </c>
      <c r="B480" s="13" t="s">
        <v>911</v>
      </c>
      <c r="C480" s="14" t="s">
        <v>39</v>
      </c>
      <c r="D480" s="15">
        <v>45299</v>
      </c>
      <c r="E480" s="2">
        <v>0</v>
      </c>
      <c r="F480" s="14" t="s">
        <v>912</v>
      </c>
      <c r="G480" t="s">
        <v>913</v>
      </c>
      <c r="H480" s="14" t="s">
        <v>42</v>
      </c>
      <c r="I480" s="2">
        <v>1</v>
      </c>
      <c r="J480" s="2">
        <v>0</v>
      </c>
      <c r="K480" s="2">
        <v>0</v>
      </c>
      <c r="L480" s="2"/>
      <c r="M480" s="2">
        <v>0</v>
      </c>
      <c r="N480" s="14"/>
      <c r="O480" s="14"/>
      <c r="P480" s="2">
        <v>805.2</v>
      </c>
      <c r="Q480" s="2">
        <v>805.2</v>
      </c>
      <c r="R480" s="2">
        <v>660.26</v>
      </c>
      <c r="S480">
        <f t="shared" si="36"/>
        <v>660.26</v>
      </c>
      <c r="T480" t="s">
        <v>150</v>
      </c>
      <c r="U480" s="1">
        <f>_xlfn.XLOOKUP(T480,$Y$2:$Y$45,$AA$2:$AA$45)*(Q480-S480)</f>
        <v>11.595200000000004</v>
      </c>
      <c r="AD480" s="19">
        <v>39552</v>
      </c>
      <c r="AE480">
        <v>0</v>
      </c>
      <c r="AG480">
        <v>39552</v>
      </c>
      <c r="AH480" s="1">
        <v>0</v>
      </c>
    </row>
    <row r="481" spans="1:34" hidden="1" x14ac:dyDescent="0.25">
      <c r="A481" s="2">
        <v>38657</v>
      </c>
      <c r="B481" s="13" t="s">
        <v>911</v>
      </c>
      <c r="C481" s="14" t="s">
        <v>39</v>
      </c>
      <c r="D481" s="15">
        <v>45299</v>
      </c>
      <c r="E481" s="2">
        <v>0</v>
      </c>
      <c r="F481" s="14" t="s">
        <v>914</v>
      </c>
      <c r="G481" t="s">
        <v>915</v>
      </c>
      <c r="H481" s="14" t="s">
        <v>42</v>
      </c>
      <c r="I481" s="2">
        <v>1</v>
      </c>
      <c r="J481" s="2">
        <v>0</v>
      </c>
      <c r="K481" s="2">
        <v>0</v>
      </c>
      <c r="L481" s="2"/>
      <c r="M481" s="2">
        <v>0</v>
      </c>
      <c r="N481" s="14"/>
      <c r="O481" s="14"/>
      <c r="P481" s="2">
        <v>83.65</v>
      </c>
      <c r="Q481" s="2">
        <v>83.65</v>
      </c>
      <c r="R481" s="2">
        <v>68.59</v>
      </c>
      <c r="S481">
        <f t="shared" si="36"/>
        <v>68.59</v>
      </c>
      <c r="T481" t="s">
        <v>150</v>
      </c>
      <c r="U481" s="1">
        <f>_xlfn.XLOOKUP(T481,$Y$2:$Y$45,$AA$2:$AA$45)*(Q481-S481)</f>
        <v>1.2048000000000003</v>
      </c>
      <c r="AD481" s="19">
        <v>39562</v>
      </c>
      <c r="AE481">
        <v>13.056000000000003</v>
      </c>
      <c r="AG481">
        <v>39562</v>
      </c>
      <c r="AH481" s="1">
        <v>13.056000000000003</v>
      </c>
    </row>
    <row r="482" spans="1:34" hidden="1" x14ac:dyDescent="0.25">
      <c r="A482" s="2">
        <v>38660</v>
      </c>
      <c r="B482" s="13" t="s">
        <v>916</v>
      </c>
      <c r="C482" s="14" t="s">
        <v>39</v>
      </c>
      <c r="D482" s="15">
        <v>45302</v>
      </c>
      <c r="E482" s="2">
        <v>0</v>
      </c>
      <c r="F482" s="14" t="s">
        <v>917</v>
      </c>
      <c r="G482" t="s">
        <v>918</v>
      </c>
      <c r="H482" s="14" t="s">
        <v>42</v>
      </c>
      <c r="I482" s="2">
        <v>1</v>
      </c>
      <c r="J482" s="2">
        <v>0</v>
      </c>
      <c r="K482" s="2">
        <v>0</v>
      </c>
      <c r="L482" s="2"/>
      <c r="M482" s="2">
        <v>0</v>
      </c>
      <c r="N482" s="14"/>
      <c r="O482" s="14"/>
      <c r="P482" s="2">
        <v>67</v>
      </c>
      <c r="Q482" s="2">
        <v>67</v>
      </c>
      <c r="R482" s="2">
        <v>55.83</v>
      </c>
      <c r="S482">
        <f t="shared" si="36"/>
        <v>55.83</v>
      </c>
      <c r="T482" t="s">
        <v>132</v>
      </c>
      <c r="U482" s="1">
        <f>_xlfn.XLOOKUP(T482,$Y$2:$Y$45,$AA$2:$AA$45)*(Q482-S482)</f>
        <v>0.89360000000000017</v>
      </c>
      <c r="AD482" s="19">
        <v>39576</v>
      </c>
      <c r="AE482">
        <v>47.032199999999982</v>
      </c>
      <c r="AG482">
        <v>39576</v>
      </c>
      <c r="AH482" s="1">
        <v>47.032199999999982</v>
      </c>
    </row>
    <row r="483" spans="1:34" hidden="1" x14ac:dyDescent="0.25">
      <c r="A483" s="2">
        <v>38663</v>
      </c>
      <c r="B483" s="13" t="s">
        <v>919</v>
      </c>
      <c r="C483" s="14" t="s">
        <v>39</v>
      </c>
      <c r="D483" s="15">
        <v>45299</v>
      </c>
      <c r="E483" s="2">
        <v>0</v>
      </c>
      <c r="F483" s="14" t="s">
        <v>683</v>
      </c>
      <c r="G483" t="s">
        <v>684</v>
      </c>
      <c r="H483" s="14" t="s">
        <v>42</v>
      </c>
      <c r="I483" s="2">
        <v>3</v>
      </c>
      <c r="J483" s="2">
        <v>0</v>
      </c>
      <c r="K483" s="2">
        <v>0</v>
      </c>
      <c r="L483" s="2"/>
      <c r="M483" s="2">
        <v>0</v>
      </c>
      <c r="N483" s="14"/>
      <c r="O483" s="14"/>
      <c r="P483" s="2">
        <v>345.59</v>
      </c>
      <c r="Q483" s="2">
        <v>1036.77</v>
      </c>
      <c r="R483" s="2">
        <v>287.99</v>
      </c>
      <c r="S483">
        <f t="shared" si="36"/>
        <v>863.97</v>
      </c>
      <c r="T483" t="s">
        <v>132</v>
      </c>
      <c r="U483" s="1">
        <f>_xlfn.XLOOKUP(T483,$Y$2:$Y$45,$AA$2:$AA$45)*(Q483-S483)</f>
        <v>13.823999999999996</v>
      </c>
      <c r="AD483" s="19">
        <v>39665</v>
      </c>
      <c r="AE483">
        <v>0</v>
      </c>
      <c r="AG483">
        <v>39665</v>
      </c>
      <c r="AH483" s="1">
        <v>0</v>
      </c>
    </row>
    <row r="484" spans="1:34" hidden="1" x14ac:dyDescent="0.25">
      <c r="A484" s="2">
        <v>38663</v>
      </c>
      <c r="B484" s="13" t="s">
        <v>919</v>
      </c>
      <c r="C484" s="14" t="s">
        <v>39</v>
      </c>
      <c r="D484" s="15">
        <v>45299</v>
      </c>
      <c r="E484" s="2">
        <v>0</v>
      </c>
      <c r="F484" s="14" t="s">
        <v>920</v>
      </c>
      <c r="G484" t="s">
        <v>921</v>
      </c>
      <c r="H484" s="14" t="s">
        <v>42</v>
      </c>
      <c r="I484" s="2">
        <v>3</v>
      </c>
      <c r="J484" s="2">
        <v>0</v>
      </c>
      <c r="K484" s="2">
        <v>0</v>
      </c>
      <c r="L484" s="2"/>
      <c r="M484" s="2">
        <v>0</v>
      </c>
      <c r="N484" s="14"/>
      <c r="O484" s="14"/>
      <c r="P484" s="2">
        <v>1424.1</v>
      </c>
      <c r="Q484" s="2">
        <v>4272.3</v>
      </c>
      <c r="R484" s="2">
        <v>1186.75</v>
      </c>
      <c r="S484">
        <f t="shared" si="36"/>
        <v>3560.25</v>
      </c>
      <c r="T484" t="s">
        <v>132</v>
      </c>
      <c r="U484" s="1">
        <f>_xlfn.XLOOKUP(T484,$Y$2:$Y$45,$AA$2:$AA$45)*(Q484-S484)</f>
        <v>56.964000000000013</v>
      </c>
      <c r="AD484" s="19">
        <v>39695</v>
      </c>
      <c r="AE484">
        <v>0</v>
      </c>
      <c r="AG484">
        <v>39695</v>
      </c>
      <c r="AH484" s="1">
        <v>0</v>
      </c>
    </row>
    <row r="485" spans="1:34" x14ac:dyDescent="0.25">
      <c r="A485" s="2">
        <v>38663</v>
      </c>
      <c r="B485" s="13" t="s">
        <v>919</v>
      </c>
      <c r="C485" s="14" t="s">
        <v>39</v>
      </c>
      <c r="D485" s="15">
        <v>45299</v>
      </c>
      <c r="E485" s="2">
        <v>0</v>
      </c>
      <c r="F485" s="14" t="s">
        <v>417</v>
      </c>
      <c r="G485" t="s">
        <v>417</v>
      </c>
      <c r="H485" s="14" t="s">
        <v>93</v>
      </c>
      <c r="I485" s="2">
        <v>3</v>
      </c>
      <c r="J485" s="2">
        <v>0</v>
      </c>
      <c r="K485" s="2">
        <v>0</v>
      </c>
      <c r="L485" s="2"/>
      <c r="M485" s="2">
        <v>0</v>
      </c>
      <c r="N485" s="14"/>
      <c r="O485" s="14"/>
      <c r="P485" s="2">
        <v>250</v>
      </c>
      <c r="Q485" s="2">
        <v>750</v>
      </c>
      <c r="R485" s="2">
        <v>0</v>
      </c>
      <c r="S485">
        <f t="shared" si="36"/>
        <v>0</v>
      </c>
      <c r="T485" t="s">
        <v>132</v>
      </c>
      <c r="U485">
        <f>_xlfn.XLOOKUP(T485,$Y$2:$Y$45,$AB$2:$AB$45)*(Q485)</f>
        <v>30</v>
      </c>
      <c r="AD485" s="19" t="s">
        <v>922</v>
      </c>
      <c r="AG485" t="s">
        <v>922</v>
      </c>
    </row>
    <row r="486" spans="1:34" hidden="1" x14ac:dyDescent="0.25">
      <c r="A486" s="2">
        <v>38670</v>
      </c>
      <c r="B486" s="13" t="s">
        <v>923</v>
      </c>
      <c r="C486" s="14" t="s">
        <v>39</v>
      </c>
      <c r="D486" s="15">
        <v>45299</v>
      </c>
      <c r="E486" s="2">
        <v>0</v>
      </c>
      <c r="F486" s="14" t="s">
        <v>924</v>
      </c>
      <c r="G486" t="s">
        <v>925</v>
      </c>
      <c r="H486" s="14" t="s">
        <v>42</v>
      </c>
      <c r="I486" s="2">
        <v>1</v>
      </c>
      <c r="J486" s="2">
        <v>0</v>
      </c>
      <c r="K486" s="2">
        <v>0</v>
      </c>
      <c r="L486" s="2"/>
      <c r="M486" s="2">
        <v>0</v>
      </c>
      <c r="N486" s="14"/>
      <c r="O486" s="14"/>
      <c r="P486" s="2">
        <v>288</v>
      </c>
      <c r="Q486" s="2">
        <v>288</v>
      </c>
      <c r="R486" s="2">
        <v>231</v>
      </c>
      <c r="S486">
        <f t="shared" si="36"/>
        <v>231</v>
      </c>
      <c r="T486" t="s">
        <v>43</v>
      </c>
      <c r="U486" s="1">
        <f>_xlfn.XLOOKUP(T486,$Y$2:$Y$45,$AA$2:$AA$45)*(Q486-S486)</f>
        <v>4.8450000000000006</v>
      </c>
      <c r="AD486" s="19" t="s">
        <v>2270</v>
      </c>
      <c r="AE486">
        <v>391.5992500000001</v>
      </c>
      <c r="AG486" t="s">
        <v>2270</v>
      </c>
      <c r="AH486" s="1">
        <v>391.5992500000001</v>
      </c>
    </row>
    <row r="487" spans="1:34" hidden="1" x14ac:dyDescent="0.25">
      <c r="A487" s="2">
        <v>38675</v>
      </c>
      <c r="B487" s="13" t="s">
        <v>927</v>
      </c>
      <c r="C487" s="14" t="s">
        <v>39</v>
      </c>
      <c r="D487" s="15">
        <v>45302</v>
      </c>
      <c r="E487" s="2">
        <v>0</v>
      </c>
      <c r="F487" s="14" t="s">
        <v>928</v>
      </c>
      <c r="G487" t="s">
        <v>929</v>
      </c>
      <c r="H487" s="14" t="s">
        <v>42</v>
      </c>
      <c r="I487" s="2">
        <v>1</v>
      </c>
      <c r="J487" s="2">
        <v>0</v>
      </c>
      <c r="K487" s="2">
        <v>0</v>
      </c>
      <c r="L487" s="2"/>
      <c r="M487" s="2">
        <v>0</v>
      </c>
      <c r="N487" s="14"/>
      <c r="O487" s="14"/>
      <c r="P487" s="2">
        <v>528.87</v>
      </c>
      <c r="Q487" s="2">
        <v>528.87</v>
      </c>
      <c r="R487" s="2">
        <v>406.82</v>
      </c>
      <c r="S487">
        <f t="shared" si="36"/>
        <v>406.82</v>
      </c>
      <c r="T487" t="s">
        <v>181</v>
      </c>
      <c r="U487" s="1">
        <f>_xlfn.XLOOKUP(T487,$Y$2:$Y$45,$AA$2:$AA$45)*(Q487-S487)</f>
        <v>0</v>
      </c>
      <c r="AD487" s="19" t="s">
        <v>2271</v>
      </c>
      <c r="AE487">
        <v>2.8347499999999997</v>
      </c>
      <c r="AG487" t="s">
        <v>2271</v>
      </c>
      <c r="AH487" s="1">
        <v>2.8347499999999997</v>
      </c>
    </row>
    <row r="488" spans="1:34" hidden="1" x14ac:dyDescent="0.25">
      <c r="A488" s="2">
        <v>38676</v>
      </c>
      <c r="B488" s="13" t="s">
        <v>930</v>
      </c>
      <c r="C488" s="14" t="s">
        <v>39</v>
      </c>
      <c r="D488" s="15">
        <v>45303</v>
      </c>
      <c r="E488" s="2">
        <v>-31.81</v>
      </c>
      <c r="F488" s="14" t="s">
        <v>931</v>
      </c>
      <c r="G488" t="s">
        <v>932</v>
      </c>
      <c r="H488" s="14" t="s">
        <v>933</v>
      </c>
      <c r="I488" s="2">
        <v>-120</v>
      </c>
      <c r="J488" s="2">
        <v>0</v>
      </c>
      <c r="K488" s="2">
        <v>0</v>
      </c>
      <c r="L488" s="2"/>
      <c r="M488" s="2">
        <v>0</v>
      </c>
      <c r="N488" s="14"/>
      <c r="O488" s="14"/>
      <c r="P488" s="2">
        <v>6.4</v>
      </c>
      <c r="Q488" s="2">
        <v>-768</v>
      </c>
      <c r="R488" s="2">
        <v>5.38</v>
      </c>
      <c r="S488">
        <f t="shared" si="36"/>
        <v>-645.6</v>
      </c>
      <c r="T488" t="s">
        <v>1874</v>
      </c>
      <c r="U488">
        <f>_xlfn.XLOOKUP(T488,$Y$2:$Y$45,$AB$2:$AB$45)*(Q488)</f>
        <v>-30.72</v>
      </c>
      <c r="AD488" s="19" t="s">
        <v>2272</v>
      </c>
      <c r="AE488">
        <v>80</v>
      </c>
      <c r="AG488" t="s">
        <v>2272</v>
      </c>
      <c r="AH488" s="1">
        <v>80</v>
      </c>
    </row>
    <row r="489" spans="1:34" hidden="1" x14ac:dyDescent="0.25">
      <c r="A489" s="2">
        <v>38678</v>
      </c>
      <c r="B489" s="13" t="s">
        <v>934</v>
      </c>
      <c r="C489" s="14" t="s">
        <v>39</v>
      </c>
      <c r="D489" s="15">
        <v>45299</v>
      </c>
      <c r="E489" s="2">
        <v>0</v>
      </c>
      <c r="F489" s="14" t="s">
        <v>638</v>
      </c>
      <c r="G489" t="s">
        <v>639</v>
      </c>
      <c r="H489" s="14" t="s">
        <v>42</v>
      </c>
      <c r="I489" s="2">
        <v>1</v>
      </c>
      <c r="J489" s="2">
        <v>0</v>
      </c>
      <c r="K489" s="2">
        <v>0</v>
      </c>
      <c r="L489" s="2"/>
      <c r="M489" s="2">
        <v>0</v>
      </c>
      <c r="N489" s="14"/>
      <c r="O489" s="14"/>
      <c r="P489" s="2">
        <v>515.72</v>
      </c>
      <c r="Q489" s="2">
        <v>515.72</v>
      </c>
      <c r="R489" s="2">
        <v>412.58</v>
      </c>
      <c r="S489">
        <f t="shared" si="36"/>
        <v>412.58</v>
      </c>
      <c r="T489" t="s">
        <v>184</v>
      </c>
      <c r="U489" s="1">
        <f>_xlfn.XLOOKUP(T489,$Y$2:$Y$45,$AA$2:$AA$45)*(Q489-S489)</f>
        <v>0</v>
      </c>
      <c r="AD489" s="19" t="s">
        <v>2273</v>
      </c>
      <c r="AE489">
        <v>20.19854999999999</v>
      </c>
      <c r="AG489" t="s">
        <v>2273</v>
      </c>
      <c r="AH489" s="1">
        <v>20.19854999999999</v>
      </c>
    </row>
    <row r="490" spans="1:34" hidden="1" x14ac:dyDescent="0.25">
      <c r="A490" s="2">
        <v>38681</v>
      </c>
      <c r="B490" s="13" t="s">
        <v>935</v>
      </c>
      <c r="C490" s="14" t="s">
        <v>39</v>
      </c>
      <c r="D490" s="15">
        <v>45309</v>
      </c>
      <c r="E490" s="2">
        <v>0</v>
      </c>
      <c r="F490" s="14" t="s">
        <v>936</v>
      </c>
      <c r="G490" t="s">
        <v>937</v>
      </c>
      <c r="H490" s="14" t="s">
        <v>42</v>
      </c>
      <c r="I490" s="2">
        <v>1</v>
      </c>
      <c r="J490" s="2">
        <v>0</v>
      </c>
      <c r="K490" s="2">
        <v>0</v>
      </c>
      <c r="L490" s="2"/>
      <c r="M490" s="2">
        <v>0</v>
      </c>
      <c r="N490" s="14"/>
      <c r="O490" s="14"/>
      <c r="P490" s="2">
        <v>292</v>
      </c>
      <c r="Q490" s="2">
        <v>292</v>
      </c>
      <c r="R490" s="2">
        <v>247.72</v>
      </c>
      <c r="S490">
        <f t="shared" si="36"/>
        <v>247.72</v>
      </c>
      <c r="T490" t="s">
        <v>132</v>
      </c>
      <c r="U490" s="1">
        <f>_xlfn.XLOOKUP(T490,$Y$2:$Y$45,$AA$2:$AA$45)*(Q490-S490)</f>
        <v>3.5424000000000002</v>
      </c>
      <c r="AD490" s="19" t="s">
        <v>2274</v>
      </c>
      <c r="AE490">
        <v>11.433350000000001</v>
      </c>
      <c r="AG490" t="s">
        <v>2274</v>
      </c>
      <c r="AH490" s="1">
        <v>11.433350000000001</v>
      </c>
    </row>
    <row r="491" spans="1:34" hidden="1" x14ac:dyDescent="0.25">
      <c r="A491" s="2">
        <v>38682</v>
      </c>
      <c r="B491" s="13" t="s">
        <v>938</v>
      </c>
      <c r="C491" s="14" t="s">
        <v>39</v>
      </c>
      <c r="D491" s="15">
        <v>45313</v>
      </c>
      <c r="E491" s="2">
        <v>0</v>
      </c>
      <c r="F491" s="14" t="s">
        <v>939</v>
      </c>
      <c r="G491" t="s">
        <v>940</v>
      </c>
      <c r="H491" s="14" t="s">
        <v>42</v>
      </c>
      <c r="I491" s="2">
        <v>1</v>
      </c>
      <c r="J491" s="2">
        <v>0</v>
      </c>
      <c r="K491" s="2">
        <v>0</v>
      </c>
      <c r="L491" s="2"/>
      <c r="M491" s="2">
        <v>0</v>
      </c>
      <c r="N491" s="14"/>
      <c r="O491" s="14"/>
      <c r="P491" s="2">
        <v>2027.13</v>
      </c>
      <c r="Q491" s="2">
        <v>2027.13</v>
      </c>
      <c r="R491" s="2">
        <v>1621.75</v>
      </c>
      <c r="S491">
        <f t="shared" si="36"/>
        <v>1621.75</v>
      </c>
      <c r="T491" t="s">
        <v>107</v>
      </c>
      <c r="U491" s="1">
        <f>_xlfn.XLOOKUP(T491,$Y$2:$Y$45,$AA$2:$AA$45)*(Q491-S491)</f>
        <v>16.215200000000003</v>
      </c>
      <c r="AD491" s="19" t="s">
        <v>2275</v>
      </c>
      <c r="AE491">
        <v>20.874300000000016</v>
      </c>
      <c r="AG491" t="s">
        <v>2275</v>
      </c>
      <c r="AH491" s="1">
        <v>20.874300000000016</v>
      </c>
    </row>
    <row r="492" spans="1:34" x14ac:dyDescent="0.25">
      <c r="A492" s="2">
        <v>38682</v>
      </c>
      <c r="B492" s="13" t="s">
        <v>938</v>
      </c>
      <c r="C492" s="14" t="s">
        <v>39</v>
      </c>
      <c r="D492" s="15">
        <v>45313</v>
      </c>
      <c r="E492" s="2">
        <v>0</v>
      </c>
      <c r="F492" s="14" t="s">
        <v>260</v>
      </c>
      <c r="G492" t="s">
        <v>941</v>
      </c>
      <c r="H492" s="14" t="s">
        <v>93</v>
      </c>
      <c r="I492" s="2">
        <v>4</v>
      </c>
      <c r="J492" s="2">
        <v>0</v>
      </c>
      <c r="K492" s="2">
        <v>0</v>
      </c>
      <c r="L492" s="2"/>
      <c r="M492" s="2">
        <v>0</v>
      </c>
      <c r="N492" s="14"/>
      <c r="O492" s="14"/>
      <c r="P492" s="2">
        <v>176</v>
      </c>
      <c r="Q492" s="2">
        <v>704</v>
      </c>
      <c r="R492" s="2">
        <v>0</v>
      </c>
      <c r="S492">
        <f t="shared" si="36"/>
        <v>0</v>
      </c>
      <c r="T492" t="s">
        <v>107</v>
      </c>
      <c r="U492">
        <f>_xlfn.XLOOKUP(T492,$Y$2:$Y$45,$AB$2:$AB$45)*(Q492)</f>
        <v>28.16</v>
      </c>
      <c r="AD492" s="19" t="s">
        <v>2276</v>
      </c>
      <c r="AE492">
        <v>62.622900000000023</v>
      </c>
      <c r="AG492" t="s">
        <v>2276</v>
      </c>
      <c r="AH492" s="1">
        <v>62.622900000000023</v>
      </c>
    </row>
    <row r="493" spans="1:34" hidden="1" x14ac:dyDescent="0.25">
      <c r="A493" s="2">
        <v>38682</v>
      </c>
      <c r="B493" s="13" t="s">
        <v>938</v>
      </c>
      <c r="C493" s="14" t="s">
        <v>39</v>
      </c>
      <c r="D493" s="15">
        <v>45313</v>
      </c>
      <c r="E493" s="2">
        <v>0</v>
      </c>
      <c r="F493" s="14" t="s">
        <v>942</v>
      </c>
      <c r="G493" t="s">
        <v>943</v>
      </c>
      <c r="H493" s="14" t="s">
        <v>42</v>
      </c>
      <c r="I493" s="2">
        <v>1</v>
      </c>
      <c r="J493" s="2">
        <v>0</v>
      </c>
      <c r="K493" s="2">
        <v>0</v>
      </c>
      <c r="L493" s="2"/>
      <c r="M493" s="2">
        <v>0</v>
      </c>
      <c r="N493" s="14"/>
      <c r="O493" s="14"/>
      <c r="P493" s="2">
        <v>1205.6500000000001</v>
      </c>
      <c r="Q493" s="2">
        <v>1205.6500000000001</v>
      </c>
      <c r="R493" s="2">
        <v>964.52</v>
      </c>
      <c r="S493">
        <f t="shared" si="36"/>
        <v>964.52</v>
      </c>
      <c r="T493" t="s">
        <v>107</v>
      </c>
      <c r="U493" s="1">
        <f>_xlfn.XLOOKUP(T493,$Y$2:$Y$45,$AA$2:$AA$45)*(Q493-S493)</f>
        <v>9.6452000000000044</v>
      </c>
      <c r="AD493" s="19" t="s">
        <v>2277</v>
      </c>
      <c r="AE493">
        <v>2.8347499999999997</v>
      </c>
      <c r="AG493" t="s">
        <v>2277</v>
      </c>
      <c r="AH493" s="1">
        <v>2.8347499999999997</v>
      </c>
    </row>
    <row r="494" spans="1:34" hidden="1" x14ac:dyDescent="0.25">
      <c r="A494" s="2">
        <v>38682</v>
      </c>
      <c r="B494" s="13" t="s">
        <v>938</v>
      </c>
      <c r="C494" s="14" t="s">
        <v>39</v>
      </c>
      <c r="D494" s="15">
        <v>45313</v>
      </c>
      <c r="E494" s="2">
        <v>0</v>
      </c>
      <c r="F494" s="14" t="s">
        <v>944</v>
      </c>
      <c r="G494" t="s">
        <v>945</v>
      </c>
      <c r="H494" s="14" t="s">
        <v>42</v>
      </c>
      <c r="I494" s="2">
        <v>1</v>
      </c>
      <c r="J494" s="2">
        <v>0</v>
      </c>
      <c r="K494" s="2">
        <v>0</v>
      </c>
      <c r="L494" s="2"/>
      <c r="M494" s="2">
        <v>0</v>
      </c>
      <c r="N494" s="14"/>
      <c r="O494" s="14"/>
      <c r="P494" s="2">
        <v>13.29</v>
      </c>
      <c r="Q494" s="2">
        <v>13.29</v>
      </c>
      <c r="R494" s="2">
        <v>10.63</v>
      </c>
      <c r="S494">
        <f t="shared" si="36"/>
        <v>10.63</v>
      </c>
      <c r="T494" t="s">
        <v>107</v>
      </c>
      <c r="U494" s="1">
        <f>_xlfn.XLOOKUP(T494,$Y$2:$Y$45,$AA$2:$AA$45)*(Q494-S494)</f>
        <v>0.10639999999999994</v>
      </c>
      <c r="AD494" s="19" t="s">
        <v>2278</v>
      </c>
      <c r="AE494">
        <v>0.64855000000000029</v>
      </c>
      <c r="AG494" t="s">
        <v>2278</v>
      </c>
      <c r="AH494" s="1">
        <v>0.64855000000000029</v>
      </c>
    </row>
    <row r="495" spans="1:34" hidden="1" x14ac:dyDescent="0.25">
      <c r="A495" s="2">
        <v>38682</v>
      </c>
      <c r="B495" s="13" t="s">
        <v>938</v>
      </c>
      <c r="C495" s="14" t="s">
        <v>39</v>
      </c>
      <c r="D495" s="15">
        <v>45313</v>
      </c>
      <c r="E495" s="2">
        <v>0</v>
      </c>
      <c r="F495" s="14" t="s">
        <v>946</v>
      </c>
      <c r="G495" t="s">
        <v>947</v>
      </c>
      <c r="H495" s="14" t="s">
        <v>42</v>
      </c>
      <c r="I495" s="2">
        <v>1</v>
      </c>
      <c r="J495" s="2">
        <v>0</v>
      </c>
      <c r="K495" s="2">
        <v>0</v>
      </c>
      <c r="L495" s="2"/>
      <c r="M495" s="2">
        <v>0</v>
      </c>
      <c r="N495" s="14"/>
      <c r="O495" s="14"/>
      <c r="P495" s="2">
        <v>250</v>
      </c>
      <c r="Q495" s="2">
        <v>250</v>
      </c>
      <c r="R495" s="2">
        <v>199.6</v>
      </c>
      <c r="S495">
        <f t="shared" si="36"/>
        <v>199.6</v>
      </c>
      <c r="T495" t="s">
        <v>107</v>
      </c>
      <c r="U495" s="1">
        <f>_xlfn.XLOOKUP(T495,$Y$2:$Y$45,$AA$2:$AA$45)*(Q495-S495)</f>
        <v>2.0160000000000005</v>
      </c>
      <c r="AD495" s="19" t="s">
        <v>2279</v>
      </c>
      <c r="AE495">
        <v>2.8168999999999991</v>
      </c>
      <c r="AG495" t="s">
        <v>2279</v>
      </c>
      <c r="AH495" s="1">
        <v>2.8168999999999991</v>
      </c>
    </row>
    <row r="496" spans="1:34" hidden="1" x14ac:dyDescent="0.25">
      <c r="A496" s="2">
        <v>38682</v>
      </c>
      <c r="B496" s="13" t="s">
        <v>938</v>
      </c>
      <c r="C496" s="14" t="s">
        <v>39</v>
      </c>
      <c r="D496" s="15">
        <v>45313</v>
      </c>
      <c r="E496" s="2">
        <v>0</v>
      </c>
      <c r="F496" s="14" t="s">
        <v>948</v>
      </c>
      <c r="G496" t="s">
        <v>949</v>
      </c>
      <c r="H496" s="14" t="s">
        <v>42</v>
      </c>
      <c r="I496" s="2">
        <v>1</v>
      </c>
      <c r="J496" s="2">
        <v>0</v>
      </c>
      <c r="K496" s="2">
        <v>0</v>
      </c>
      <c r="L496" s="2"/>
      <c r="M496" s="2">
        <v>0</v>
      </c>
      <c r="N496" s="14"/>
      <c r="O496" s="14"/>
      <c r="P496" s="2">
        <v>958.18</v>
      </c>
      <c r="Q496" s="2">
        <v>958.18</v>
      </c>
      <c r="R496" s="2">
        <v>766.54</v>
      </c>
      <c r="S496">
        <f t="shared" si="36"/>
        <v>766.54</v>
      </c>
      <c r="T496" t="s">
        <v>107</v>
      </c>
      <c r="U496" s="1">
        <f>_xlfn.XLOOKUP(T496,$Y$2:$Y$45,$AA$2:$AA$45)*(Q496-S496)</f>
        <v>7.6655999999999995</v>
      </c>
      <c r="AD496" s="19" t="s">
        <v>2280</v>
      </c>
      <c r="AE496">
        <v>5.0158499999999995</v>
      </c>
      <c r="AG496" t="s">
        <v>2280</v>
      </c>
      <c r="AH496" s="1">
        <v>5.0158499999999995</v>
      </c>
    </row>
    <row r="497" spans="1:34" hidden="1" x14ac:dyDescent="0.25">
      <c r="A497" s="2">
        <v>38682</v>
      </c>
      <c r="B497" s="13" t="s">
        <v>938</v>
      </c>
      <c r="C497" s="14" t="s">
        <v>39</v>
      </c>
      <c r="D497" s="15">
        <v>45313</v>
      </c>
      <c r="E497" s="2">
        <v>0</v>
      </c>
      <c r="F497" s="14" t="s">
        <v>950</v>
      </c>
      <c r="G497" t="s">
        <v>951</v>
      </c>
      <c r="H497" s="14" t="s">
        <v>42</v>
      </c>
      <c r="I497" s="2">
        <v>2</v>
      </c>
      <c r="J497" s="2">
        <v>0</v>
      </c>
      <c r="K497" s="2">
        <v>0</v>
      </c>
      <c r="L497" s="2"/>
      <c r="M497" s="2">
        <v>0</v>
      </c>
      <c r="N497" s="14"/>
      <c r="O497" s="14"/>
      <c r="P497" s="2">
        <v>79.2</v>
      </c>
      <c r="Q497" s="2">
        <v>158.4</v>
      </c>
      <c r="R497" s="2">
        <v>63.36</v>
      </c>
      <c r="S497">
        <f t="shared" si="36"/>
        <v>126.72</v>
      </c>
      <c r="T497" t="s">
        <v>107</v>
      </c>
      <c r="U497" s="1">
        <f>_xlfn.XLOOKUP(T497,$Y$2:$Y$45,$AA$2:$AA$45)*(Q497-S497)</f>
        <v>1.2672000000000003</v>
      </c>
      <c r="AD497" s="19" t="s">
        <v>2281</v>
      </c>
      <c r="AE497">
        <v>3.0583000000000018</v>
      </c>
      <c r="AG497" t="s">
        <v>2281</v>
      </c>
      <c r="AH497" s="1">
        <v>3.0583000000000018</v>
      </c>
    </row>
    <row r="498" spans="1:34" x14ac:dyDescent="0.25">
      <c r="A498" s="2">
        <v>38682</v>
      </c>
      <c r="B498" s="13" t="s">
        <v>938</v>
      </c>
      <c r="C498" s="14" t="s">
        <v>39</v>
      </c>
      <c r="D498" s="15">
        <v>45313</v>
      </c>
      <c r="E498" s="2">
        <v>0</v>
      </c>
      <c r="F498" s="14" t="s">
        <v>455</v>
      </c>
      <c r="G498" t="s">
        <v>952</v>
      </c>
      <c r="H498" s="14" t="s">
        <v>93</v>
      </c>
      <c r="I498" s="2">
        <v>3</v>
      </c>
      <c r="J498" s="2">
        <v>0</v>
      </c>
      <c r="K498" s="2">
        <v>0</v>
      </c>
      <c r="L498" s="2"/>
      <c r="M498" s="2">
        <v>0</v>
      </c>
      <c r="N498" s="14"/>
      <c r="O498" s="14"/>
      <c r="P498" s="2">
        <v>145.19999999999999</v>
      </c>
      <c r="Q498" s="2">
        <v>435.6</v>
      </c>
      <c r="R498" s="2">
        <v>0</v>
      </c>
      <c r="S498">
        <f t="shared" si="36"/>
        <v>0</v>
      </c>
      <c r="T498" t="s">
        <v>107</v>
      </c>
      <c r="U498">
        <f>_xlfn.XLOOKUP(T498,$Y$2:$Y$45,$AB$2:$AB$45)*(Q498)</f>
        <v>17.424000000000003</v>
      </c>
      <c r="AD498" s="19" t="s">
        <v>2282</v>
      </c>
      <c r="AE498">
        <v>517.03545000000008</v>
      </c>
      <c r="AG498" t="s">
        <v>2282</v>
      </c>
      <c r="AH498" s="1">
        <v>517.03545000000008</v>
      </c>
    </row>
    <row r="499" spans="1:34" hidden="1" x14ac:dyDescent="0.25">
      <c r="A499" s="2">
        <v>38682</v>
      </c>
      <c r="B499" s="13" t="s">
        <v>938</v>
      </c>
      <c r="C499" s="14" t="s">
        <v>39</v>
      </c>
      <c r="D499" s="15">
        <v>45313</v>
      </c>
      <c r="E499" s="2">
        <v>0</v>
      </c>
      <c r="F499" s="14" t="s">
        <v>953</v>
      </c>
      <c r="G499" t="s">
        <v>954</v>
      </c>
      <c r="H499" s="14" t="s">
        <v>42</v>
      </c>
      <c r="I499" s="2">
        <v>2</v>
      </c>
      <c r="J499" s="2">
        <v>0</v>
      </c>
      <c r="K499" s="2">
        <v>0</v>
      </c>
      <c r="L499" s="2"/>
      <c r="M499" s="2">
        <v>0</v>
      </c>
      <c r="N499" s="14"/>
      <c r="O499" s="14"/>
      <c r="P499" s="2">
        <v>64</v>
      </c>
      <c r="Q499" s="2">
        <v>128</v>
      </c>
      <c r="R499" s="2">
        <v>51.2</v>
      </c>
      <c r="S499">
        <f t="shared" si="36"/>
        <v>102.4</v>
      </c>
      <c r="T499" t="s">
        <v>107</v>
      </c>
      <c r="U499" s="1">
        <f>_xlfn.XLOOKUP(T499,$Y$2:$Y$45,$AA$2:$AA$45)*(Q499-S499)</f>
        <v>1.0239999999999998</v>
      </c>
      <c r="AD499" s="19" t="s">
        <v>2283</v>
      </c>
      <c r="AE499">
        <v>0</v>
      </c>
      <c r="AG499" t="s">
        <v>2283</v>
      </c>
      <c r="AH499" s="1">
        <v>0</v>
      </c>
    </row>
    <row r="500" spans="1:34" hidden="1" x14ac:dyDescent="0.25">
      <c r="A500" s="2">
        <v>38682</v>
      </c>
      <c r="B500" s="13" t="s">
        <v>938</v>
      </c>
      <c r="C500" s="14" t="s">
        <v>39</v>
      </c>
      <c r="D500" s="15">
        <v>45313</v>
      </c>
      <c r="E500" s="2">
        <v>0</v>
      </c>
      <c r="F500" s="14" t="s">
        <v>955</v>
      </c>
      <c r="G500" t="s">
        <v>956</v>
      </c>
      <c r="H500" s="14" t="s">
        <v>42</v>
      </c>
      <c r="I500" s="2">
        <v>1</v>
      </c>
      <c r="J500" s="2">
        <v>0</v>
      </c>
      <c r="K500" s="2">
        <v>0</v>
      </c>
      <c r="L500" s="2"/>
      <c r="M500" s="2">
        <v>0</v>
      </c>
      <c r="N500" s="14"/>
      <c r="O500" s="14"/>
      <c r="P500" s="2">
        <v>508.45</v>
      </c>
      <c r="Q500" s="2">
        <v>508.45</v>
      </c>
      <c r="R500" s="2">
        <v>406.76</v>
      </c>
      <c r="S500">
        <f t="shared" si="36"/>
        <v>406.76</v>
      </c>
      <c r="T500" t="s">
        <v>107</v>
      </c>
      <c r="U500" s="1">
        <f>_xlfn.XLOOKUP(T500,$Y$2:$Y$45,$AA$2:$AA$45)*(Q500-S500)</f>
        <v>4.0675999999999997</v>
      </c>
      <c r="AD500" s="19" t="s">
        <v>2284</v>
      </c>
      <c r="AE500">
        <v>22.290399999999984</v>
      </c>
      <c r="AG500" t="s">
        <v>2284</v>
      </c>
      <c r="AH500" s="1">
        <v>22.290399999999984</v>
      </c>
    </row>
    <row r="501" spans="1:34" hidden="1" x14ac:dyDescent="0.25">
      <c r="A501" s="2">
        <v>38682</v>
      </c>
      <c r="B501" s="13" t="s">
        <v>938</v>
      </c>
      <c r="C501" s="14" t="s">
        <v>39</v>
      </c>
      <c r="D501" s="15">
        <v>45313</v>
      </c>
      <c r="E501" s="2">
        <v>0</v>
      </c>
      <c r="F501" s="14" t="s">
        <v>957</v>
      </c>
      <c r="G501" t="s">
        <v>958</v>
      </c>
      <c r="H501" s="14" t="s">
        <v>42</v>
      </c>
      <c r="I501" s="2">
        <v>1</v>
      </c>
      <c r="J501" s="2">
        <v>0</v>
      </c>
      <c r="K501" s="2">
        <v>0</v>
      </c>
      <c r="L501" s="2"/>
      <c r="M501" s="2">
        <v>0</v>
      </c>
      <c r="N501" s="14"/>
      <c r="O501" s="14"/>
      <c r="P501" s="2">
        <v>340.34</v>
      </c>
      <c r="Q501" s="2">
        <v>340.34</v>
      </c>
      <c r="R501" s="2">
        <v>272.27</v>
      </c>
      <c r="S501">
        <f t="shared" si="36"/>
        <v>272.27</v>
      </c>
      <c r="T501" t="s">
        <v>107</v>
      </c>
      <c r="U501" s="1">
        <f>_xlfn.XLOOKUP(T501,$Y$2:$Y$45,$AA$2:$AA$45)*(Q501-S501)</f>
        <v>2.7227999999999999</v>
      </c>
      <c r="AD501" s="19" t="s">
        <v>2285</v>
      </c>
      <c r="AE501">
        <v>22.014150000000011</v>
      </c>
      <c r="AG501" t="s">
        <v>2285</v>
      </c>
      <c r="AH501" s="1">
        <v>22.014150000000011</v>
      </c>
    </row>
    <row r="502" spans="1:34" hidden="1" x14ac:dyDescent="0.25">
      <c r="A502" s="2">
        <v>38682</v>
      </c>
      <c r="B502" s="13" t="s">
        <v>938</v>
      </c>
      <c r="C502" s="14" t="s">
        <v>39</v>
      </c>
      <c r="D502" s="15">
        <v>45313</v>
      </c>
      <c r="E502" s="2">
        <v>0</v>
      </c>
      <c r="F502" s="14" t="s">
        <v>959</v>
      </c>
      <c r="G502" t="s">
        <v>960</v>
      </c>
      <c r="H502" s="14" t="s">
        <v>42</v>
      </c>
      <c r="I502" s="2">
        <v>4</v>
      </c>
      <c r="J502" s="2">
        <v>0</v>
      </c>
      <c r="K502" s="2">
        <v>0</v>
      </c>
      <c r="L502" s="2"/>
      <c r="M502" s="2">
        <v>0</v>
      </c>
      <c r="N502" s="14"/>
      <c r="O502" s="14"/>
      <c r="P502" s="2">
        <v>374.59</v>
      </c>
      <c r="Q502" s="2">
        <v>1498.36</v>
      </c>
      <c r="R502" s="2">
        <v>299.67</v>
      </c>
      <c r="S502">
        <f t="shared" si="36"/>
        <v>1198.68</v>
      </c>
      <c r="T502" t="s">
        <v>107</v>
      </c>
      <c r="U502" s="1">
        <f>_xlfn.XLOOKUP(T502,$Y$2:$Y$45,$AA$2:$AA$45)*(Q502-S502)</f>
        <v>11.987199999999994</v>
      </c>
      <c r="AD502" s="19" t="s">
        <v>2286</v>
      </c>
      <c r="AE502">
        <v>24.084749999999993</v>
      </c>
      <c r="AG502" t="s">
        <v>2286</v>
      </c>
      <c r="AH502" s="1">
        <v>24.084749999999993</v>
      </c>
    </row>
    <row r="503" spans="1:34" x14ac:dyDescent="0.25">
      <c r="A503" s="2">
        <v>38682</v>
      </c>
      <c r="B503" s="13" t="s">
        <v>938</v>
      </c>
      <c r="C503" s="14" t="s">
        <v>39</v>
      </c>
      <c r="D503" s="15">
        <v>45313</v>
      </c>
      <c r="E503" s="2">
        <v>0</v>
      </c>
      <c r="F503" s="14" t="s">
        <v>152</v>
      </c>
      <c r="G503" t="s">
        <v>961</v>
      </c>
      <c r="H503" s="14" t="s">
        <v>93</v>
      </c>
      <c r="I503" s="2">
        <v>2</v>
      </c>
      <c r="J503" s="2">
        <v>0</v>
      </c>
      <c r="K503" s="2">
        <v>0</v>
      </c>
      <c r="L503" s="2"/>
      <c r="M503" s="2">
        <v>0</v>
      </c>
      <c r="N503" s="14"/>
      <c r="O503" s="14"/>
      <c r="P503" s="2">
        <v>211.2</v>
      </c>
      <c r="Q503" s="2">
        <v>422.4</v>
      </c>
      <c r="R503" s="2">
        <v>0</v>
      </c>
      <c r="S503">
        <f t="shared" si="36"/>
        <v>0</v>
      </c>
      <c r="T503" t="s">
        <v>107</v>
      </c>
      <c r="U503">
        <f>_xlfn.XLOOKUP(T503,$Y$2:$Y$45,$AB$2:$AB$45)*(Q503)</f>
        <v>16.896000000000001</v>
      </c>
      <c r="AD503" s="19" t="s">
        <v>2287</v>
      </c>
      <c r="AE503">
        <v>12.651399999999994</v>
      </c>
      <c r="AG503" t="s">
        <v>2287</v>
      </c>
      <c r="AH503" s="1">
        <v>12.651399999999994</v>
      </c>
    </row>
    <row r="504" spans="1:34" x14ac:dyDescent="0.25">
      <c r="A504" s="2">
        <v>38685</v>
      </c>
      <c r="B504" s="13" t="s">
        <v>962</v>
      </c>
      <c r="C504" s="14" t="s">
        <v>39</v>
      </c>
      <c r="D504" s="15">
        <v>45301</v>
      </c>
      <c r="E504" s="2">
        <v>0</v>
      </c>
      <c r="F504" s="14" t="s">
        <v>533</v>
      </c>
      <c r="G504" t="s">
        <v>534</v>
      </c>
      <c r="H504" s="14" t="s">
        <v>93</v>
      </c>
      <c r="I504" s="2">
        <v>1</v>
      </c>
      <c r="J504" s="2">
        <v>0</v>
      </c>
      <c r="K504" s="2">
        <v>0</v>
      </c>
      <c r="L504" s="2"/>
      <c r="M504" s="2">
        <v>0</v>
      </c>
      <c r="N504" s="14"/>
      <c r="O504" s="14"/>
      <c r="P504" s="2">
        <v>149</v>
      </c>
      <c r="Q504" s="2">
        <v>149</v>
      </c>
      <c r="R504" s="2">
        <v>0</v>
      </c>
      <c r="S504">
        <f t="shared" si="36"/>
        <v>0</v>
      </c>
      <c r="T504" t="s">
        <v>1874</v>
      </c>
      <c r="U504">
        <f>_xlfn.XLOOKUP(T504,$Y$2:$Y$45,$AB$2:$AB$45)*(Q504)</f>
        <v>5.96</v>
      </c>
      <c r="AD504" s="19" t="s">
        <v>2288</v>
      </c>
      <c r="AE504">
        <v>0</v>
      </c>
      <c r="AG504" t="s">
        <v>2288</v>
      </c>
      <c r="AH504" s="1">
        <v>0</v>
      </c>
    </row>
    <row r="505" spans="1:34" hidden="1" x14ac:dyDescent="0.25">
      <c r="A505" s="2">
        <v>38685</v>
      </c>
      <c r="B505" s="13" t="s">
        <v>962</v>
      </c>
      <c r="C505" s="14" t="s">
        <v>39</v>
      </c>
      <c r="D505" s="15">
        <v>45301</v>
      </c>
      <c r="E505" s="2">
        <v>0</v>
      </c>
      <c r="F505" s="14" t="s">
        <v>963</v>
      </c>
      <c r="G505" t="s">
        <v>964</v>
      </c>
      <c r="H505" s="14" t="s">
        <v>42</v>
      </c>
      <c r="I505" s="2">
        <v>1</v>
      </c>
      <c r="J505" s="2">
        <v>0</v>
      </c>
      <c r="K505" s="2">
        <v>0</v>
      </c>
      <c r="L505" s="2"/>
      <c r="M505" s="2">
        <v>0</v>
      </c>
      <c r="N505" s="14"/>
      <c r="O505" s="14"/>
      <c r="P505" s="2">
        <v>2895.23</v>
      </c>
      <c r="Q505" s="2">
        <v>2895.23</v>
      </c>
      <c r="R505" s="2">
        <v>2517.59</v>
      </c>
      <c r="S505">
        <f t="shared" si="36"/>
        <v>2517.59</v>
      </c>
      <c r="T505" t="s">
        <v>1874</v>
      </c>
      <c r="U505" s="1">
        <f>_xlfn.XLOOKUP(T505,$Y$2:$Y$45,$AA$2:$AA$45)*(Q505-S505)</f>
        <v>30.211199999999991</v>
      </c>
      <c r="AD505" s="19" t="s">
        <v>2289</v>
      </c>
      <c r="AE505">
        <v>2.5372500000000011</v>
      </c>
      <c r="AG505" t="s">
        <v>2289</v>
      </c>
      <c r="AH505" s="1">
        <v>2.5372500000000011</v>
      </c>
    </row>
    <row r="506" spans="1:34" hidden="1" x14ac:dyDescent="0.25">
      <c r="A506" s="2">
        <v>38689</v>
      </c>
      <c r="B506" s="13" t="s">
        <v>965</v>
      </c>
      <c r="C506" s="14" t="s">
        <v>39</v>
      </c>
      <c r="D506" s="15">
        <v>45303</v>
      </c>
      <c r="E506" s="2">
        <v>0</v>
      </c>
      <c r="F506" s="14" t="s">
        <v>966</v>
      </c>
      <c r="G506" t="s">
        <v>967</v>
      </c>
      <c r="H506" s="14" t="s">
        <v>42</v>
      </c>
      <c r="I506" s="2">
        <v>1</v>
      </c>
      <c r="J506" s="2">
        <v>0</v>
      </c>
      <c r="K506" s="2">
        <v>0</v>
      </c>
      <c r="L506" s="2"/>
      <c r="M506" s="2">
        <v>0</v>
      </c>
      <c r="N506" s="14"/>
      <c r="O506" s="14"/>
      <c r="P506" s="2">
        <v>903</v>
      </c>
      <c r="Q506" s="2">
        <v>903</v>
      </c>
      <c r="R506" s="2">
        <v>740.46</v>
      </c>
      <c r="S506">
        <f t="shared" si="36"/>
        <v>740.46</v>
      </c>
      <c r="T506" t="s">
        <v>132</v>
      </c>
      <c r="U506" s="1">
        <f>_xlfn.XLOOKUP(T506,$Y$2:$Y$45,$AA$2:$AA$45)*(Q506-S506)</f>
        <v>13.003199999999998</v>
      </c>
      <c r="AD506" s="19" t="s">
        <v>2290</v>
      </c>
      <c r="AE506">
        <v>0.51255000000000017</v>
      </c>
      <c r="AG506" t="s">
        <v>2290</v>
      </c>
      <c r="AH506" s="1">
        <v>0.51255000000000017</v>
      </c>
    </row>
    <row r="507" spans="1:34" hidden="1" x14ac:dyDescent="0.25">
      <c r="A507" s="2">
        <v>38689</v>
      </c>
      <c r="B507" s="13" t="s">
        <v>965</v>
      </c>
      <c r="C507" s="14" t="s">
        <v>39</v>
      </c>
      <c r="D507" s="15">
        <v>45303</v>
      </c>
      <c r="E507" s="2">
        <v>0</v>
      </c>
      <c r="F507" s="14" t="s">
        <v>862</v>
      </c>
      <c r="G507" t="s">
        <v>863</v>
      </c>
      <c r="H507" s="14" t="s">
        <v>42</v>
      </c>
      <c r="I507" s="2">
        <v>1</v>
      </c>
      <c r="J507" s="2">
        <v>0</v>
      </c>
      <c r="K507" s="2">
        <v>0</v>
      </c>
      <c r="L507" s="2"/>
      <c r="M507" s="2">
        <v>0</v>
      </c>
      <c r="N507" s="14"/>
      <c r="O507" s="14"/>
      <c r="P507" s="2">
        <v>46</v>
      </c>
      <c r="Q507" s="2">
        <v>46</v>
      </c>
      <c r="R507" s="2">
        <v>37.35</v>
      </c>
      <c r="S507">
        <f t="shared" si="36"/>
        <v>37.35</v>
      </c>
      <c r="T507" t="s">
        <v>132</v>
      </c>
      <c r="U507" s="1">
        <f>_xlfn.XLOOKUP(T507,$Y$2:$Y$45,$AA$2:$AA$45)*(Q507-S507)</f>
        <v>0.69199999999999995</v>
      </c>
      <c r="AD507" s="19" t="s">
        <v>2291</v>
      </c>
      <c r="AE507">
        <v>0.43349999999999955</v>
      </c>
      <c r="AG507" t="s">
        <v>2291</v>
      </c>
      <c r="AH507" s="1">
        <v>0.43349999999999955</v>
      </c>
    </row>
    <row r="508" spans="1:34" x14ac:dyDescent="0.25">
      <c r="A508" s="2">
        <v>38689</v>
      </c>
      <c r="B508" s="13" t="s">
        <v>965</v>
      </c>
      <c r="C508" s="14" t="s">
        <v>39</v>
      </c>
      <c r="D508" s="15">
        <v>45303</v>
      </c>
      <c r="E508" s="2">
        <v>0</v>
      </c>
      <c r="F508" s="14" t="s">
        <v>455</v>
      </c>
      <c r="G508" t="s">
        <v>598</v>
      </c>
      <c r="H508" s="14" t="s">
        <v>93</v>
      </c>
      <c r="I508" s="2">
        <v>3</v>
      </c>
      <c r="J508" s="2">
        <v>0</v>
      </c>
      <c r="K508" s="2">
        <v>0</v>
      </c>
      <c r="L508" s="2"/>
      <c r="M508" s="2">
        <v>0</v>
      </c>
      <c r="N508" s="14"/>
      <c r="O508" s="14"/>
      <c r="P508" s="2">
        <v>120</v>
      </c>
      <c r="Q508" s="2">
        <v>360</v>
      </c>
      <c r="R508" s="2">
        <v>0</v>
      </c>
      <c r="S508">
        <f t="shared" si="36"/>
        <v>0</v>
      </c>
      <c r="T508" t="s">
        <v>132</v>
      </c>
      <c r="U508">
        <f>_xlfn.XLOOKUP(T508,$Y$2:$Y$45,$AB$2:$AB$45)*(Q508)</f>
        <v>14.4</v>
      </c>
      <c r="AD508" s="19" t="s">
        <v>2292</v>
      </c>
      <c r="AE508">
        <v>19.8</v>
      </c>
      <c r="AG508" t="s">
        <v>2292</v>
      </c>
      <c r="AH508" s="1">
        <v>19.8</v>
      </c>
    </row>
    <row r="509" spans="1:34" hidden="1" x14ac:dyDescent="0.25">
      <c r="A509" s="2">
        <v>38691</v>
      </c>
      <c r="B509" s="13" t="s">
        <v>968</v>
      </c>
      <c r="C509" s="14" t="s">
        <v>39</v>
      </c>
      <c r="D509" s="15">
        <v>45299</v>
      </c>
      <c r="E509" s="2">
        <v>0</v>
      </c>
      <c r="F509" s="14" t="s">
        <v>969</v>
      </c>
      <c r="G509" t="s">
        <v>970</v>
      </c>
      <c r="H509" s="14" t="s">
        <v>42</v>
      </c>
      <c r="I509" s="2">
        <v>1</v>
      </c>
      <c r="J509" s="2">
        <v>0</v>
      </c>
      <c r="K509" s="2">
        <v>0</v>
      </c>
      <c r="L509" s="2"/>
      <c r="M509" s="2">
        <v>0</v>
      </c>
      <c r="N509" s="14"/>
      <c r="O509" s="14"/>
      <c r="P509" s="2">
        <v>2121.14</v>
      </c>
      <c r="Q509" s="2">
        <v>2121.14</v>
      </c>
      <c r="R509" s="2">
        <v>1767.62</v>
      </c>
      <c r="S509">
        <f t="shared" si="36"/>
        <v>1767.62</v>
      </c>
      <c r="T509" t="s">
        <v>132</v>
      </c>
      <c r="U509" s="1">
        <f>_xlfn.XLOOKUP(T509,$Y$2:$Y$45,$AA$2:$AA$45)*(Q509-S509)</f>
        <v>28.281599999999997</v>
      </c>
      <c r="AD509" s="19" t="s">
        <v>2293</v>
      </c>
      <c r="AE509">
        <v>2.8517500000000013</v>
      </c>
      <c r="AG509" t="s">
        <v>2293</v>
      </c>
      <c r="AH509" s="1">
        <v>2.8517500000000013</v>
      </c>
    </row>
    <row r="510" spans="1:34" x14ac:dyDescent="0.25">
      <c r="A510" s="2">
        <v>38691</v>
      </c>
      <c r="B510" s="13" t="s">
        <v>968</v>
      </c>
      <c r="C510" s="14" t="s">
        <v>39</v>
      </c>
      <c r="D510" s="15">
        <v>45299</v>
      </c>
      <c r="E510" s="2">
        <v>0</v>
      </c>
      <c r="F510" s="14" t="s">
        <v>417</v>
      </c>
      <c r="G510" t="s">
        <v>417</v>
      </c>
      <c r="H510" s="14" t="s">
        <v>93</v>
      </c>
      <c r="I510" s="2">
        <v>1</v>
      </c>
      <c r="J510" s="2">
        <v>0</v>
      </c>
      <c r="K510" s="2">
        <v>0</v>
      </c>
      <c r="L510" s="2"/>
      <c r="M510" s="2">
        <v>0</v>
      </c>
      <c r="N510" s="14"/>
      <c r="O510" s="14"/>
      <c r="P510" s="2">
        <v>250</v>
      </c>
      <c r="Q510" s="2">
        <v>250</v>
      </c>
      <c r="R510" s="2">
        <v>0</v>
      </c>
      <c r="S510">
        <f t="shared" si="36"/>
        <v>0</v>
      </c>
      <c r="T510" t="s">
        <v>132</v>
      </c>
      <c r="U510">
        <f>_xlfn.XLOOKUP(T510,$Y$2:$Y$45,$AB$2:$AB$45)*(Q510)</f>
        <v>10</v>
      </c>
      <c r="AD510" s="19" t="s">
        <v>2294</v>
      </c>
      <c r="AE510">
        <v>0</v>
      </c>
      <c r="AG510" t="s">
        <v>2294</v>
      </c>
      <c r="AH510" s="1">
        <v>0</v>
      </c>
    </row>
    <row r="511" spans="1:34" x14ac:dyDescent="0.25">
      <c r="A511" s="2">
        <v>38693</v>
      </c>
      <c r="B511" s="13" t="s">
        <v>971</v>
      </c>
      <c r="C511" s="14" t="s">
        <v>39</v>
      </c>
      <c r="D511" s="15">
        <v>45301</v>
      </c>
      <c r="E511" s="2">
        <v>0</v>
      </c>
      <c r="F511" s="14" t="s">
        <v>657</v>
      </c>
      <c r="G511" t="s">
        <v>657</v>
      </c>
      <c r="H511" s="14" t="s">
        <v>93</v>
      </c>
      <c r="I511" s="2">
        <v>0.25</v>
      </c>
      <c r="J511" s="2">
        <v>0</v>
      </c>
      <c r="K511" s="2">
        <v>0</v>
      </c>
      <c r="L511" s="2"/>
      <c r="M511" s="2">
        <v>0</v>
      </c>
      <c r="N511" s="14"/>
      <c r="O511" s="14"/>
      <c r="P511" s="2">
        <v>135</v>
      </c>
      <c r="Q511" s="2">
        <v>33.75</v>
      </c>
      <c r="R511" s="2">
        <v>0</v>
      </c>
      <c r="S511">
        <f t="shared" si="36"/>
        <v>0</v>
      </c>
      <c r="T511" t="s">
        <v>1874</v>
      </c>
      <c r="U511">
        <f>_xlfn.XLOOKUP(T511,$Y$2:$Y$45,$AB$2:$AB$45)*(Q511)</f>
        <v>1.35</v>
      </c>
      <c r="AD511" s="19" t="s">
        <v>2295</v>
      </c>
      <c r="AE511">
        <v>62.950999999999958</v>
      </c>
      <c r="AG511" t="s">
        <v>2295</v>
      </c>
      <c r="AH511" s="1">
        <v>62.950999999999958</v>
      </c>
    </row>
    <row r="512" spans="1:34" hidden="1" x14ac:dyDescent="0.25">
      <c r="A512" s="2">
        <v>38693</v>
      </c>
      <c r="B512" s="13" t="s">
        <v>971</v>
      </c>
      <c r="C512" s="14" t="s">
        <v>39</v>
      </c>
      <c r="D512" s="15">
        <v>45301</v>
      </c>
      <c r="E512" s="2">
        <v>0</v>
      </c>
      <c r="F512" s="14" t="s">
        <v>972</v>
      </c>
      <c r="G512" t="s">
        <v>973</v>
      </c>
      <c r="H512" s="14" t="s">
        <v>42</v>
      </c>
      <c r="I512" s="2">
        <v>2</v>
      </c>
      <c r="J512" s="2">
        <v>0</v>
      </c>
      <c r="K512" s="2">
        <v>0</v>
      </c>
      <c r="L512" s="2"/>
      <c r="M512" s="2">
        <v>0</v>
      </c>
      <c r="N512" s="14"/>
      <c r="O512" s="14"/>
      <c r="P512" s="2">
        <v>780.69</v>
      </c>
      <c r="Q512" s="2">
        <v>1561.38</v>
      </c>
      <c r="R512" s="2">
        <v>678.86</v>
      </c>
      <c r="S512">
        <f t="shared" si="36"/>
        <v>1357.72</v>
      </c>
      <c r="T512" t="s">
        <v>1874</v>
      </c>
      <c r="U512" s="1">
        <f t="shared" ref="U512:U522" si="38">_xlfn.XLOOKUP(T512,$Y$2:$Y$45,$AA$2:$AA$45)*(Q512-S512)</f>
        <v>16.292800000000007</v>
      </c>
      <c r="AD512" s="19" t="s">
        <v>2296</v>
      </c>
      <c r="AE512">
        <v>19.933350000000001</v>
      </c>
      <c r="AG512" t="s">
        <v>2296</v>
      </c>
      <c r="AH512" s="1">
        <v>19.933350000000001</v>
      </c>
    </row>
    <row r="513" spans="1:34" hidden="1" x14ac:dyDescent="0.25">
      <c r="A513" s="2">
        <v>38693</v>
      </c>
      <c r="B513" s="13" t="s">
        <v>971</v>
      </c>
      <c r="C513" s="14" t="s">
        <v>39</v>
      </c>
      <c r="D513" s="15">
        <v>45301</v>
      </c>
      <c r="E513" s="2">
        <v>0</v>
      </c>
      <c r="F513" s="14" t="s">
        <v>974</v>
      </c>
      <c r="G513" t="s">
        <v>975</v>
      </c>
      <c r="H513" s="14" t="s">
        <v>42</v>
      </c>
      <c r="I513" s="2">
        <v>2</v>
      </c>
      <c r="J513" s="2">
        <v>0</v>
      </c>
      <c r="K513" s="2">
        <v>0</v>
      </c>
      <c r="L513" s="2"/>
      <c r="M513" s="2">
        <v>0</v>
      </c>
      <c r="N513" s="14"/>
      <c r="O513" s="14"/>
      <c r="P513" s="2">
        <v>21.16</v>
      </c>
      <c r="Q513" s="2">
        <v>42.32</v>
      </c>
      <c r="R513" s="2">
        <v>18.399999999999999</v>
      </c>
      <c r="S513">
        <f t="shared" si="36"/>
        <v>36.799999999999997</v>
      </c>
      <c r="T513" t="s">
        <v>1874</v>
      </c>
      <c r="U513" s="1">
        <f t="shared" si="38"/>
        <v>0.44160000000000027</v>
      </c>
      <c r="AD513" s="19" t="s">
        <v>2297</v>
      </c>
      <c r="AE513">
        <v>0</v>
      </c>
      <c r="AG513" t="s">
        <v>2297</v>
      </c>
      <c r="AH513" s="1">
        <v>0</v>
      </c>
    </row>
    <row r="514" spans="1:34" hidden="1" x14ac:dyDescent="0.25">
      <c r="A514" s="2">
        <v>38693</v>
      </c>
      <c r="B514" s="13" t="s">
        <v>971</v>
      </c>
      <c r="C514" s="14" t="s">
        <v>39</v>
      </c>
      <c r="D514" s="15">
        <v>45301</v>
      </c>
      <c r="E514" s="2">
        <v>0</v>
      </c>
      <c r="F514" s="14" t="s">
        <v>715</v>
      </c>
      <c r="G514" t="s">
        <v>716</v>
      </c>
      <c r="H514" s="14" t="s">
        <v>42</v>
      </c>
      <c r="I514" s="2">
        <v>2</v>
      </c>
      <c r="J514" s="2">
        <v>0</v>
      </c>
      <c r="K514" s="2">
        <v>0</v>
      </c>
      <c r="L514" s="2"/>
      <c r="M514" s="2">
        <v>0</v>
      </c>
      <c r="N514" s="14"/>
      <c r="O514" s="14"/>
      <c r="P514" s="2">
        <v>1580.27</v>
      </c>
      <c r="Q514" s="2">
        <v>3160.54</v>
      </c>
      <c r="R514" s="2">
        <v>1374.15</v>
      </c>
      <c r="S514">
        <f t="shared" ref="S514:S577" si="39">R514*I514</f>
        <v>2748.3</v>
      </c>
      <c r="T514" t="s">
        <v>1874</v>
      </c>
      <c r="U514" s="1">
        <f t="shared" si="38"/>
        <v>32.979199999999985</v>
      </c>
      <c r="AD514" s="19" t="s">
        <v>2298</v>
      </c>
      <c r="AE514">
        <v>5.4</v>
      </c>
      <c r="AG514" t="s">
        <v>2298</v>
      </c>
      <c r="AH514" s="1">
        <v>5.4</v>
      </c>
    </row>
    <row r="515" spans="1:34" hidden="1" x14ac:dyDescent="0.25">
      <c r="A515" s="2">
        <v>38693</v>
      </c>
      <c r="B515" s="13" t="s">
        <v>971</v>
      </c>
      <c r="C515" s="14" t="s">
        <v>39</v>
      </c>
      <c r="D515" s="15">
        <v>45301</v>
      </c>
      <c r="E515" s="2">
        <v>0</v>
      </c>
      <c r="F515" s="14" t="s">
        <v>717</v>
      </c>
      <c r="G515" t="s">
        <v>718</v>
      </c>
      <c r="H515" s="14" t="s">
        <v>42</v>
      </c>
      <c r="I515" s="2">
        <v>2</v>
      </c>
      <c r="J515" s="2">
        <v>0</v>
      </c>
      <c r="K515" s="2">
        <v>0</v>
      </c>
      <c r="L515" s="2"/>
      <c r="M515" s="2">
        <v>0</v>
      </c>
      <c r="N515" s="14"/>
      <c r="O515" s="14"/>
      <c r="P515" s="2">
        <v>148.6</v>
      </c>
      <c r="Q515" s="2">
        <v>297.2</v>
      </c>
      <c r="R515" s="2">
        <v>133.43</v>
      </c>
      <c r="S515">
        <f t="shared" si="39"/>
        <v>266.86</v>
      </c>
      <c r="T515" t="s">
        <v>1874</v>
      </c>
      <c r="U515" s="1">
        <f t="shared" si="38"/>
        <v>2.4271999999999982</v>
      </c>
      <c r="AD515" s="19" t="s">
        <v>2299</v>
      </c>
      <c r="AE515">
        <v>1.2342000000000009</v>
      </c>
      <c r="AG515" t="s">
        <v>2299</v>
      </c>
      <c r="AH515" s="1">
        <v>1.2342000000000009</v>
      </c>
    </row>
    <row r="516" spans="1:34" hidden="1" x14ac:dyDescent="0.25">
      <c r="A516" s="2">
        <v>38693</v>
      </c>
      <c r="B516" s="13" t="s">
        <v>971</v>
      </c>
      <c r="C516" s="14" t="s">
        <v>39</v>
      </c>
      <c r="D516" s="15">
        <v>45301</v>
      </c>
      <c r="E516" s="2">
        <v>0</v>
      </c>
      <c r="F516" s="14" t="s">
        <v>686</v>
      </c>
      <c r="G516" t="s">
        <v>687</v>
      </c>
      <c r="H516" s="14" t="s">
        <v>42</v>
      </c>
      <c r="I516" s="2">
        <v>2</v>
      </c>
      <c r="J516" s="2">
        <v>0</v>
      </c>
      <c r="K516" s="2">
        <v>0</v>
      </c>
      <c r="L516" s="2"/>
      <c r="M516" s="2">
        <v>0</v>
      </c>
      <c r="N516" s="14"/>
      <c r="O516" s="14"/>
      <c r="P516" s="2">
        <v>225.35</v>
      </c>
      <c r="Q516" s="2">
        <v>450.7</v>
      </c>
      <c r="R516" s="2">
        <v>195.96</v>
      </c>
      <c r="S516">
        <f t="shared" si="39"/>
        <v>391.92</v>
      </c>
      <c r="T516" t="s">
        <v>1874</v>
      </c>
      <c r="U516" s="1">
        <f t="shared" si="38"/>
        <v>4.7023999999999981</v>
      </c>
      <c r="AD516" s="19" t="s">
        <v>2300</v>
      </c>
      <c r="AE516">
        <v>4.5398500000000022</v>
      </c>
      <c r="AG516" t="s">
        <v>2300</v>
      </c>
      <c r="AH516" s="1">
        <v>4.5398500000000022</v>
      </c>
    </row>
    <row r="517" spans="1:34" hidden="1" x14ac:dyDescent="0.25">
      <c r="A517" s="2">
        <v>38693</v>
      </c>
      <c r="B517" s="13" t="s">
        <v>971</v>
      </c>
      <c r="C517" s="14" t="s">
        <v>39</v>
      </c>
      <c r="D517" s="15">
        <v>45301</v>
      </c>
      <c r="E517" s="2">
        <v>0</v>
      </c>
      <c r="F517" s="14" t="s">
        <v>541</v>
      </c>
      <c r="G517" t="s">
        <v>542</v>
      </c>
      <c r="H517" s="14" t="s">
        <v>42</v>
      </c>
      <c r="I517" s="2">
        <v>2</v>
      </c>
      <c r="J517" s="2">
        <v>0</v>
      </c>
      <c r="K517" s="2">
        <v>0</v>
      </c>
      <c r="L517" s="2"/>
      <c r="M517" s="2">
        <v>0</v>
      </c>
      <c r="N517" s="14"/>
      <c r="O517" s="14"/>
      <c r="P517" s="2">
        <v>28.18</v>
      </c>
      <c r="Q517" s="2">
        <v>56.36</v>
      </c>
      <c r="R517" s="2">
        <v>26.16</v>
      </c>
      <c r="S517">
        <f t="shared" si="39"/>
        <v>52.32</v>
      </c>
      <c r="T517" t="s">
        <v>1874</v>
      </c>
      <c r="U517" s="1">
        <f t="shared" si="38"/>
        <v>0.32319999999999993</v>
      </c>
      <c r="AD517" s="19" t="s">
        <v>2301</v>
      </c>
      <c r="AE517">
        <v>11.521749999999997</v>
      </c>
      <c r="AG517" t="s">
        <v>2301</v>
      </c>
      <c r="AH517" s="1">
        <v>11.521749999999997</v>
      </c>
    </row>
    <row r="518" spans="1:34" hidden="1" x14ac:dyDescent="0.25">
      <c r="A518" s="2">
        <v>38694</v>
      </c>
      <c r="B518" s="13" t="s">
        <v>976</v>
      </c>
      <c r="C518" s="14" t="s">
        <v>39</v>
      </c>
      <c r="D518" s="15">
        <v>45303</v>
      </c>
      <c r="E518" s="2">
        <v>0</v>
      </c>
      <c r="F518" s="14" t="s">
        <v>977</v>
      </c>
      <c r="G518" t="s">
        <v>978</v>
      </c>
      <c r="H518" s="14" t="s">
        <v>42</v>
      </c>
      <c r="I518" s="2">
        <v>1</v>
      </c>
      <c r="J518" s="2">
        <v>0</v>
      </c>
      <c r="K518" s="2">
        <v>0</v>
      </c>
      <c r="L518" s="2"/>
      <c r="M518" s="2">
        <v>0</v>
      </c>
      <c r="N518" s="14"/>
      <c r="O518" s="14"/>
      <c r="P518" s="2">
        <v>3066.19</v>
      </c>
      <c r="Q518" s="2">
        <v>3066.19</v>
      </c>
      <c r="R518" s="2">
        <v>2661.59</v>
      </c>
      <c r="S518">
        <f t="shared" si="39"/>
        <v>2661.59</v>
      </c>
      <c r="T518" t="s">
        <v>1874</v>
      </c>
      <c r="U518" s="1">
        <f t="shared" si="38"/>
        <v>32.367999999999995</v>
      </c>
      <c r="AD518" s="19" t="s">
        <v>2302</v>
      </c>
      <c r="AE518">
        <v>0</v>
      </c>
      <c r="AG518" t="s">
        <v>2302</v>
      </c>
      <c r="AH518" s="1">
        <v>0</v>
      </c>
    </row>
    <row r="519" spans="1:34" hidden="1" x14ac:dyDescent="0.25">
      <c r="A519" s="2">
        <v>38694</v>
      </c>
      <c r="B519" s="13" t="s">
        <v>976</v>
      </c>
      <c r="C519" s="14" t="s">
        <v>39</v>
      </c>
      <c r="D519" s="15">
        <v>45303</v>
      </c>
      <c r="E519" s="2">
        <v>0</v>
      </c>
      <c r="F519" s="14" t="s">
        <v>539</v>
      </c>
      <c r="G519" t="s">
        <v>540</v>
      </c>
      <c r="H519" s="14" t="s">
        <v>42</v>
      </c>
      <c r="I519" s="2">
        <v>1</v>
      </c>
      <c r="J519" s="2">
        <v>0</v>
      </c>
      <c r="K519" s="2">
        <v>0</v>
      </c>
      <c r="L519" s="2"/>
      <c r="M519" s="2">
        <v>0</v>
      </c>
      <c r="N519" s="14"/>
      <c r="O519" s="14"/>
      <c r="P519" s="2">
        <v>113.68</v>
      </c>
      <c r="Q519" s="2">
        <v>113.68</v>
      </c>
      <c r="R519" s="2">
        <v>98.79</v>
      </c>
      <c r="S519">
        <f t="shared" si="39"/>
        <v>98.79</v>
      </c>
      <c r="T519" t="s">
        <v>1874</v>
      </c>
      <c r="U519" s="1">
        <f t="shared" si="38"/>
        <v>1.1912</v>
      </c>
      <c r="AD519" s="19" t="s">
        <v>2303</v>
      </c>
      <c r="AE519">
        <v>9.8923000000000005</v>
      </c>
      <c r="AG519" t="s">
        <v>2303</v>
      </c>
      <c r="AH519" s="1">
        <v>9.8923000000000005</v>
      </c>
    </row>
    <row r="520" spans="1:34" hidden="1" x14ac:dyDescent="0.25">
      <c r="A520" s="2">
        <v>38694</v>
      </c>
      <c r="B520" s="13" t="s">
        <v>976</v>
      </c>
      <c r="C520" s="14" t="s">
        <v>39</v>
      </c>
      <c r="D520" s="15">
        <v>45303</v>
      </c>
      <c r="E520" s="2">
        <v>0</v>
      </c>
      <c r="F520" s="14" t="s">
        <v>600</v>
      </c>
      <c r="G520" t="s">
        <v>601</v>
      </c>
      <c r="H520" s="14" t="s">
        <v>42</v>
      </c>
      <c r="I520" s="2">
        <v>1</v>
      </c>
      <c r="J520" s="2">
        <v>0</v>
      </c>
      <c r="K520" s="2">
        <v>0</v>
      </c>
      <c r="L520" s="2"/>
      <c r="M520" s="2">
        <v>0</v>
      </c>
      <c r="N520" s="14"/>
      <c r="O520" s="14"/>
      <c r="P520" s="2">
        <v>149</v>
      </c>
      <c r="Q520" s="2">
        <v>149</v>
      </c>
      <c r="R520" s="2">
        <v>0</v>
      </c>
      <c r="S520">
        <f t="shared" si="39"/>
        <v>0</v>
      </c>
      <c r="T520" t="s">
        <v>1874</v>
      </c>
      <c r="U520" s="1">
        <f t="shared" si="38"/>
        <v>11.92</v>
      </c>
      <c r="AD520" s="19" t="s">
        <v>2304</v>
      </c>
      <c r="AE520">
        <v>138.80160000000001</v>
      </c>
      <c r="AG520" t="s">
        <v>2304</v>
      </c>
      <c r="AH520" s="1">
        <v>138.80160000000001</v>
      </c>
    </row>
    <row r="521" spans="1:34" hidden="1" x14ac:dyDescent="0.25">
      <c r="A521" s="2">
        <v>38695</v>
      </c>
      <c r="B521" s="13" t="s">
        <v>979</v>
      </c>
      <c r="C521" s="14" t="s">
        <v>39</v>
      </c>
      <c r="D521" s="15">
        <v>45313</v>
      </c>
      <c r="E521" s="2">
        <v>0</v>
      </c>
      <c r="F521" s="14" t="s">
        <v>980</v>
      </c>
      <c r="G521" t="s">
        <v>981</v>
      </c>
      <c r="H521" s="14" t="s">
        <v>42</v>
      </c>
      <c r="I521" s="2">
        <v>1</v>
      </c>
      <c r="J521" s="2">
        <v>0</v>
      </c>
      <c r="K521" s="2">
        <v>0</v>
      </c>
      <c r="L521" s="2"/>
      <c r="M521" s="2">
        <v>0</v>
      </c>
      <c r="N521" s="14"/>
      <c r="O521" s="14"/>
      <c r="P521" s="2">
        <v>1463</v>
      </c>
      <c r="Q521" s="2">
        <v>1463</v>
      </c>
      <c r="R521" s="2">
        <v>1079.49</v>
      </c>
      <c r="S521">
        <f t="shared" si="39"/>
        <v>1079.49</v>
      </c>
      <c r="T521" t="s">
        <v>140</v>
      </c>
      <c r="U521" s="1">
        <f t="shared" si="38"/>
        <v>30.680800000000001</v>
      </c>
      <c r="AD521" s="19" t="s">
        <v>2305</v>
      </c>
      <c r="AE521">
        <v>493.10880000000009</v>
      </c>
      <c r="AG521" t="s">
        <v>2305</v>
      </c>
      <c r="AH521" s="1">
        <v>493.10880000000009</v>
      </c>
    </row>
    <row r="522" spans="1:34" hidden="1" x14ac:dyDescent="0.25">
      <c r="A522" s="2">
        <v>38696</v>
      </c>
      <c r="B522" s="13" t="s">
        <v>982</v>
      </c>
      <c r="C522" s="14" t="s">
        <v>39</v>
      </c>
      <c r="D522" s="15">
        <v>45301</v>
      </c>
      <c r="E522" s="2">
        <v>0</v>
      </c>
      <c r="F522" s="14" t="s">
        <v>983</v>
      </c>
      <c r="G522" t="s">
        <v>984</v>
      </c>
      <c r="H522" s="14" t="s">
        <v>42</v>
      </c>
      <c r="I522" s="2">
        <v>1</v>
      </c>
      <c r="J522" s="2">
        <v>0</v>
      </c>
      <c r="K522" s="2">
        <v>0</v>
      </c>
      <c r="L522" s="2"/>
      <c r="M522" s="2">
        <v>0</v>
      </c>
      <c r="N522" s="14"/>
      <c r="O522" s="14"/>
      <c r="P522" s="2">
        <v>4452.99</v>
      </c>
      <c r="Q522" s="2">
        <v>4452.99</v>
      </c>
      <c r="R522" s="2">
        <v>3562.39</v>
      </c>
      <c r="S522">
        <f t="shared" si="39"/>
        <v>3562.39</v>
      </c>
      <c r="T522" t="s">
        <v>47</v>
      </c>
      <c r="U522" s="1">
        <f t="shared" si="38"/>
        <v>75.700999999999993</v>
      </c>
      <c r="AD522" s="19" t="s">
        <v>2306</v>
      </c>
      <c r="AE522">
        <v>269</v>
      </c>
      <c r="AG522" t="s">
        <v>2306</v>
      </c>
      <c r="AH522" s="1">
        <v>269</v>
      </c>
    </row>
    <row r="523" spans="1:34" hidden="1" x14ac:dyDescent="0.25">
      <c r="A523" s="2">
        <v>38699</v>
      </c>
      <c r="B523" s="13" t="s">
        <v>985</v>
      </c>
      <c r="C523" s="14" t="s">
        <v>39</v>
      </c>
      <c r="D523" s="15">
        <v>45316</v>
      </c>
      <c r="E523" s="2">
        <v>221</v>
      </c>
      <c r="F523" s="14" t="s">
        <v>851</v>
      </c>
      <c r="G523" t="s">
        <v>852</v>
      </c>
      <c r="H523" s="14" t="s">
        <v>131</v>
      </c>
      <c r="I523" s="2">
        <v>1</v>
      </c>
      <c r="J523" s="2">
        <v>75</v>
      </c>
      <c r="K523" s="2">
        <v>0.97</v>
      </c>
      <c r="L523" s="2"/>
      <c r="M523" s="2">
        <v>75</v>
      </c>
      <c r="N523" s="14"/>
      <c r="O523" s="14"/>
      <c r="P523" s="2">
        <v>300</v>
      </c>
      <c r="Q523" s="2">
        <v>300</v>
      </c>
      <c r="R523" s="2">
        <v>871</v>
      </c>
      <c r="S523">
        <f t="shared" si="39"/>
        <v>871</v>
      </c>
      <c r="T523" t="s">
        <v>150</v>
      </c>
      <c r="U523">
        <f>_xlfn.XLOOKUP(T523,$Y$2:$Y$45,$AB$2:$AB$45)*(Q523)</f>
        <v>12</v>
      </c>
      <c r="AD523" s="19" t="s">
        <v>2307</v>
      </c>
      <c r="AE523">
        <v>13.096799999999995</v>
      </c>
      <c r="AG523" t="s">
        <v>2307</v>
      </c>
      <c r="AH523" s="1">
        <v>13.096799999999995</v>
      </c>
    </row>
    <row r="524" spans="1:34" hidden="1" x14ac:dyDescent="0.25">
      <c r="A524" s="2">
        <v>38707</v>
      </c>
      <c r="B524" s="13" t="s">
        <v>986</v>
      </c>
      <c r="C524" s="14" t="s">
        <v>39</v>
      </c>
      <c r="D524" s="15">
        <v>45321</v>
      </c>
      <c r="E524" s="2">
        <v>0</v>
      </c>
      <c r="F524" s="14" t="s">
        <v>983</v>
      </c>
      <c r="G524" t="s">
        <v>987</v>
      </c>
      <c r="H524" s="14" t="s">
        <v>42</v>
      </c>
      <c r="I524" s="2">
        <v>1</v>
      </c>
      <c r="J524" s="2">
        <v>0</v>
      </c>
      <c r="K524" s="2">
        <v>0</v>
      </c>
      <c r="L524" s="2"/>
      <c r="M524" s="2">
        <v>0</v>
      </c>
      <c r="N524" s="14"/>
      <c r="O524" s="14"/>
      <c r="P524" s="2">
        <v>107.32</v>
      </c>
      <c r="Q524" s="2">
        <v>107.32</v>
      </c>
      <c r="R524" s="2">
        <v>85.86</v>
      </c>
      <c r="S524">
        <f t="shared" si="39"/>
        <v>85.86</v>
      </c>
      <c r="T524" t="s">
        <v>107</v>
      </c>
      <c r="U524" s="1">
        <f t="shared" ref="U524:U536" si="40">_xlfn.XLOOKUP(T524,$Y$2:$Y$45,$AA$2:$AA$45)*(Q524-S524)</f>
        <v>0.85839999999999972</v>
      </c>
      <c r="AD524" s="19" t="s">
        <v>2308</v>
      </c>
      <c r="AE524">
        <v>28.741800000000005</v>
      </c>
      <c r="AG524" t="s">
        <v>2308</v>
      </c>
      <c r="AH524" s="1">
        <v>28.741800000000005</v>
      </c>
    </row>
    <row r="525" spans="1:34" hidden="1" x14ac:dyDescent="0.25">
      <c r="A525" s="2">
        <v>38708</v>
      </c>
      <c r="B525" s="13" t="s">
        <v>988</v>
      </c>
      <c r="C525" s="14" t="s">
        <v>39</v>
      </c>
      <c r="D525" s="15">
        <v>45301</v>
      </c>
      <c r="E525" s="2">
        <v>0</v>
      </c>
      <c r="F525" s="14" t="s">
        <v>983</v>
      </c>
      <c r="G525" t="s">
        <v>987</v>
      </c>
      <c r="H525" s="14" t="s">
        <v>42</v>
      </c>
      <c r="I525" s="2">
        <v>1</v>
      </c>
      <c r="J525" s="2">
        <v>0</v>
      </c>
      <c r="K525" s="2">
        <v>0</v>
      </c>
      <c r="L525" s="2"/>
      <c r="M525" s="2">
        <v>0</v>
      </c>
      <c r="N525" s="14"/>
      <c r="O525" s="14"/>
      <c r="P525" s="2">
        <v>322.98</v>
      </c>
      <c r="Q525" s="2">
        <v>322.98</v>
      </c>
      <c r="R525" s="2">
        <v>258.38</v>
      </c>
      <c r="S525">
        <f t="shared" si="39"/>
        <v>258.38</v>
      </c>
      <c r="T525" t="s">
        <v>174</v>
      </c>
      <c r="U525" s="1">
        <f t="shared" si="40"/>
        <v>0</v>
      </c>
      <c r="AD525" s="19" t="s">
        <v>2309</v>
      </c>
      <c r="AE525">
        <v>0</v>
      </c>
      <c r="AG525" t="s">
        <v>2309</v>
      </c>
      <c r="AH525" s="1">
        <v>0</v>
      </c>
    </row>
    <row r="526" spans="1:34" hidden="1" x14ac:dyDescent="0.25">
      <c r="A526" s="2">
        <v>38711</v>
      </c>
      <c r="B526" s="13" t="s">
        <v>989</v>
      </c>
      <c r="C526" s="14" t="s">
        <v>39</v>
      </c>
      <c r="D526" s="15">
        <v>45307</v>
      </c>
      <c r="E526" s="2">
        <v>0</v>
      </c>
      <c r="F526" s="14" t="s">
        <v>990</v>
      </c>
      <c r="G526" t="s">
        <v>991</v>
      </c>
      <c r="H526" s="14" t="s">
        <v>42</v>
      </c>
      <c r="I526" s="2">
        <v>1</v>
      </c>
      <c r="J526" s="2">
        <v>0</v>
      </c>
      <c r="K526" s="2">
        <v>0</v>
      </c>
      <c r="L526" s="2"/>
      <c r="M526" s="2">
        <v>0</v>
      </c>
      <c r="N526" s="14"/>
      <c r="O526" s="14"/>
      <c r="P526" s="2">
        <v>359</v>
      </c>
      <c r="Q526" s="2">
        <v>359</v>
      </c>
      <c r="R526" s="2">
        <v>331.75</v>
      </c>
      <c r="S526">
        <f t="shared" si="39"/>
        <v>331.75</v>
      </c>
      <c r="T526" t="s">
        <v>132</v>
      </c>
      <c r="U526" s="1">
        <f t="shared" si="40"/>
        <v>2.1800000000000002</v>
      </c>
      <c r="AD526" s="19" t="s">
        <v>2310</v>
      </c>
      <c r="AE526">
        <v>281.35000000000002</v>
      </c>
      <c r="AG526" t="s">
        <v>2310</v>
      </c>
      <c r="AH526" s="1">
        <v>281.35000000000002</v>
      </c>
    </row>
    <row r="527" spans="1:34" hidden="1" x14ac:dyDescent="0.25">
      <c r="A527" s="2">
        <v>38712</v>
      </c>
      <c r="B527" s="13" t="s">
        <v>992</v>
      </c>
      <c r="C527" s="14" t="s">
        <v>39</v>
      </c>
      <c r="D527" s="15">
        <v>45300</v>
      </c>
      <c r="E527" s="2">
        <v>0</v>
      </c>
      <c r="F527" s="14" t="s">
        <v>541</v>
      </c>
      <c r="G527" t="s">
        <v>993</v>
      </c>
      <c r="H527" s="14" t="s">
        <v>42</v>
      </c>
      <c r="I527" s="2">
        <v>1</v>
      </c>
      <c r="J527" s="2">
        <v>0</v>
      </c>
      <c r="K527" s="2">
        <v>0</v>
      </c>
      <c r="L527" s="2"/>
      <c r="M527" s="2">
        <v>0</v>
      </c>
      <c r="N527" s="14"/>
      <c r="O527" s="14"/>
      <c r="P527" s="2">
        <v>31</v>
      </c>
      <c r="Q527" s="2">
        <v>31</v>
      </c>
      <c r="R527" s="2">
        <v>25.33</v>
      </c>
      <c r="S527">
        <f t="shared" si="39"/>
        <v>25.33</v>
      </c>
      <c r="T527" t="s">
        <v>151</v>
      </c>
      <c r="U527" s="1">
        <f t="shared" si="40"/>
        <v>0.45360000000000017</v>
      </c>
      <c r="AD527" s="19" t="s">
        <v>2311</v>
      </c>
      <c r="AE527">
        <v>21.984400000000011</v>
      </c>
      <c r="AG527" t="s">
        <v>2311</v>
      </c>
      <c r="AH527" s="1">
        <v>21.984400000000011</v>
      </c>
    </row>
    <row r="528" spans="1:34" hidden="1" x14ac:dyDescent="0.25">
      <c r="A528" s="2">
        <v>38712</v>
      </c>
      <c r="B528" s="13" t="s">
        <v>992</v>
      </c>
      <c r="C528" s="14" t="s">
        <v>39</v>
      </c>
      <c r="D528" s="15">
        <v>45300</v>
      </c>
      <c r="E528" s="2">
        <v>0</v>
      </c>
      <c r="F528" s="14" t="s">
        <v>994</v>
      </c>
      <c r="G528" t="s">
        <v>995</v>
      </c>
      <c r="H528" s="14" t="s">
        <v>42</v>
      </c>
      <c r="I528" s="2">
        <v>1</v>
      </c>
      <c r="J528" s="2">
        <v>0</v>
      </c>
      <c r="K528" s="2">
        <v>0</v>
      </c>
      <c r="L528" s="2"/>
      <c r="M528" s="2">
        <v>0</v>
      </c>
      <c r="N528" s="14"/>
      <c r="O528" s="14"/>
      <c r="P528" s="2">
        <v>913</v>
      </c>
      <c r="Q528" s="2">
        <v>913</v>
      </c>
      <c r="R528" s="2">
        <v>748.3</v>
      </c>
      <c r="S528">
        <f t="shared" si="39"/>
        <v>748.3</v>
      </c>
      <c r="T528" t="s">
        <v>151</v>
      </c>
      <c r="U528" s="1">
        <f t="shared" si="40"/>
        <v>13.176000000000004</v>
      </c>
      <c r="AD528" s="19" t="s">
        <v>2312</v>
      </c>
      <c r="AE528">
        <v>63.582550000000019</v>
      </c>
      <c r="AG528" t="s">
        <v>2312</v>
      </c>
      <c r="AH528" s="1">
        <v>63.582550000000019</v>
      </c>
    </row>
    <row r="529" spans="1:34" hidden="1" x14ac:dyDescent="0.25">
      <c r="A529" s="2">
        <v>38712</v>
      </c>
      <c r="B529" s="13" t="s">
        <v>992</v>
      </c>
      <c r="C529" s="14" t="s">
        <v>39</v>
      </c>
      <c r="D529" s="15">
        <v>45300</v>
      </c>
      <c r="E529" s="2">
        <v>0</v>
      </c>
      <c r="F529" s="14" t="s">
        <v>996</v>
      </c>
      <c r="G529" t="s">
        <v>997</v>
      </c>
      <c r="H529" s="14" t="s">
        <v>42</v>
      </c>
      <c r="I529" s="2">
        <v>2</v>
      </c>
      <c r="J529" s="2">
        <v>0</v>
      </c>
      <c r="K529" s="2">
        <v>0</v>
      </c>
      <c r="L529" s="2"/>
      <c r="M529" s="2">
        <v>0</v>
      </c>
      <c r="N529" s="14"/>
      <c r="O529" s="14"/>
      <c r="P529" s="2">
        <v>144</v>
      </c>
      <c r="Q529" s="2">
        <v>288</v>
      </c>
      <c r="R529" s="2">
        <v>118.07</v>
      </c>
      <c r="S529">
        <f t="shared" si="39"/>
        <v>236.14</v>
      </c>
      <c r="T529" t="s">
        <v>151</v>
      </c>
      <c r="U529" s="1">
        <f t="shared" si="40"/>
        <v>4.1488000000000014</v>
      </c>
      <c r="AD529" s="19" t="s">
        <v>2313</v>
      </c>
      <c r="AE529">
        <v>65.273200000000017</v>
      </c>
      <c r="AG529" t="s">
        <v>2313</v>
      </c>
      <c r="AH529" s="1">
        <v>65.273200000000017</v>
      </c>
    </row>
    <row r="530" spans="1:34" hidden="1" x14ac:dyDescent="0.25">
      <c r="A530" s="2">
        <v>38717</v>
      </c>
      <c r="B530" s="13" t="s">
        <v>998</v>
      </c>
      <c r="C530" s="14" t="s">
        <v>39</v>
      </c>
      <c r="D530" s="15">
        <v>45309</v>
      </c>
      <c r="E530" s="2">
        <v>0</v>
      </c>
      <c r="F530" s="14" t="s">
        <v>999</v>
      </c>
      <c r="G530" t="s">
        <v>1000</v>
      </c>
      <c r="H530" s="14" t="s">
        <v>42</v>
      </c>
      <c r="I530" s="2">
        <v>1</v>
      </c>
      <c r="J530" s="2">
        <v>0</v>
      </c>
      <c r="K530" s="2">
        <v>0</v>
      </c>
      <c r="L530" s="2"/>
      <c r="M530" s="2">
        <v>0</v>
      </c>
      <c r="N530" s="14"/>
      <c r="O530" s="14"/>
      <c r="P530" s="2">
        <v>2633</v>
      </c>
      <c r="Q530" s="2">
        <v>2633</v>
      </c>
      <c r="R530" s="2">
        <v>2158.9299999999998</v>
      </c>
      <c r="S530">
        <f t="shared" si="39"/>
        <v>2158.9299999999998</v>
      </c>
      <c r="T530" t="s">
        <v>184</v>
      </c>
      <c r="U530" s="1">
        <f t="shared" si="40"/>
        <v>0</v>
      </c>
      <c r="AD530" s="19" t="s">
        <v>2314</v>
      </c>
      <c r="AE530">
        <v>0.79730000000000023</v>
      </c>
      <c r="AG530" t="s">
        <v>2314</v>
      </c>
      <c r="AH530" s="1">
        <v>0.79730000000000023</v>
      </c>
    </row>
    <row r="531" spans="1:34" hidden="1" x14ac:dyDescent="0.25">
      <c r="A531" s="2">
        <v>38717</v>
      </c>
      <c r="B531" s="13" t="s">
        <v>998</v>
      </c>
      <c r="C531" s="14" t="s">
        <v>39</v>
      </c>
      <c r="D531" s="15">
        <v>45309</v>
      </c>
      <c r="E531" s="2">
        <v>0</v>
      </c>
      <c r="F531" s="14" t="s">
        <v>1001</v>
      </c>
      <c r="G531" t="s">
        <v>1002</v>
      </c>
      <c r="H531" s="14" t="s">
        <v>42</v>
      </c>
      <c r="I531" s="2">
        <v>5</v>
      </c>
      <c r="J531" s="2">
        <v>0</v>
      </c>
      <c r="K531" s="2">
        <v>0</v>
      </c>
      <c r="L531" s="2"/>
      <c r="M531" s="2">
        <v>0</v>
      </c>
      <c r="N531" s="14"/>
      <c r="O531" s="14"/>
      <c r="P531" s="2">
        <v>794.75</v>
      </c>
      <c r="Q531" s="2">
        <v>3973.75</v>
      </c>
      <c r="R531" s="2">
        <v>649.04999999999995</v>
      </c>
      <c r="S531">
        <f t="shared" si="39"/>
        <v>3245.25</v>
      </c>
      <c r="T531" t="s">
        <v>184</v>
      </c>
      <c r="U531" s="1">
        <f t="shared" si="40"/>
        <v>0</v>
      </c>
      <c r="AD531" s="19" t="s">
        <v>2315</v>
      </c>
      <c r="AE531">
        <v>2.1556000000000002</v>
      </c>
      <c r="AG531" t="s">
        <v>2315</v>
      </c>
      <c r="AH531" s="1">
        <v>2.1556000000000002</v>
      </c>
    </row>
    <row r="532" spans="1:34" hidden="1" x14ac:dyDescent="0.25">
      <c r="A532" s="2">
        <v>38717</v>
      </c>
      <c r="B532" s="13" t="s">
        <v>998</v>
      </c>
      <c r="C532" s="14" t="s">
        <v>39</v>
      </c>
      <c r="D532" s="15">
        <v>45309</v>
      </c>
      <c r="E532" s="2">
        <v>0</v>
      </c>
      <c r="F532" s="14" t="s">
        <v>1003</v>
      </c>
      <c r="G532" t="s">
        <v>1004</v>
      </c>
      <c r="H532" s="14" t="s">
        <v>42</v>
      </c>
      <c r="I532" s="2">
        <v>1</v>
      </c>
      <c r="J532" s="2">
        <v>0</v>
      </c>
      <c r="K532" s="2">
        <v>0</v>
      </c>
      <c r="L532" s="2"/>
      <c r="M532" s="2">
        <v>0</v>
      </c>
      <c r="N532" s="14"/>
      <c r="O532" s="14"/>
      <c r="P532" s="2">
        <v>831.65</v>
      </c>
      <c r="Q532" s="2">
        <v>831.65</v>
      </c>
      <c r="R532" s="2">
        <v>665.32</v>
      </c>
      <c r="S532">
        <f t="shared" si="39"/>
        <v>665.32</v>
      </c>
      <c r="T532" t="s">
        <v>184</v>
      </c>
      <c r="U532" s="1">
        <f t="shared" si="40"/>
        <v>0</v>
      </c>
      <c r="AD532" s="19" t="s">
        <v>2316</v>
      </c>
      <c r="AE532">
        <v>14.044550000000003</v>
      </c>
      <c r="AG532" t="s">
        <v>2316</v>
      </c>
      <c r="AH532" s="1">
        <v>14.044550000000003</v>
      </c>
    </row>
    <row r="533" spans="1:34" hidden="1" x14ac:dyDescent="0.25">
      <c r="A533" s="2">
        <v>38717</v>
      </c>
      <c r="B533" s="13" t="s">
        <v>998</v>
      </c>
      <c r="C533" s="14" t="s">
        <v>39</v>
      </c>
      <c r="D533" s="15">
        <v>45309</v>
      </c>
      <c r="E533" s="2">
        <v>0</v>
      </c>
      <c r="F533" s="14" t="s">
        <v>1005</v>
      </c>
      <c r="G533" t="s">
        <v>1006</v>
      </c>
      <c r="H533" s="14" t="s">
        <v>42</v>
      </c>
      <c r="I533" s="2">
        <v>5</v>
      </c>
      <c r="J533" s="2">
        <v>0</v>
      </c>
      <c r="K533" s="2">
        <v>0</v>
      </c>
      <c r="L533" s="2"/>
      <c r="M533" s="2">
        <v>0</v>
      </c>
      <c r="N533" s="14"/>
      <c r="O533" s="14"/>
      <c r="P533" s="2">
        <v>2633</v>
      </c>
      <c r="Q533" s="2">
        <v>13165</v>
      </c>
      <c r="R533" s="2">
        <v>2158.9299999999998</v>
      </c>
      <c r="S533">
        <f t="shared" si="39"/>
        <v>10794.65</v>
      </c>
      <c r="T533" t="s">
        <v>184</v>
      </c>
      <c r="U533" s="1">
        <f t="shared" si="40"/>
        <v>0</v>
      </c>
      <c r="AD533" s="19" t="s">
        <v>2317</v>
      </c>
      <c r="AE533">
        <v>52.02</v>
      </c>
      <c r="AG533" t="s">
        <v>2317</v>
      </c>
      <c r="AH533" s="1">
        <v>52.02</v>
      </c>
    </row>
    <row r="534" spans="1:34" hidden="1" x14ac:dyDescent="0.25">
      <c r="A534" s="2">
        <v>38717</v>
      </c>
      <c r="B534" s="13" t="s">
        <v>998</v>
      </c>
      <c r="C534" s="14" t="s">
        <v>39</v>
      </c>
      <c r="D534" s="15">
        <v>45309</v>
      </c>
      <c r="E534" s="2">
        <v>0</v>
      </c>
      <c r="F534" s="14" t="s">
        <v>1007</v>
      </c>
      <c r="G534" t="s">
        <v>1008</v>
      </c>
      <c r="H534" s="14" t="s">
        <v>42</v>
      </c>
      <c r="I534" s="2">
        <v>3</v>
      </c>
      <c r="J534" s="2">
        <v>0</v>
      </c>
      <c r="K534" s="2">
        <v>0</v>
      </c>
      <c r="L534" s="2"/>
      <c r="M534" s="2">
        <v>0</v>
      </c>
      <c r="N534" s="14"/>
      <c r="O534" s="14"/>
      <c r="P534" s="2">
        <v>3228</v>
      </c>
      <c r="Q534" s="2">
        <v>9684</v>
      </c>
      <c r="R534" s="2">
        <v>2646.17</v>
      </c>
      <c r="S534">
        <f t="shared" si="39"/>
        <v>7938.51</v>
      </c>
      <c r="T534" t="s">
        <v>184</v>
      </c>
      <c r="U534" s="1">
        <f t="shared" si="40"/>
        <v>0</v>
      </c>
      <c r="AD534" s="19" t="s">
        <v>2318</v>
      </c>
      <c r="AE534">
        <v>0</v>
      </c>
      <c r="AG534" t="s">
        <v>2318</v>
      </c>
      <c r="AH534" s="1">
        <v>0</v>
      </c>
    </row>
    <row r="535" spans="1:34" hidden="1" x14ac:dyDescent="0.25">
      <c r="A535" s="2">
        <v>38717</v>
      </c>
      <c r="B535" s="13" t="s">
        <v>998</v>
      </c>
      <c r="C535" s="14" t="s">
        <v>39</v>
      </c>
      <c r="D535" s="15">
        <v>45309</v>
      </c>
      <c r="E535" s="2">
        <v>0</v>
      </c>
      <c r="F535" s="14" t="s">
        <v>1009</v>
      </c>
      <c r="G535" t="s">
        <v>1010</v>
      </c>
      <c r="H535" s="14" t="s">
        <v>42</v>
      </c>
      <c r="I535" s="2">
        <v>5</v>
      </c>
      <c r="J535" s="2">
        <v>0</v>
      </c>
      <c r="K535" s="2">
        <v>0</v>
      </c>
      <c r="L535" s="2"/>
      <c r="M535" s="2">
        <v>0</v>
      </c>
      <c r="N535" s="14"/>
      <c r="O535" s="14"/>
      <c r="P535" s="2">
        <v>3319.82</v>
      </c>
      <c r="Q535" s="2">
        <v>16599.099999999999</v>
      </c>
      <c r="R535" s="2">
        <v>2655.85</v>
      </c>
      <c r="S535">
        <f t="shared" si="39"/>
        <v>13279.25</v>
      </c>
      <c r="T535" t="s">
        <v>184</v>
      </c>
      <c r="U535" s="1">
        <f t="shared" si="40"/>
        <v>0</v>
      </c>
      <c r="AD535" s="19" t="s">
        <v>2319</v>
      </c>
      <c r="AE535">
        <v>20.495199999999993</v>
      </c>
      <c r="AG535" t="s">
        <v>2319</v>
      </c>
      <c r="AH535" s="1">
        <v>20.495199999999993</v>
      </c>
    </row>
    <row r="536" spans="1:34" hidden="1" x14ac:dyDescent="0.25">
      <c r="A536" s="2">
        <v>38717</v>
      </c>
      <c r="B536" s="13" t="s">
        <v>998</v>
      </c>
      <c r="C536" s="14" t="s">
        <v>39</v>
      </c>
      <c r="D536" s="15">
        <v>45309</v>
      </c>
      <c r="E536" s="2">
        <v>0</v>
      </c>
      <c r="F536" s="14" t="s">
        <v>1011</v>
      </c>
      <c r="G536" t="s">
        <v>1012</v>
      </c>
      <c r="H536" s="14" t="s">
        <v>42</v>
      </c>
      <c r="I536" s="2">
        <v>7</v>
      </c>
      <c r="J536" s="2">
        <v>0</v>
      </c>
      <c r="K536" s="2">
        <v>0</v>
      </c>
      <c r="L536" s="2"/>
      <c r="M536" s="2">
        <v>0</v>
      </c>
      <c r="N536" s="14"/>
      <c r="O536" s="14"/>
      <c r="P536" s="2">
        <v>861.04</v>
      </c>
      <c r="Q536" s="2">
        <v>6027.28</v>
      </c>
      <c r="R536" s="2">
        <v>706.05</v>
      </c>
      <c r="S536">
        <f t="shared" si="39"/>
        <v>4942.3499999999995</v>
      </c>
      <c r="T536" t="s">
        <v>184</v>
      </c>
      <c r="U536" s="1">
        <f t="shared" si="40"/>
        <v>0</v>
      </c>
      <c r="AD536" s="19" t="s">
        <v>2320</v>
      </c>
      <c r="AE536">
        <v>16.843599999999999</v>
      </c>
      <c r="AG536" t="s">
        <v>2320</v>
      </c>
      <c r="AH536" s="1">
        <v>16.843599999999999</v>
      </c>
    </row>
    <row r="537" spans="1:34" x14ac:dyDescent="0.25">
      <c r="A537" s="2">
        <v>38722</v>
      </c>
      <c r="B537" s="13" t="s">
        <v>1013</v>
      </c>
      <c r="C537" s="14" t="s">
        <v>39</v>
      </c>
      <c r="D537" s="15">
        <v>45314</v>
      </c>
      <c r="E537" s="2">
        <v>202</v>
      </c>
      <c r="F537" s="14" t="s">
        <v>154</v>
      </c>
      <c r="G537" t="s">
        <v>155</v>
      </c>
      <c r="H537" s="14" t="s">
        <v>93</v>
      </c>
      <c r="I537" s="2">
        <v>3</v>
      </c>
      <c r="J537" s="2">
        <v>0</v>
      </c>
      <c r="K537" s="2">
        <v>0</v>
      </c>
      <c r="L537" s="2"/>
      <c r="M537" s="2">
        <v>0</v>
      </c>
      <c r="N537" s="14"/>
      <c r="O537" s="14"/>
      <c r="P537" s="2">
        <v>240</v>
      </c>
      <c r="Q537" s="2">
        <v>720</v>
      </c>
      <c r="R537" s="2">
        <v>0</v>
      </c>
      <c r="S537">
        <f t="shared" si="39"/>
        <v>0</v>
      </c>
      <c r="T537" t="s">
        <v>1874</v>
      </c>
      <c r="U537">
        <f>_xlfn.XLOOKUP(T537,$Y$2:$Y$45,$AB$2:$AB$45)*(Q537)</f>
        <v>28.8</v>
      </c>
      <c r="AD537" s="19" t="s">
        <v>2321</v>
      </c>
      <c r="AE537">
        <v>214.91314999999997</v>
      </c>
      <c r="AG537" t="s">
        <v>2321</v>
      </c>
      <c r="AH537" s="1">
        <v>214.91314999999997</v>
      </c>
    </row>
    <row r="538" spans="1:34" x14ac:dyDescent="0.25">
      <c r="A538" s="2">
        <v>38722</v>
      </c>
      <c r="B538" s="13" t="s">
        <v>1013</v>
      </c>
      <c r="C538" s="14" t="s">
        <v>39</v>
      </c>
      <c r="D538" s="15">
        <v>45314</v>
      </c>
      <c r="E538" s="2">
        <v>202</v>
      </c>
      <c r="F538" s="14" t="s">
        <v>152</v>
      </c>
      <c r="G538" t="s">
        <v>1014</v>
      </c>
      <c r="H538" s="14" t="s">
        <v>93</v>
      </c>
      <c r="I538" s="2">
        <v>24</v>
      </c>
      <c r="J538" s="2">
        <v>0</v>
      </c>
      <c r="K538" s="2">
        <v>0</v>
      </c>
      <c r="L538" s="2"/>
      <c r="M538" s="2">
        <v>0</v>
      </c>
      <c r="N538" s="14"/>
      <c r="O538" s="14"/>
      <c r="P538" s="2">
        <v>225</v>
      </c>
      <c r="Q538" s="2">
        <v>5400</v>
      </c>
      <c r="R538" s="2">
        <v>0</v>
      </c>
      <c r="S538">
        <f t="shared" si="39"/>
        <v>0</v>
      </c>
      <c r="T538" t="s">
        <v>1874</v>
      </c>
      <c r="U538">
        <f>_xlfn.XLOOKUP(T538,$Y$2:$Y$45,$AB$2:$AB$45)*(Q538)</f>
        <v>216</v>
      </c>
      <c r="AD538" s="19" t="s">
        <v>2322</v>
      </c>
      <c r="AE538">
        <v>172.43950000000007</v>
      </c>
      <c r="AG538" t="s">
        <v>2322</v>
      </c>
      <c r="AH538" s="1">
        <v>172.43950000000007</v>
      </c>
    </row>
    <row r="539" spans="1:34" x14ac:dyDescent="0.25">
      <c r="A539" s="2">
        <v>38723</v>
      </c>
      <c r="B539" s="13" t="s">
        <v>1015</v>
      </c>
      <c r="C539" s="14" t="s">
        <v>39</v>
      </c>
      <c r="D539" s="15">
        <v>45300</v>
      </c>
      <c r="E539" s="2">
        <v>0</v>
      </c>
      <c r="F539" s="14" t="s">
        <v>1016</v>
      </c>
      <c r="G539" t="s">
        <v>1017</v>
      </c>
      <c r="H539" s="14" t="s">
        <v>93</v>
      </c>
      <c r="I539" s="2">
        <v>30</v>
      </c>
      <c r="J539" s="2">
        <v>0</v>
      </c>
      <c r="K539" s="2">
        <v>0</v>
      </c>
      <c r="L539" s="2"/>
      <c r="M539" s="2">
        <v>0</v>
      </c>
      <c r="N539" s="14"/>
      <c r="O539" s="14"/>
      <c r="P539" s="2">
        <v>205</v>
      </c>
      <c r="Q539" s="2">
        <v>6150</v>
      </c>
      <c r="R539" s="2">
        <v>0</v>
      </c>
      <c r="S539">
        <f t="shared" si="39"/>
        <v>0</v>
      </c>
      <c r="T539" t="s">
        <v>150</v>
      </c>
      <c r="U539">
        <f>_xlfn.XLOOKUP(T539,$Y$2:$Y$45,$AB$2:$AB$45)*(Q539)</f>
        <v>246</v>
      </c>
      <c r="AD539" s="19" t="s">
        <v>2323</v>
      </c>
      <c r="AE539">
        <v>32.816799999999994</v>
      </c>
      <c r="AG539" t="s">
        <v>2323</v>
      </c>
      <c r="AH539" s="1">
        <v>32.816799999999994</v>
      </c>
    </row>
    <row r="540" spans="1:34" hidden="1" x14ac:dyDescent="0.25">
      <c r="A540" s="2">
        <v>38724</v>
      </c>
      <c r="B540" s="13" t="s">
        <v>1018</v>
      </c>
      <c r="C540" s="14" t="s">
        <v>39</v>
      </c>
      <c r="D540" s="15">
        <v>45316</v>
      </c>
      <c r="E540" s="2">
        <v>0</v>
      </c>
      <c r="F540" s="14" t="s">
        <v>1019</v>
      </c>
      <c r="G540" t="s">
        <v>1020</v>
      </c>
      <c r="H540" s="14" t="s">
        <v>42</v>
      </c>
      <c r="I540" s="2">
        <v>1</v>
      </c>
      <c r="J540" s="2">
        <v>0</v>
      </c>
      <c r="K540" s="2">
        <v>0</v>
      </c>
      <c r="L540" s="2"/>
      <c r="M540" s="2">
        <v>0</v>
      </c>
      <c r="N540" s="14"/>
      <c r="O540" s="14"/>
      <c r="P540" s="2">
        <v>2584.1999999999998</v>
      </c>
      <c r="Q540" s="2">
        <v>2584.1999999999998</v>
      </c>
      <c r="R540" s="2">
        <v>2392.7800000000002</v>
      </c>
      <c r="S540">
        <f t="shared" si="39"/>
        <v>2392.7800000000002</v>
      </c>
      <c r="T540" t="s">
        <v>105</v>
      </c>
      <c r="U540" s="1">
        <f>_xlfn.XLOOKUP(T540,$Y$2:$Y$45,$AA$2:$AA$45)*(Q540-S540)</f>
        <v>7.6567999999999845</v>
      </c>
      <c r="AD540" s="19" t="s">
        <v>2324</v>
      </c>
      <c r="AE540">
        <v>54.790999999999997</v>
      </c>
      <c r="AG540" t="s">
        <v>2324</v>
      </c>
      <c r="AH540" s="1">
        <v>54.790999999999997</v>
      </c>
    </row>
    <row r="541" spans="1:34" hidden="1" x14ac:dyDescent="0.25">
      <c r="A541" s="2">
        <v>38725</v>
      </c>
      <c r="B541" s="13" t="s">
        <v>1021</v>
      </c>
      <c r="C541" s="14" t="s">
        <v>39</v>
      </c>
      <c r="D541" s="15">
        <v>45301</v>
      </c>
      <c r="E541" s="2">
        <v>0</v>
      </c>
      <c r="F541" s="14" t="s">
        <v>49</v>
      </c>
      <c r="G541" t="s">
        <v>1022</v>
      </c>
      <c r="H541" s="14" t="s">
        <v>42</v>
      </c>
      <c r="I541" s="2">
        <v>9</v>
      </c>
      <c r="J541" s="2">
        <v>0</v>
      </c>
      <c r="K541" s="2">
        <v>0</v>
      </c>
      <c r="L541" s="2"/>
      <c r="M541" s="2">
        <v>0</v>
      </c>
      <c r="N541" s="14"/>
      <c r="O541" s="14"/>
      <c r="P541" s="2">
        <v>123.33</v>
      </c>
      <c r="Q541" s="2">
        <v>1109.97</v>
      </c>
      <c r="R541" s="2">
        <v>102.36</v>
      </c>
      <c r="S541">
        <f t="shared" si="39"/>
        <v>921.24</v>
      </c>
      <c r="T541" t="s">
        <v>184</v>
      </c>
      <c r="U541" s="1">
        <f>_xlfn.XLOOKUP(T541,$Y$2:$Y$45,$AA$2:$AA$45)*(Q541-S541)</f>
        <v>0</v>
      </c>
      <c r="AD541" s="19" t="s">
        <v>2325</v>
      </c>
      <c r="AE541">
        <v>0</v>
      </c>
      <c r="AG541" t="s">
        <v>2325</v>
      </c>
      <c r="AH541" s="1">
        <v>0</v>
      </c>
    </row>
    <row r="542" spans="1:34" hidden="1" x14ac:dyDescent="0.25">
      <c r="A542" s="2">
        <v>38728</v>
      </c>
      <c r="B542" s="13" t="s">
        <v>1023</v>
      </c>
      <c r="C542" s="14" t="s">
        <v>39</v>
      </c>
      <c r="D542" s="15">
        <v>45301</v>
      </c>
      <c r="E542" s="2">
        <v>0</v>
      </c>
      <c r="F542" s="14" t="s">
        <v>1024</v>
      </c>
      <c r="G542" t="s">
        <v>1025</v>
      </c>
      <c r="H542" s="14" t="s">
        <v>42</v>
      </c>
      <c r="I542" s="2">
        <v>2</v>
      </c>
      <c r="J542" s="2">
        <v>0</v>
      </c>
      <c r="K542" s="2">
        <v>0</v>
      </c>
      <c r="L542" s="2"/>
      <c r="M542" s="2">
        <v>0</v>
      </c>
      <c r="N542" s="14"/>
      <c r="O542" s="14"/>
      <c r="P542" s="2">
        <v>10</v>
      </c>
      <c r="Q542" s="2">
        <v>20</v>
      </c>
      <c r="R542" s="2">
        <v>7.52</v>
      </c>
      <c r="S542">
        <f t="shared" si="39"/>
        <v>15.04</v>
      </c>
      <c r="T542" t="s">
        <v>150</v>
      </c>
      <c r="U542" s="1">
        <f>_xlfn.XLOOKUP(T542,$Y$2:$Y$45,$AA$2:$AA$45)*(Q542-S542)</f>
        <v>0.3968000000000001</v>
      </c>
      <c r="AD542" s="19" t="s">
        <v>2326</v>
      </c>
      <c r="AE542">
        <v>18.060800000000004</v>
      </c>
      <c r="AG542" t="s">
        <v>2326</v>
      </c>
      <c r="AH542" s="1">
        <v>18.060800000000004</v>
      </c>
    </row>
    <row r="543" spans="1:34" hidden="1" x14ac:dyDescent="0.25">
      <c r="A543" s="2">
        <v>38728</v>
      </c>
      <c r="B543" s="13" t="s">
        <v>1023</v>
      </c>
      <c r="C543" s="14" t="s">
        <v>39</v>
      </c>
      <c r="D543" s="15">
        <v>45301</v>
      </c>
      <c r="E543" s="2">
        <v>0</v>
      </c>
      <c r="F543" s="14" t="s">
        <v>1026</v>
      </c>
      <c r="G543" t="s">
        <v>1027</v>
      </c>
      <c r="H543" s="14" t="s">
        <v>42</v>
      </c>
      <c r="I543" s="2">
        <v>1</v>
      </c>
      <c r="J543" s="2">
        <v>0</v>
      </c>
      <c r="K543" s="2">
        <v>0</v>
      </c>
      <c r="L543" s="2"/>
      <c r="M543" s="2">
        <v>0</v>
      </c>
      <c r="N543" s="14"/>
      <c r="O543" s="14"/>
      <c r="P543" s="2">
        <v>62</v>
      </c>
      <c r="Q543" s="2">
        <v>62</v>
      </c>
      <c r="R543" s="2">
        <v>49.33</v>
      </c>
      <c r="S543">
        <f t="shared" si="39"/>
        <v>49.33</v>
      </c>
      <c r="T543" t="s">
        <v>150</v>
      </c>
      <c r="U543" s="1">
        <f>_xlfn.XLOOKUP(T543,$Y$2:$Y$45,$AA$2:$AA$45)*(Q543-S543)</f>
        <v>1.0136000000000001</v>
      </c>
      <c r="AD543" s="19" t="s">
        <v>2327</v>
      </c>
      <c r="AE543">
        <v>8.3215000000000074</v>
      </c>
      <c r="AG543" t="s">
        <v>2327</v>
      </c>
      <c r="AH543" s="1">
        <v>8.3215000000000074</v>
      </c>
    </row>
    <row r="544" spans="1:34" x14ac:dyDescent="0.25">
      <c r="A544" s="2">
        <v>38730</v>
      </c>
      <c r="B544" s="13" t="s">
        <v>1028</v>
      </c>
      <c r="C544" s="14" t="s">
        <v>39</v>
      </c>
      <c r="D544" s="15">
        <v>45307</v>
      </c>
      <c r="E544" s="2">
        <v>0</v>
      </c>
      <c r="F544" s="14" t="s">
        <v>423</v>
      </c>
      <c r="G544" t="s">
        <v>424</v>
      </c>
      <c r="H544" s="14" t="s">
        <v>93</v>
      </c>
      <c r="I544" s="2">
        <v>65</v>
      </c>
      <c r="J544" s="2">
        <v>0</v>
      </c>
      <c r="K544" s="2">
        <v>0</v>
      </c>
      <c r="L544" s="2"/>
      <c r="M544" s="2">
        <v>0</v>
      </c>
      <c r="N544" s="14"/>
      <c r="O544" s="14"/>
      <c r="P544" s="2">
        <v>225</v>
      </c>
      <c r="Q544" s="2">
        <v>14625</v>
      </c>
      <c r="R544" s="2">
        <v>0</v>
      </c>
      <c r="S544">
        <f t="shared" si="39"/>
        <v>0</v>
      </c>
      <c r="T544" t="s">
        <v>105</v>
      </c>
      <c r="U544">
        <f>_xlfn.XLOOKUP(T544,$Y$2:$Y$45,$AB$2:$AB$45)*(Q544)</f>
        <v>585</v>
      </c>
      <c r="AD544" s="19" t="s">
        <v>926</v>
      </c>
      <c r="AE544">
        <v>30570.6672</v>
      </c>
      <c r="AG544" t="s">
        <v>926</v>
      </c>
      <c r="AH544" s="1">
        <v>30570.6672</v>
      </c>
    </row>
    <row r="545" spans="1:21" hidden="1" x14ac:dyDescent="0.25">
      <c r="A545" s="2">
        <v>38731</v>
      </c>
      <c r="B545" s="13" t="s">
        <v>1029</v>
      </c>
      <c r="C545" s="14" t="s">
        <v>39</v>
      </c>
      <c r="D545" s="15">
        <v>45301</v>
      </c>
      <c r="E545" s="2">
        <v>0</v>
      </c>
      <c r="F545" s="14" t="s">
        <v>1030</v>
      </c>
      <c r="G545" t="s">
        <v>1031</v>
      </c>
      <c r="H545" s="14" t="s">
        <v>42</v>
      </c>
      <c r="I545" s="2">
        <v>1</v>
      </c>
      <c r="J545" s="2">
        <v>0</v>
      </c>
      <c r="K545" s="2">
        <v>0</v>
      </c>
      <c r="L545" s="2"/>
      <c r="M545" s="2">
        <v>0</v>
      </c>
      <c r="N545" s="14"/>
      <c r="O545" s="14"/>
      <c r="P545" s="2">
        <v>2426.83</v>
      </c>
      <c r="Q545" s="2">
        <v>2426.83</v>
      </c>
      <c r="R545" s="2">
        <v>1990</v>
      </c>
      <c r="S545">
        <f t="shared" si="39"/>
        <v>1990</v>
      </c>
      <c r="T545" t="s">
        <v>184</v>
      </c>
      <c r="U545" s="1">
        <f t="shared" ref="U545:U551" si="41">_xlfn.XLOOKUP(T545,$Y$2:$Y$45,$AA$2:$AA$45)*(Q545-S545)</f>
        <v>0</v>
      </c>
    </row>
    <row r="546" spans="1:21" hidden="1" x14ac:dyDescent="0.25">
      <c r="A546" s="2">
        <v>38733</v>
      </c>
      <c r="B546" s="13" t="s">
        <v>1032</v>
      </c>
      <c r="C546" s="14" t="s">
        <v>39</v>
      </c>
      <c r="D546" s="15">
        <v>45301</v>
      </c>
      <c r="E546" s="2">
        <v>0</v>
      </c>
      <c r="F546" s="14" t="s">
        <v>240</v>
      </c>
      <c r="G546" t="s">
        <v>1033</v>
      </c>
      <c r="H546" s="14" t="s">
        <v>42</v>
      </c>
      <c r="I546" s="2">
        <v>2</v>
      </c>
      <c r="J546" s="2">
        <v>0</v>
      </c>
      <c r="K546" s="2">
        <v>0</v>
      </c>
      <c r="L546" s="2"/>
      <c r="M546" s="2">
        <v>0</v>
      </c>
      <c r="N546" s="14"/>
      <c r="O546" s="14"/>
      <c r="P546" s="2">
        <v>546</v>
      </c>
      <c r="Q546" s="2">
        <v>1092</v>
      </c>
      <c r="R546" s="2">
        <v>436.8</v>
      </c>
      <c r="S546">
        <f t="shared" si="39"/>
        <v>873.6</v>
      </c>
      <c r="T546" t="s">
        <v>56</v>
      </c>
      <c r="U546" s="1">
        <f t="shared" si="41"/>
        <v>18.564</v>
      </c>
    </row>
    <row r="547" spans="1:21" hidden="1" x14ac:dyDescent="0.25">
      <c r="A547" s="2">
        <v>38735</v>
      </c>
      <c r="B547" s="13" t="s">
        <v>1034</v>
      </c>
      <c r="C547" s="14" t="s">
        <v>39</v>
      </c>
      <c r="D547" s="15">
        <v>45308</v>
      </c>
      <c r="E547" s="2">
        <v>0</v>
      </c>
      <c r="F547" s="14" t="s">
        <v>1035</v>
      </c>
      <c r="G547" t="s">
        <v>1036</v>
      </c>
      <c r="H547" s="14" t="s">
        <v>42</v>
      </c>
      <c r="I547" s="2">
        <v>60</v>
      </c>
      <c r="J547" s="2">
        <v>0</v>
      </c>
      <c r="K547" s="2">
        <v>0</v>
      </c>
      <c r="L547" s="2"/>
      <c r="M547" s="2">
        <v>0</v>
      </c>
      <c r="N547" s="14"/>
      <c r="O547" s="14"/>
      <c r="P547" s="2">
        <v>32</v>
      </c>
      <c r="Q547" s="2">
        <v>1920</v>
      </c>
      <c r="R547" s="2">
        <v>24.11</v>
      </c>
      <c r="S547">
        <f t="shared" si="39"/>
        <v>1446.6</v>
      </c>
      <c r="T547" t="s">
        <v>56</v>
      </c>
      <c r="U547" s="1">
        <f t="shared" si="41"/>
        <v>40.239000000000011</v>
      </c>
    </row>
    <row r="548" spans="1:21" hidden="1" x14ac:dyDescent="0.25">
      <c r="A548" s="2">
        <v>38737</v>
      </c>
      <c r="B548" s="13" t="s">
        <v>1037</v>
      </c>
      <c r="C548" s="14" t="s">
        <v>39</v>
      </c>
      <c r="D548" s="15">
        <v>45301</v>
      </c>
      <c r="E548" s="2">
        <v>0</v>
      </c>
      <c r="F548" s="14" t="s">
        <v>1038</v>
      </c>
      <c r="G548" t="s">
        <v>1039</v>
      </c>
      <c r="H548" s="14" t="s">
        <v>42</v>
      </c>
      <c r="I548" s="2">
        <v>1</v>
      </c>
      <c r="J548" s="2">
        <v>0</v>
      </c>
      <c r="K548" s="2">
        <v>0</v>
      </c>
      <c r="L548" s="2"/>
      <c r="M548" s="2">
        <v>0</v>
      </c>
      <c r="N548" s="14"/>
      <c r="O548" s="14"/>
      <c r="P548" s="2">
        <v>146</v>
      </c>
      <c r="Q548" s="2">
        <v>146</v>
      </c>
      <c r="R548" s="2">
        <v>119</v>
      </c>
      <c r="S548">
        <f t="shared" si="39"/>
        <v>119</v>
      </c>
      <c r="T548" t="s">
        <v>43</v>
      </c>
      <c r="U548" s="1">
        <f t="shared" si="41"/>
        <v>2.2950000000000004</v>
      </c>
    </row>
    <row r="549" spans="1:21" hidden="1" x14ac:dyDescent="0.25">
      <c r="A549" s="2">
        <v>38737</v>
      </c>
      <c r="B549" s="13" t="s">
        <v>1037</v>
      </c>
      <c r="C549" s="14" t="s">
        <v>39</v>
      </c>
      <c r="D549" s="15">
        <v>45301</v>
      </c>
      <c r="E549" s="2">
        <v>0</v>
      </c>
      <c r="F549" s="14" t="s">
        <v>1040</v>
      </c>
      <c r="G549" t="s">
        <v>1041</v>
      </c>
      <c r="H549" s="14" t="s">
        <v>42</v>
      </c>
      <c r="I549" s="2">
        <v>1</v>
      </c>
      <c r="J549" s="2">
        <v>0</v>
      </c>
      <c r="K549" s="2">
        <v>0</v>
      </c>
      <c r="L549" s="2"/>
      <c r="M549" s="2">
        <v>0</v>
      </c>
      <c r="N549" s="14"/>
      <c r="O549" s="14"/>
      <c r="P549" s="2">
        <v>1197</v>
      </c>
      <c r="Q549" s="2">
        <v>1197</v>
      </c>
      <c r="R549" s="2">
        <v>981</v>
      </c>
      <c r="S549">
        <f t="shared" si="39"/>
        <v>981</v>
      </c>
      <c r="T549" t="s">
        <v>43</v>
      </c>
      <c r="U549" s="1">
        <f t="shared" si="41"/>
        <v>18.360000000000003</v>
      </c>
    </row>
    <row r="550" spans="1:21" hidden="1" x14ac:dyDescent="0.25">
      <c r="A550" s="2">
        <v>38741</v>
      </c>
      <c r="B550" s="13" t="s">
        <v>1042</v>
      </c>
      <c r="C550" s="14" t="s">
        <v>39</v>
      </c>
      <c r="D550" s="15">
        <v>45301</v>
      </c>
      <c r="E550" s="2">
        <v>0</v>
      </c>
      <c r="F550" s="14" t="s">
        <v>1043</v>
      </c>
      <c r="G550" t="s">
        <v>1044</v>
      </c>
      <c r="H550" s="14" t="s">
        <v>42</v>
      </c>
      <c r="I550" s="2">
        <v>1</v>
      </c>
      <c r="J550" s="2">
        <v>0</v>
      </c>
      <c r="K550" s="2">
        <v>0</v>
      </c>
      <c r="L550" s="2"/>
      <c r="M550" s="2">
        <v>0</v>
      </c>
      <c r="N550" s="14"/>
      <c r="O550" s="14"/>
      <c r="P550" s="2">
        <v>1877</v>
      </c>
      <c r="Q550" s="2">
        <v>1877</v>
      </c>
      <c r="R550" s="2">
        <v>1662.19</v>
      </c>
      <c r="S550">
        <f t="shared" si="39"/>
        <v>1662.19</v>
      </c>
      <c r="T550" t="s">
        <v>61</v>
      </c>
      <c r="U550" s="1">
        <f t="shared" si="41"/>
        <v>0</v>
      </c>
    </row>
    <row r="551" spans="1:21" hidden="1" x14ac:dyDescent="0.25">
      <c r="A551" s="2">
        <v>38741</v>
      </c>
      <c r="B551" s="13" t="s">
        <v>1042</v>
      </c>
      <c r="C551" s="14" t="s">
        <v>39</v>
      </c>
      <c r="D551" s="15">
        <v>45301</v>
      </c>
      <c r="E551" s="2">
        <v>0</v>
      </c>
      <c r="F551" s="14" t="s">
        <v>1045</v>
      </c>
      <c r="G551" t="s">
        <v>1046</v>
      </c>
      <c r="H551" s="14" t="s">
        <v>42</v>
      </c>
      <c r="I551" s="2">
        <v>1</v>
      </c>
      <c r="J551" s="2">
        <v>0</v>
      </c>
      <c r="K551" s="2">
        <v>0</v>
      </c>
      <c r="L551" s="2"/>
      <c r="M551" s="2">
        <v>0</v>
      </c>
      <c r="N551" s="14"/>
      <c r="O551" s="14"/>
      <c r="P551" s="2">
        <v>183</v>
      </c>
      <c r="Q551" s="2">
        <v>183</v>
      </c>
      <c r="R551" s="2">
        <v>159.12</v>
      </c>
      <c r="S551">
        <f t="shared" si="39"/>
        <v>159.12</v>
      </c>
      <c r="T551" t="s">
        <v>61</v>
      </c>
      <c r="U551" s="1">
        <f t="shared" si="41"/>
        <v>0</v>
      </c>
    </row>
    <row r="552" spans="1:21" x14ac:dyDescent="0.25">
      <c r="A552" s="2">
        <v>38745</v>
      </c>
      <c r="B552" s="13" t="s">
        <v>1047</v>
      </c>
      <c r="C552" s="14" t="s">
        <v>39</v>
      </c>
      <c r="D552" s="15">
        <v>45301</v>
      </c>
      <c r="E552" s="2">
        <v>0</v>
      </c>
      <c r="F552" s="14" t="s">
        <v>260</v>
      </c>
      <c r="G552" t="s">
        <v>313</v>
      </c>
      <c r="H552" s="14" t="s">
        <v>93</v>
      </c>
      <c r="I552" s="2">
        <v>2</v>
      </c>
      <c r="J552" s="2">
        <v>0</v>
      </c>
      <c r="K552" s="2">
        <v>0</v>
      </c>
      <c r="L552" s="2"/>
      <c r="M552" s="2">
        <v>0</v>
      </c>
      <c r="N552" s="14"/>
      <c r="O552" s="14"/>
      <c r="P552" s="2">
        <v>200</v>
      </c>
      <c r="Q552" s="2">
        <v>400</v>
      </c>
      <c r="R552" s="2">
        <v>0</v>
      </c>
      <c r="S552">
        <f t="shared" si="39"/>
        <v>0</v>
      </c>
      <c r="T552" t="s">
        <v>174</v>
      </c>
      <c r="U552">
        <f>_xlfn.XLOOKUP(T552,$Y$2:$Y$45,$AB$2:$AB$45)*(Q552)</f>
        <v>0</v>
      </c>
    </row>
    <row r="553" spans="1:21" hidden="1" x14ac:dyDescent="0.25">
      <c r="A553" s="2">
        <v>38751</v>
      </c>
      <c r="B553" s="13" t="s">
        <v>1048</v>
      </c>
      <c r="C553" s="14" t="s">
        <v>39</v>
      </c>
      <c r="D553" s="15">
        <v>45301</v>
      </c>
      <c r="E553" s="2">
        <v>0</v>
      </c>
      <c r="F553" s="14" t="s">
        <v>271</v>
      </c>
      <c r="G553" t="s">
        <v>1049</v>
      </c>
      <c r="H553" s="14" t="s">
        <v>173</v>
      </c>
      <c r="I553" s="2">
        <v>15</v>
      </c>
      <c r="J553" s="2">
        <v>0</v>
      </c>
      <c r="K553" s="2">
        <v>0</v>
      </c>
      <c r="L553" s="2"/>
      <c r="M553" s="2">
        <v>0</v>
      </c>
      <c r="N553" s="14"/>
      <c r="O553" s="14"/>
      <c r="P553" s="2">
        <v>170.88</v>
      </c>
      <c r="Q553" s="2">
        <v>2563.1999999999998</v>
      </c>
      <c r="R553" s="2">
        <v>157.85</v>
      </c>
      <c r="S553">
        <f t="shared" si="39"/>
        <v>2367.75</v>
      </c>
      <c r="T553" t="s">
        <v>140</v>
      </c>
      <c r="U553" s="1">
        <f t="shared" ref="U553:U560" si="42">_xlfn.XLOOKUP(T553,$Y$2:$Y$45,$AA$2:$AA$45)*(Q553-S553)</f>
        <v>15.635999999999985</v>
      </c>
    </row>
    <row r="554" spans="1:21" hidden="1" x14ac:dyDescent="0.25">
      <c r="A554" s="2">
        <v>38751</v>
      </c>
      <c r="B554" s="13" t="s">
        <v>1048</v>
      </c>
      <c r="C554" s="14" t="s">
        <v>39</v>
      </c>
      <c r="D554" s="15">
        <v>45301</v>
      </c>
      <c r="E554" s="2">
        <v>0</v>
      </c>
      <c r="F554" s="14" t="s">
        <v>1050</v>
      </c>
      <c r="G554" t="s">
        <v>1051</v>
      </c>
      <c r="H554" s="14" t="s">
        <v>173</v>
      </c>
      <c r="I554" s="2">
        <v>8</v>
      </c>
      <c r="J554" s="2">
        <v>0</v>
      </c>
      <c r="K554" s="2">
        <v>0</v>
      </c>
      <c r="L554" s="2"/>
      <c r="M554" s="2">
        <v>0</v>
      </c>
      <c r="N554" s="14"/>
      <c r="O554" s="14"/>
      <c r="P554" s="2">
        <v>439.92</v>
      </c>
      <c r="Q554" s="2">
        <v>3519.36</v>
      </c>
      <c r="R554" s="2">
        <v>429.32</v>
      </c>
      <c r="S554">
        <f t="shared" si="39"/>
        <v>3434.56</v>
      </c>
      <c r="T554" t="s">
        <v>140</v>
      </c>
      <c r="U554" s="1">
        <f t="shared" si="42"/>
        <v>6.7840000000000149</v>
      </c>
    </row>
    <row r="555" spans="1:21" hidden="1" x14ac:dyDescent="0.25">
      <c r="A555" s="2">
        <v>38753</v>
      </c>
      <c r="B555" s="13" t="s">
        <v>1052</v>
      </c>
      <c r="C555" s="14" t="s">
        <v>39</v>
      </c>
      <c r="D555" s="15">
        <v>45302</v>
      </c>
      <c r="E555" s="2">
        <v>0</v>
      </c>
      <c r="F555" s="14" t="s">
        <v>1053</v>
      </c>
      <c r="G555" t="s">
        <v>1054</v>
      </c>
      <c r="H555" s="14" t="s">
        <v>42</v>
      </c>
      <c r="I555" s="2">
        <v>1</v>
      </c>
      <c r="J555" s="2">
        <v>0</v>
      </c>
      <c r="K555" s="2">
        <v>0</v>
      </c>
      <c r="L555" s="2"/>
      <c r="M555" s="2">
        <v>0</v>
      </c>
      <c r="N555" s="14"/>
      <c r="O555" s="14"/>
      <c r="P555" s="2">
        <v>557.38</v>
      </c>
      <c r="Q555" s="2">
        <v>557.38</v>
      </c>
      <c r="R555" s="2">
        <v>457.05</v>
      </c>
      <c r="S555">
        <f t="shared" si="39"/>
        <v>457.05</v>
      </c>
      <c r="T555" t="s">
        <v>184</v>
      </c>
      <c r="U555" s="1">
        <f t="shared" si="42"/>
        <v>0</v>
      </c>
    </row>
    <row r="556" spans="1:21" hidden="1" x14ac:dyDescent="0.25">
      <c r="A556" s="2">
        <v>38753</v>
      </c>
      <c r="B556" s="13" t="s">
        <v>1052</v>
      </c>
      <c r="C556" s="14" t="s">
        <v>39</v>
      </c>
      <c r="D556" s="15">
        <v>45302</v>
      </c>
      <c r="E556" s="2">
        <v>0</v>
      </c>
      <c r="F556" s="14" t="s">
        <v>1055</v>
      </c>
      <c r="G556" t="s">
        <v>1056</v>
      </c>
      <c r="H556" s="14" t="s">
        <v>42</v>
      </c>
      <c r="I556" s="2">
        <v>1</v>
      </c>
      <c r="J556" s="2">
        <v>0</v>
      </c>
      <c r="K556" s="2">
        <v>0</v>
      </c>
      <c r="L556" s="2"/>
      <c r="M556" s="2">
        <v>0</v>
      </c>
      <c r="N556" s="14"/>
      <c r="O556" s="14"/>
      <c r="P556" s="2">
        <v>90</v>
      </c>
      <c r="Q556" s="2">
        <v>90</v>
      </c>
      <c r="R556" s="2">
        <v>73.28</v>
      </c>
      <c r="S556">
        <f t="shared" si="39"/>
        <v>73.28</v>
      </c>
      <c r="T556" t="s">
        <v>184</v>
      </c>
      <c r="U556" s="1">
        <f t="shared" si="42"/>
        <v>0</v>
      </c>
    </row>
    <row r="557" spans="1:21" hidden="1" x14ac:dyDescent="0.25">
      <c r="A557" s="2">
        <v>38755</v>
      </c>
      <c r="B557" s="13" t="s">
        <v>669</v>
      </c>
      <c r="C557" s="14" t="s">
        <v>39</v>
      </c>
      <c r="D557" s="15">
        <v>45314</v>
      </c>
      <c r="E557" s="2">
        <v>0</v>
      </c>
      <c r="F557" s="14" t="s">
        <v>670</v>
      </c>
      <c r="G557" t="s">
        <v>671</v>
      </c>
      <c r="H557" s="14" t="s">
        <v>42</v>
      </c>
      <c r="I557" s="2">
        <v>1</v>
      </c>
      <c r="J557" s="2">
        <v>0</v>
      </c>
      <c r="K557" s="2">
        <v>0</v>
      </c>
      <c r="L557" s="2"/>
      <c r="M557" s="2">
        <v>0</v>
      </c>
      <c r="N557" s="14"/>
      <c r="O557" s="14"/>
      <c r="P557" s="2">
        <v>98</v>
      </c>
      <c r="Q557" s="2">
        <v>98</v>
      </c>
      <c r="R557" s="2">
        <v>67.989999999999995</v>
      </c>
      <c r="S557">
        <f t="shared" si="39"/>
        <v>67.989999999999995</v>
      </c>
      <c r="T557" t="s">
        <v>174</v>
      </c>
      <c r="U557" s="1">
        <f t="shared" si="42"/>
        <v>0</v>
      </c>
    </row>
    <row r="558" spans="1:21" hidden="1" x14ac:dyDescent="0.25">
      <c r="A558" s="2">
        <v>38756</v>
      </c>
      <c r="B558" s="13" t="s">
        <v>1057</v>
      </c>
      <c r="C558" s="14" t="s">
        <v>39</v>
      </c>
      <c r="D558" s="15">
        <v>45314</v>
      </c>
      <c r="E558" s="2">
        <v>0</v>
      </c>
      <c r="F558" s="14" t="s">
        <v>1058</v>
      </c>
      <c r="G558" t="s">
        <v>1059</v>
      </c>
      <c r="H558" s="14" t="s">
        <v>42</v>
      </c>
      <c r="I558" s="2">
        <v>2</v>
      </c>
      <c r="J558" s="2">
        <v>0</v>
      </c>
      <c r="K558" s="2">
        <v>0</v>
      </c>
      <c r="L558" s="2"/>
      <c r="M558" s="2">
        <v>0</v>
      </c>
      <c r="N558" s="14"/>
      <c r="O558" s="14"/>
      <c r="P558" s="2">
        <v>368.98</v>
      </c>
      <c r="Q558" s="2">
        <v>737.96</v>
      </c>
      <c r="R558" s="2">
        <v>295.18</v>
      </c>
      <c r="S558">
        <f t="shared" si="39"/>
        <v>590.36</v>
      </c>
      <c r="T558" t="s">
        <v>107</v>
      </c>
      <c r="U558" s="1">
        <f t="shared" si="42"/>
        <v>5.9040000000000008</v>
      </c>
    </row>
    <row r="559" spans="1:21" hidden="1" x14ac:dyDescent="0.25">
      <c r="A559" s="2">
        <v>38758</v>
      </c>
      <c r="B559" s="13" t="s">
        <v>1060</v>
      </c>
      <c r="C559" s="14" t="s">
        <v>39</v>
      </c>
      <c r="D559" s="15">
        <v>45301</v>
      </c>
      <c r="E559" s="2">
        <v>0</v>
      </c>
      <c r="F559" s="14" t="s">
        <v>1061</v>
      </c>
      <c r="G559" t="s">
        <v>1062</v>
      </c>
      <c r="H559" s="14" t="s">
        <v>42</v>
      </c>
      <c r="I559" s="2">
        <v>5</v>
      </c>
      <c r="J559" s="2">
        <v>0</v>
      </c>
      <c r="K559" s="2">
        <v>0</v>
      </c>
      <c r="L559" s="2"/>
      <c r="M559" s="2">
        <v>0</v>
      </c>
      <c r="N559" s="14"/>
      <c r="O559" s="14"/>
      <c r="P559" s="2">
        <v>78</v>
      </c>
      <c r="Q559" s="2">
        <v>390</v>
      </c>
      <c r="R559" s="2">
        <v>56.99</v>
      </c>
      <c r="S559">
        <f t="shared" si="39"/>
        <v>284.95</v>
      </c>
      <c r="T559" t="s">
        <v>132</v>
      </c>
      <c r="U559" s="1">
        <f t="shared" si="42"/>
        <v>8.4040000000000017</v>
      </c>
    </row>
    <row r="560" spans="1:21" hidden="1" x14ac:dyDescent="0.25">
      <c r="A560" s="2">
        <v>38759</v>
      </c>
      <c r="B560" s="13" t="s">
        <v>1063</v>
      </c>
      <c r="C560" s="14" t="s">
        <v>39</v>
      </c>
      <c r="D560" s="15">
        <v>45302</v>
      </c>
      <c r="E560" s="2">
        <v>0</v>
      </c>
      <c r="F560" s="14" t="s">
        <v>887</v>
      </c>
      <c r="G560" t="s">
        <v>1064</v>
      </c>
      <c r="H560" s="14" t="s">
        <v>42</v>
      </c>
      <c r="I560" s="2">
        <v>1</v>
      </c>
      <c r="J560" s="2">
        <v>0</v>
      </c>
      <c r="K560" s="2">
        <v>0</v>
      </c>
      <c r="L560" s="2"/>
      <c r="M560" s="2">
        <v>0</v>
      </c>
      <c r="N560" s="14"/>
      <c r="O560" s="14"/>
      <c r="P560" s="2">
        <v>32</v>
      </c>
      <c r="Q560" s="2">
        <v>32</v>
      </c>
      <c r="R560" s="2">
        <v>31.73</v>
      </c>
      <c r="S560">
        <f t="shared" si="39"/>
        <v>31.73</v>
      </c>
      <c r="T560" t="s">
        <v>107</v>
      </c>
      <c r="U560" s="1">
        <f t="shared" si="42"/>
        <v>1.0799999999999983E-2</v>
      </c>
    </row>
    <row r="561" spans="1:21" x14ac:dyDescent="0.25">
      <c r="A561" s="2">
        <v>38759</v>
      </c>
      <c r="B561" s="13" t="s">
        <v>1063</v>
      </c>
      <c r="C561" s="14" t="s">
        <v>39</v>
      </c>
      <c r="D561" s="15">
        <v>45302</v>
      </c>
      <c r="E561" s="2">
        <v>0</v>
      </c>
      <c r="F561" s="14" t="s">
        <v>455</v>
      </c>
      <c r="G561" t="s">
        <v>598</v>
      </c>
      <c r="H561" s="14" t="s">
        <v>93</v>
      </c>
      <c r="I561" s="2">
        <v>1</v>
      </c>
      <c r="J561" s="2">
        <v>0</v>
      </c>
      <c r="K561" s="2">
        <v>0</v>
      </c>
      <c r="L561" s="2"/>
      <c r="M561" s="2">
        <v>0</v>
      </c>
      <c r="N561" s="14"/>
      <c r="O561" s="14"/>
      <c r="P561" s="2">
        <v>165</v>
      </c>
      <c r="Q561" s="2">
        <v>165</v>
      </c>
      <c r="R561" s="2">
        <v>0</v>
      </c>
      <c r="S561">
        <f t="shared" si="39"/>
        <v>0</v>
      </c>
      <c r="T561" t="s">
        <v>107</v>
      </c>
      <c r="U561">
        <f>_xlfn.XLOOKUP(T561,$Y$2:$Y$45,$AB$2:$AB$45)*(Q561)</f>
        <v>6.6000000000000005</v>
      </c>
    </row>
    <row r="562" spans="1:21" hidden="1" x14ac:dyDescent="0.25">
      <c r="A562" s="2">
        <v>38759</v>
      </c>
      <c r="B562" s="13" t="s">
        <v>1063</v>
      </c>
      <c r="C562" s="14" t="s">
        <v>39</v>
      </c>
      <c r="D562" s="15">
        <v>45302</v>
      </c>
      <c r="E562" s="2">
        <v>0</v>
      </c>
      <c r="F562" s="14" t="s">
        <v>1065</v>
      </c>
      <c r="G562" t="s">
        <v>1066</v>
      </c>
      <c r="H562" s="14" t="s">
        <v>42</v>
      </c>
      <c r="I562" s="2">
        <v>1</v>
      </c>
      <c r="J562" s="2">
        <v>0</v>
      </c>
      <c r="K562" s="2">
        <v>0</v>
      </c>
      <c r="L562" s="2"/>
      <c r="M562" s="2">
        <v>0</v>
      </c>
      <c r="N562" s="14"/>
      <c r="O562" s="14"/>
      <c r="P562" s="2">
        <v>99.77</v>
      </c>
      <c r="Q562" s="2">
        <v>99.77</v>
      </c>
      <c r="R562" s="2">
        <v>69.84</v>
      </c>
      <c r="S562">
        <f t="shared" si="39"/>
        <v>69.84</v>
      </c>
      <c r="T562" t="s">
        <v>107</v>
      </c>
      <c r="U562" s="1">
        <f>_xlfn.XLOOKUP(T562,$Y$2:$Y$45,$AA$2:$AA$45)*(Q562-S562)</f>
        <v>1.1971999999999998</v>
      </c>
    </row>
    <row r="563" spans="1:21" hidden="1" x14ac:dyDescent="0.25">
      <c r="A563" s="2">
        <v>38759</v>
      </c>
      <c r="B563" s="13" t="s">
        <v>1063</v>
      </c>
      <c r="C563" s="14" t="s">
        <v>39</v>
      </c>
      <c r="D563" s="15">
        <v>45302</v>
      </c>
      <c r="E563" s="2">
        <v>0</v>
      </c>
      <c r="F563" s="14" t="s">
        <v>1065</v>
      </c>
      <c r="G563" t="s">
        <v>1066</v>
      </c>
      <c r="H563" s="14" t="s">
        <v>42</v>
      </c>
      <c r="I563" s="2">
        <v>1</v>
      </c>
      <c r="J563" s="2">
        <v>0</v>
      </c>
      <c r="K563" s="2">
        <v>0</v>
      </c>
      <c r="L563" s="2"/>
      <c r="M563" s="2">
        <v>0</v>
      </c>
      <c r="N563" s="14"/>
      <c r="O563" s="14"/>
      <c r="P563" s="2">
        <v>99.77</v>
      </c>
      <c r="Q563" s="2">
        <v>99.77</v>
      </c>
      <c r="R563" s="2">
        <v>69.84</v>
      </c>
      <c r="S563">
        <f t="shared" si="39"/>
        <v>69.84</v>
      </c>
      <c r="T563" t="s">
        <v>107</v>
      </c>
      <c r="U563" s="1">
        <f>_xlfn.XLOOKUP(T563,$Y$2:$Y$45,$AA$2:$AA$45)*(Q563-S563)</f>
        <v>1.1971999999999998</v>
      </c>
    </row>
    <row r="564" spans="1:21" x14ac:dyDescent="0.25">
      <c r="A564" s="2">
        <v>38759</v>
      </c>
      <c r="B564" s="13" t="s">
        <v>1063</v>
      </c>
      <c r="C564" s="14" t="s">
        <v>39</v>
      </c>
      <c r="D564" s="15">
        <v>45302</v>
      </c>
      <c r="E564" s="2">
        <v>0</v>
      </c>
      <c r="F564" s="14" t="s">
        <v>455</v>
      </c>
      <c r="G564" t="s">
        <v>598</v>
      </c>
      <c r="H564" s="14" t="s">
        <v>93</v>
      </c>
      <c r="I564" s="2">
        <v>1</v>
      </c>
      <c r="J564" s="2">
        <v>0</v>
      </c>
      <c r="K564" s="2">
        <v>0</v>
      </c>
      <c r="L564" s="2"/>
      <c r="M564" s="2">
        <v>0</v>
      </c>
      <c r="N564" s="14"/>
      <c r="O564" s="14"/>
      <c r="P564" s="2">
        <v>165</v>
      </c>
      <c r="Q564" s="2">
        <v>165</v>
      </c>
      <c r="R564" s="2">
        <v>0</v>
      </c>
      <c r="S564">
        <f t="shared" si="39"/>
        <v>0</v>
      </c>
      <c r="T564" t="s">
        <v>107</v>
      </c>
      <c r="U564">
        <f>_xlfn.XLOOKUP(T564,$Y$2:$Y$45,$AB$2:$AB$45)*(Q564)</f>
        <v>6.6000000000000005</v>
      </c>
    </row>
    <row r="565" spans="1:21" hidden="1" x14ac:dyDescent="0.25">
      <c r="A565" s="2">
        <v>38761</v>
      </c>
      <c r="B565" s="13" t="s">
        <v>1067</v>
      </c>
      <c r="C565" s="14" t="s">
        <v>39</v>
      </c>
      <c r="D565" s="15">
        <v>45302</v>
      </c>
      <c r="E565" s="2">
        <v>0</v>
      </c>
      <c r="F565" s="14" t="s">
        <v>1068</v>
      </c>
      <c r="G565" t="s">
        <v>1069</v>
      </c>
      <c r="H565" s="14" t="s">
        <v>42</v>
      </c>
      <c r="I565" s="2">
        <v>2</v>
      </c>
      <c r="J565" s="2">
        <v>0</v>
      </c>
      <c r="K565" s="2">
        <v>0</v>
      </c>
      <c r="L565" s="2"/>
      <c r="M565" s="2">
        <v>0</v>
      </c>
      <c r="N565" s="14"/>
      <c r="O565" s="14"/>
      <c r="P565" s="2">
        <v>57.13</v>
      </c>
      <c r="Q565" s="2">
        <v>114.26</v>
      </c>
      <c r="R565" s="2">
        <v>39.99</v>
      </c>
      <c r="S565">
        <f t="shared" si="39"/>
        <v>79.98</v>
      </c>
      <c r="T565" t="s">
        <v>107</v>
      </c>
      <c r="U565" s="1">
        <f t="shared" ref="U565:U574" si="43">_xlfn.XLOOKUP(T565,$Y$2:$Y$45,$AA$2:$AA$45)*(Q565-S565)</f>
        <v>1.3712</v>
      </c>
    </row>
    <row r="566" spans="1:21" hidden="1" x14ac:dyDescent="0.25">
      <c r="A566" s="2">
        <v>38764</v>
      </c>
      <c r="B566" s="13" t="s">
        <v>1070</v>
      </c>
      <c r="C566" s="14" t="s">
        <v>39</v>
      </c>
      <c r="D566" s="15">
        <v>45301</v>
      </c>
      <c r="E566" s="2">
        <v>0</v>
      </c>
      <c r="F566" s="14" t="s">
        <v>1071</v>
      </c>
      <c r="G566" t="s">
        <v>1072</v>
      </c>
      <c r="H566" s="14" t="s">
        <v>42</v>
      </c>
      <c r="I566" s="2">
        <v>1</v>
      </c>
      <c r="J566" s="2">
        <v>0</v>
      </c>
      <c r="K566" s="2">
        <v>0</v>
      </c>
      <c r="L566" s="2"/>
      <c r="M566" s="2">
        <v>0</v>
      </c>
      <c r="N566" s="14"/>
      <c r="O566" s="14"/>
      <c r="P566" s="2">
        <v>40</v>
      </c>
      <c r="Q566" s="2">
        <v>40</v>
      </c>
      <c r="R566" s="2">
        <v>31.89</v>
      </c>
      <c r="S566">
        <f t="shared" si="39"/>
        <v>31.89</v>
      </c>
      <c r="T566" t="s">
        <v>61</v>
      </c>
      <c r="U566" s="1">
        <f t="shared" si="43"/>
        <v>0</v>
      </c>
    </row>
    <row r="567" spans="1:21" hidden="1" x14ac:dyDescent="0.25">
      <c r="A567" s="2">
        <v>38764</v>
      </c>
      <c r="B567" s="13" t="s">
        <v>1070</v>
      </c>
      <c r="C567" s="14" t="s">
        <v>39</v>
      </c>
      <c r="D567" s="15">
        <v>45301</v>
      </c>
      <c r="E567" s="2">
        <v>0</v>
      </c>
      <c r="F567" s="14" t="s">
        <v>1073</v>
      </c>
      <c r="G567" t="s">
        <v>1074</v>
      </c>
      <c r="H567" s="14" t="s">
        <v>42</v>
      </c>
      <c r="I567" s="2">
        <v>1</v>
      </c>
      <c r="J567" s="2">
        <v>0</v>
      </c>
      <c r="K567" s="2">
        <v>0</v>
      </c>
      <c r="L567" s="2"/>
      <c r="M567" s="2">
        <v>0</v>
      </c>
      <c r="N567" s="14"/>
      <c r="O567" s="14"/>
      <c r="P567" s="2">
        <v>44</v>
      </c>
      <c r="Q567" s="2">
        <v>44</v>
      </c>
      <c r="R567" s="2">
        <v>34.99</v>
      </c>
      <c r="S567">
        <f t="shared" si="39"/>
        <v>34.99</v>
      </c>
      <c r="T567" t="s">
        <v>61</v>
      </c>
      <c r="U567" s="1">
        <f t="shared" si="43"/>
        <v>0</v>
      </c>
    </row>
    <row r="568" spans="1:21" hidden="1" x14ac:dyDescent="0.25">
      <c r="A568" s="2">
        <v>38764</v>
      </c>
      <c r="B568" s="13" t="s">
        <v>1070</v>
      </c>
      <c r="C568" s="14" t="s">
        <v>39</v>
      </c>
      <c r="D568" s="15">
        <v>45301</v>
      </c>
      <c r="E568" s="2">
        <v>0</v>
      </c>
      <c r="F568" s="14" t="s">
        <v>1075</v>
      </c>
      <c r="G568" t="s">
        <v>1076</v>
      </c>
      <c r="H568" s="14" t="s">
        <v>42</v>
      </c>
      <c r="I568" s="2">
        <v>1</v>
      </c>
      <c r="J568" s="2">
        <v>0</v>
      </c>
      <c r="K568" s="2">
        <v>0</v>
      </c>
      <c r="L568" s="2"/>
      <c r="M568" s="2">
        <v>0</v>
      </c>
      <c r="N568" s="14"/>
      <c r="O568" s="14"/>
      <c r="P568" s="2">
        <v>17</v>
      </c>
      <c r="Q568" s="2">
        <v>17</v>
      </c>
      <c r="R568" s="2">
        <v>10.24</v>
      </c>
      <c r="S568">
        <f t="shared" si="39"/>
        <v>10.24</v>
      </c>
      <c r="T568" t="s">
        <v>61</v>
      </c>
      <c r="U568" s="1">
        <f t="shared" si="43"/>
        <v>0</v>
      </c>
    </row>
    <row r="569" spans="1:21" hidden="1" x14ac:dyDescent="0.25">
      <c r="A569" s="2">
        <v>38764</v>
      </c>
      <c r="B569" s="13" t="s">
        <v>1070</v>
      </c>
      <c r="C569" s="14" t="s">
        <v>39</v>
      </c>
      <c r="D569" s="15">
        <v>45301</v>
      </c>
      <c r="E569" s="2">
        <v>0</v>
      </c>
      <c r="F569" s="14" t="s">
        <v>1077</v>
      </c>
      <c r="G569" t="s">
        <v>1078</v>
      </c>
      <c r="H569" s="14" t="s">
        <v>42</v>
      </c>
      <c r="I569" s="2">
        <v>1</v>
      </c>
      <c r="J569" s="2">
        <v>0</v>
      </c>
      <c r="K569" s="2">
        <v>0</v>
      </c>
      <c r="L569" s="2"/>
      <c r="M569" s="2">
        <v>0</v>
      </c>
      <c r="N569" s="14"/>
      <c r="O569" s="14"/>
      <c r="P569" s="2">
        <v>339</v>
      </c>
      <c r="Q569" s="2">
        <v>339</v>
      </c>
      <c r="R569" s="2">
        <v>267.29000000000002</v>
      </c>
      <c r="S569">
        <f t="shared" si="39"/>
        <v>267.29000000000002</v>
      </c>
      <c r="T569" t="s">
        <v>61</v>
      </c>
      <c r="U569" s="1">
        <f t="shared" si="43"/>
        <v>0</v>
      </c>
    </row>
    <row r="570" spans="1:21" hidden="1" x14ac:dyDescent="0.25">
      <c r="A570" s="2">
        <v>38764</v>
      </c>
      <c r="B570" s="13" t="s">
        <v>1070</v>
      </c>
      <c r="C570" s="14" t="s">
        <v>39</v>
      </c>
      <c r="D570" s="15">
        <v>45301</v>
      </c>
      <c r="E570" s="2">
        <v>0</v>
      </c>
      <c r="F570" s="14" t="s">
        <v>1079</v>
      </c>
      <c r="G570" t="s">
        <v>1080</v>
      </c>
      <c r="H570" s="14" t="s">
        <v>42</v>
      </c>
      <c r="I570" s="2">
        <v>1</v>
      </c>
      <c r="J570" s="2">
        <v>0</v>
      </c>
      <c r="K570" s="2">
        <v>0</v>
      </c>
      <c r="L570" s="2"/>
      <c r="M570" s="2">
        <v>0</v>
      </c>
      <c r="N570" s="14"/>
      <c r="O570" s="14"/>
      <c r="P570" s="2">
        <v>309</v>
      </c>
      <c r="Q570" s="2">
        <v>309</v>
      </c>
      <c r="R570" s="2">
        <v>138.94999999999999</v>
      </c>
      <c r="S570">
        <f t="shared" si="39"/>
        <v>138.94999999999999</v>
      </c>
      <c r="T570" t="s">
        <v>61</v>
      </c>
      <c r="U570" s="1">
        <f t="shared" si="43"/>
        <v>0</v>
      </c>
    </row>
    <row r="571" spans="1:21" hidden="1" x14ac:dyDescent="0.25">
      <c r="A571" s="2">
        <v>38764</v>
      </c>
      <c r="B571" s="13" t="s">
        <v>1070</v>
      </c>
      <c r="C571" s="14" t="s">
        <v>39</v>
      </c>
      <c r="D571" s="15">
        <v>45301</v>
      </c>
      <c r="E571" s="2">
        <v>0</v>
      </c>
      <c r="F571" s="14" t="s">
        <v>1081</v>
      </c>
      <c r="G571" t="s">
        <v>1082</v>
      </c>
      <c r="H571" s="14" t="s">
        <v>42</v>
      </c>
      <c r="I571" s="2">
        <v>1</v>
      </c>
      <c r="J571" s="2">
        <v>0</v>
      </c>
      <c r="K571" s="2">
        <v>0</v>
      </c>
      <c r="L571" s="2"/>
      <c r="M571" s="2">
        <v>0</v>
      </c>
      <c r="N571" s="14"/>
      <c r="O571" s="14"/>
      <c r="P571" s="2">
        <v>4823</v>
      </c>
      <c r="Q571" s="2">
        <v>4823</v>
      </c>
      <c r="R571" s="2">
        <v>4002.43</v>
      </c>
      <c r="S571">
        <f t="shared" si="39"/>
        <v>4002.43</v>
      </c>
      <c r="T571" t="s">
        <v>61</v>
      </c>
      <c r="U571" s="1">
        <f t="shared" si="43"/>
        <v>0</v>
      </c>
    </row>
    <row r="572" spans="1:21" hidden="1" x14ac:dyDescent="0.25">
      <c r="A572" s="2">
        <v>38771</v>
      </c>
      <c r="B572" s="13" t="s">
        <v>1083</v>
      </c>
      <c r="C572" s="14" t="s">
        <v>39</v>
      </c>
      <c r="D572" s="15">
        <v>45307</v>
      </c>
      <c r="E572" s="2">
        <v>0</v>
      </c>
      <c r="F572" s="14" t="s">
        <v>1084</v>
      </c>
      <c r="G572" t="s">
        <v>1085</v>
      </c>
      <c r="H572" s="14" t="s">
        <v>42</v>
      </c>
      <c r="I572" s="2">
        <v>1</v>
      </c>
      <c r="J572" s="2">
        <v>0</v>
      </c>
      <c r="K572" s="2">
        <v>0</v>
      </c>
      <c r="L572" s="2"/>
      <c r="M572" s="2">
        <v>0</v>
      </c>
      <c r="N572" s="14"/>
      <c r="O572" s="14"/>
      <c r="P572" s="2">
        <v>662</v>
      </c>
      <c r="Q572" s="2">
        <v>662</v>
      </c>
      <c r="R572" s="2">
        <v>542.20000000000005</v>
      </c>
      <c r="S572">
        <f t="shared" si="39"/>
        <v>542.20000000000005</v>
      </c>
      <c r="T572" t="s">
        <v>132</v>
      </c>
      <c r="U572" s="1">
        <f t="shared" si="43"/>
        <v>9.5839999999999961</v>
      </c>
    </row>
    <row r="573" spans="1:21" hidden="1" x14ac:dyDescent="0.25">
      <c r="A573" s="2">
        <v>38773</v>
      </c>
      <c r="B573" s="13" t="s">
        <v>1086</v>
      </c>
      <c r="C573" s="14" t="s">
        <v>39</v>
      </c>
      <c r="D573" s="15">
        <v>45302</v>
      </c>
      <c r="E573" s="2">
        <v>0</v>
      </c>
      <c r="F573" s="14" t="s">
        <v>1087</v>
      </c>
      <c r="G573" t="s">
        <v>1088</v>
      </c>
      <c r="H573" s="14" t="s">
        <v>42</v>
      </c>
      <c r="I573" s="2">
        <v>2</v>
      </c>
      <c r="J573" s="2">
        <v>0</v>
      </c>
      <c r="K573" s="2">
        <v>0</v>
      </c>
      <c r="L573" s="2"/>
      <c r="M573" s="2">
        <v>0</v>
      </c>
      <c r="N573" s="14"/>
      <c r="O573" s="14"/>
      <c r="P573" s="2">
        <v>255.9</v>
      </c>
      <c r="Q573" s="2">
        <v>511.8</v>
      </c>
      <c r="R573" s="2">
        <v>230.31</v>
      </c>
      <c r="S573">
        <f t="shared" si="39"/>
        <v>460.62</v>
      </c>
      <c r="T573" t="s">
        <v>184</v>
      </c>
      <c r="U573" s="1">
        <f t="shared" si="43"/>
        <v>0</v>
      </c>
    </row>
    <row r="574" spans="1:21" hidden="1" x14ac:dyDescent="0.25">
      <c r="A574" s="2">
        <v>38775</v>
      </c>
      <c r="B574" s="13" t="s">
        <v>1089</v>
      </c>
      <c r="C574" s="14" t="s">
        <v>39</v>
      </c>
      <c r="D574" s="15">
        <v>45309</v>
      </c>
      <c r="E574" s="2">
        <v>0</v>
      </c>
      <c r="F574" s="14" t="s">
        <v>1090</v>
      </c>
      <c r="G574" t="s">
        <v>1091</v>
      </c>
      <c r="H574" s="14" t="s">
        <v>42</v>
      </c>
      <c r="I574" s="2">
        <v>1</v>
      </c>
      <c r="J574" s="2">
        <v>0</v>
      </c>
      <c r="K574" s="2">
        <v>0</v>
      </c>
      <c r="L574" s="2"/>
      <c r="M574" s="2">
        <v>0</v>
      </c>
      <c r="N574" s="14"/>
      <c r="O574" s="14"/>
      <c r="P574" s="2">
        <v>169</v>
      </c>
      <c r="Q574" s="2">
        <v>169</v>
      </c>
      <c r="R574" s="2">
        <v>138.52000000000001</v>
      </c>
      <c r="S574">
        <f t="shared" si="39"/>
        <v>138.52000000000001</v>
      </c>
      <c r="T574" t="s">
        <v>132</v>
      </c>
      <c r="U574" s="1">
        <f t="shared" si="43"/>
        <v>2.4383999999999992</v>
      </c>
    </row>
    <row r="575" spans="1:21" x14ac:dyDescent="0.25">
      <c r="A575" s="2">
        <v>38779</v>
      </c>
      <c r="B575" s="13" t="s">
        <v>1092</v>
      </c>
      <c r="C575" s="14" t="s">
        <v>39</v>
      </c>
      <c r="D575" s="15">
        <v>45302</v>
      </c>
      <c r="E575" s="2">
        <v>0</v>
      </c>
      <c r="F575" s="14" t="s">
        <v>260</v>
      </c>
      <c r="G575" t="s">
        <v>1093</v>
      </c>
      <c r="H575" s="14" t="s">
        <v>93</v>
      </c>
      <c r="I575" s="2">
        <v>1</v>
      </c>
      <c r="J575" s="2">
        <v>0</v>
      </c>
      <c r="K575" s="2">
        <v>0</v>
      </c>
      <c r="L575" s="2"/>
      <c r="M575" s="2">
        <v>0</v>
      </c>
      <c r="N575" s="14"/>
      <c r="O575" s="14"/>
      <c r="P575" s="2">
        <v>175</v>
      </c>
      <c r="Q575" s="2">
        <v>175</v>
      </c>
      <c r="R575" s="2">
        <v>0</v>
      </c>
      <c r="S575">
        <f t="shared" si="39"/>
        <v>0</v>
      </c>
      <c r="T575" t="s">
        <v>1874</v>
      </c>
      <c r="U575">
        <f>_xlfn.XLOOKUP(T575,$Y$2:$Y$45,$AB$2:$AB$45)*(Q575)</f>
        <v>7</v>
      </c>
    </row>
    <row r="576" spans="1:21" x14ac:dyDescent="0.25">
      <c r="A576" s="2">
        <v>38779</v>
      </c>
      <c r="B576" s="13" t="s">
        <v>1092</v>
      </c>
      <c r="C576" s="14" t="s">
        <v>39</v>
      </c>
      <c r="D576" s="15">
        <v>45302</v>
      </c>
      <c r="E576" s="2">
        <v>0</v>
      </c>
      <c r="F576" s="14" t="s">
        <v>657</v>
      </c>
      <c r="G576" t="s">
        <v>1094</v>
      </c>
      <c r="H576" s="14" t="s">
        <v>93</v>
      </c>
      <c r="I576" s="2">
        <v>0.5</v>
      </c>
      <c r="J576" s="2">
        <v>0</v>
      </c>
      <c r="K576" s="2">
        <v>0</v>
      </c>
      <c r="L576" s="2"/>
      <c r="M576" s="2">
        <v>0</v>
      </c>
      <c r="N576" s="14"/>
      <c r="O576" s="14"/>
      <c r="P576" s="2">
        <v>135</v>
      </c>
      <c r="Q576" s="2">
        <v>67.5</v>
      </c>
      <c r="R576" s="2">
        <v>0</v>
      </c>
      <c r="S576">
        <f t="shared" si="39"/>
        <v>0</v>
      </c>
      <c r="T576" t="s">
        <v>1874</v>
      </c>
      <c r="U576">
        <f>_xlfn.XLOOKUP(T576,$Y$2:$Y$45,$AB$2:$AB$45)*(Q576)</f>
        <v>2.7</v>
      </c>
    </row>
    <row r="577" spans="1:21" hidden="1" x14ac:dyDescent="0.25">
      <c r="A577" s="2">
        <v>38779</v>
      </c>
      <c r="B577" s="13" t="s">
        <v>1092</v>
      </c>
      <c r="C577" s="14" t="s">
        <v>39</v>
      </c>
      <c r="D577" s="15">
        <v>45302</v>
      </c>
      <c r="E577" s="2">
        <v>0</v>
      </c>
      <c r="F577" s="14" t="s">
        <v>1095</v>
      </c>
      <c r="G577" t="s">
        <v>1096</v>
      </c>
      <c r="H577" s="14" t="s">
        <v>42</v>
      </c>
      <c r="I577" s="2">
        <v>1</v>
      </c>
      <c r="J577" s="2">
        <v>0</v>
      </c>
      <c r="K577" s="2">
        <v>0</v>
      </c>
      <c r="L577" s="2"/>
      <c r="M577" s="2">
        <v>0</v>
      </c>
      <c r="N577" s="14"/>
      <c r="O577" s="14"/>
      <c r="P577" s="2">
        <v>1024</v>
      </c>
      <c r="Q577" s="2">
        <v>1024</v>
      </c>
      <c r="R577" s="2">
        <v>839.2</v>
      </c>
      <c r="S577">
        <f t="shared" si="39"/>
        <v>839.2</v>
      </c>
      <c r="T577" t="s">
        <v>1874</v>
      </c>
      <c r="U577" s="1">
        <f t="shared" ref="U577:U584" si="44">_xlfn.XLOOKUP(T577,$Y$2:$Y$45,$AA$2:$AA$45)*(Q577-S577)</f>
        <v>14.783999999999997</v>
      </c>
    </row>
    <row r="578" spans="1:21" hidden="1" x14ac:dyDescent="0.25">
      <c r="A578" s="2">
        <v>38779</v>
      </c>
      <c r="B578" s="13" t="s">
        <v>1092</v>
      </c>
      <c r="C578" s="14" t="s">
        <v>39</v>
      </c>
      <c r="D578" s="15">
        <v>45302</v>
      </c>
      <c r="E578" s="2">
        <v>0</v>
      </c>
      <c r="F578" s="14" t="s">
        <v>1097</v>
      </c>
      <c r="G578" t="s">
        <v>1098</v>
      </c>
      <c r="H578" s="14" t="s">
        <v>42</v>
      </c>
      <c r="I578" s="2">
        <v>1</v>
      </c>
      <c r="J578" s="2">
        <v>0</v>
      </c>
      <c r="K578" s="2">
        <v>0</v>
      </c>
      <c r="L578" s="2"/>
      <c r="M578" s="2">
        <v>0</v>
      </c>
      <c r="N578" s="14"/>
      <c r="O578" s="14"/>
      <c r="P578" s="2">
        <v>242.5</v>
      </c>
      <c r="Q578" s="2">
        <v>242.5</v>
      </c>
      <c r="R578" s="2">
        <v>0</v>
      </c>
      <c r="S578">
        <f t="shared" ref="S578:S641" si="45">R578*I578</f>
        <v>0</v>
      </c>
      <c r="T578" t="s">
        <v>1874</v>
      </c>
      <c r="U578" s="1">
        <f t="shared" si="44"/>
        <v>19.400000000000002</v>
      </c>
    </row>
    <row r="579" spans="1:21" hidden="1" x14ac:dyDescent="0.25">
      <c r="A579" s="2">
        <v>38782</v>
      </c>
      <c r="B579" s="13" t="s">
        <v>1099</v>
      </c>
      <c r="C579" s="14" t="s">
        <v>39</v>
      </c>
      <c r="D579" s="15">
        <v>45303</v>
      </c>
      <c r="E579" s="2">
        <v>0</v>
      </c>
      <c r="F579" s="14" t="s">
        <v>339</v>
      </c>
      <c r="G579" t="s">
        <v>1100</v>
      </c>
      <c r="H579" s="14" t="s">
        <v>42</v>
      </c>
      <c r="I579" s="2">
        <v>2</v>
      </c>
      <c r="J579" s="2">
        <v>0</v>
      </c>
      <c r="K579" s="2">
        <v>0</v>
      </c>
      <c r="L579" s="2"/>
      <c r="M579" s="2">
        <v>0</v>
      </c>
      <c r="N579" s="14"/>
      <c r="O579" s="14"/>
      <c r="P579" s="2">
        <v>386</v>
      </c>
      <c r="Q579" s="2">
        <v>772</v>
      </c>
      <c r="R579" s="2">
        <v>317.32</v>
      </c>
      <c r="S579">
        <f t="shared" si="45"/>
        <v>634.64</v>
      </c>
      <c r="T579" t="s">
        <v>43</v>
      </c>
      <c r="U579" s="1">
        <f t="shared" si="44"/>
        <v>11.675600000000003</v>
      </c>
    </row>
    <row r="580" spans="1:21" hidden="1" x14ac:dyDescent="0.25">
      <c r="A580" s="2">
        <v>38782</v>
      </c>
      <c r="B580" s="13" t="s">
        <v>1099</v>
      </c>
      <c r="C580" s="14" t="s">
        <v>39</v>
      </c>
      <c r="D580" s="15">
        <v>45303</v>
      </c>
      <c r="E580" s="2">
        <v>0</v>
      </c>
      <c r="F580" s="14" t="s">
        <v>1101</v>
      </c>
      <c r="G580" t="s">
        <v>1102</v>
      </c>
      <c r="H580" s="14" t="s">
        <v>42</v>
      </c>
      <c r="I580" s="2">
        <v>4</v>
      </c>
      <c r="J580" s="2">
        <v>0</v>
      </c>
      <c r="K580" s="2">
        <v>0</v>
      </c>
      <c r="L580" s="2"/>
      <c r="M580" s="2">
        <v>0</v>
      </c>
      <c r="N580" s="14"/>
      <c r="O580" s="14"/>
      <c r="P580" s="2">
        <v>239</v>
      </c>
      <c r="Q580" s="2">
        <v>956</v>
      </c>
      <c r="R580" s="2">
        <v>196.55</v>
      </c>
      <c r="S580">
        <f t="shared" si="45"/>
        <v>786.2</v>
      </c>
      <c r="T580" t="s">
        <v>43</v>
      </c>
      <c r="U580" s="1">
        <f t="shared" si="44"/>
        <v>14.432999999999998</v>
      </c>
    </row>
    <row r="581" spans="1:21" hidden="1" x14ac:dyDescent="0.25">
      <c r="A581" s="2">
        <v>38782</v>
      </c>
      <c r="B581" s="13" t="s">
        <v>1099</v>
      </c>
      <c r="C581" s="14" t="s">
        <v>39</v>
      </c>
      <c r="D581" s="15">
        <v>45303</v>
      </c>
      <c r="E581" s="2">
        <v>0</v>
      </c>
      <c r="F581" s="14" t="s">
        <v>1103</v>
      </c>
      <c r="G581" t="s">
        <v>1104</v>
      </c>
      <c r="H581" s="14" t="s">
        <v>42</v>
      </c>
      <c r="I581" s="2">
        <v>2</v>
      </c>
      <c r="J581" s="2">
        <v>0</v>
      </c>
      <c r="K581" s="2">
        <v>0</v>
      </c>
      <c r="L581" s="2"/>
      <c r="M581" s="2">
        <v>0</v>
      </c>
      <c r="N581" s="14"/>
      <c r="O581" s="14"/>
      <c r="P581" s="2">
        <v>2003</v>
      </c>
      <c r="Q581" s="2">
        <v>4006</v>
      </c>
      <c r="R581" s="2">
        <v>1643.18</v>
      </c>
      <c r="S581">
        <f t="shared" si="45"/>
        <v>3286.36</v>
      </c>
      <c r="T581" t="s">
        <v>43</v>
      </c>
      <c r="U581" s="1">
        <f t="shared" si="44"/>
        <v>61.169399999999996</v>
      </c>
    </row>
    <row r="582" spans="1:21" hidden="1" x14ac:dyDescent="0.25">
      <c r="A582" s="2">
        <v>38788</v>
      </c>
      <c r="B582" s="13" t="s">
        <v>1048</v>
      </c>
      <c r="C582" s="14" t="s">
        <v>39</v>
      </c>
      <c r="D582" s="15">
        <v>45303</v>
      </c>
      <c r="E582" s="2">
        <v>0</v>
      </c>
      <c r="F582" s="14" t="s">
        <v>212</v>
      </c>
      <c r="G582" t="s">
        <v>1105</v>
      </c>
      <c r="H582" s="14" t="s">
        <v>42</v>
      </c>
      <c r="I582" s="2">
        <v>1</v>
      </c>
      <c r="J582" s="2">
        <v>0</v>
      </c>
      <c r="K582" s="2">
        <v>0</v>
      </c>
      <c r="L582" s="2"/>
      <c r="M582" s="2">
        <v>0</v>
      </c>
      <c r="N582" s="14"/>
      <c r="O582" s="14"/>
      <c r="P582" s="2">
        <v>177.36</v>
      </c>
      <c r="Q582" s="2">
        <v>177.36</v>
      </c>
      <c r="R582" s="2">
        <v>166.23</v>
      </c>
      <c r="S582">
        <f t="shared" si="45"/>
        <v>166.23</v>
      </c>
      <c r="T582" t="s">
        <v>43</v>
      </c>
      <c r="U582" s="1">
        <f t="shared" si="44"/>
        <v>0.94605000000000206</v>
      </c>
    </row>
    <row r="583" spans="1:21" hidden="1" x14ac:dyDescent="0.25">
      <c r="A583" s="2">
        <v>38788</v>
      </c>
      <c r="B583" s="13" t="s">
        <v>1048</v>
      </c>
      <c r="C583" s="14" t="s">
        <v>39</v>
      </c>
      <c r="D583" s="15">
        <v>45303</v>
      </c>
      <c r="E583" s="2">
        <v>0</v>
      </c>
      <c r="F583" s="14" t="s">
        <v>1106</v>
      </c>
      <c r="G583" t="s">
        <v>1107</v>
      </c>
      <c r="H583" s="14" t="s">
        <v>42</v>
      </c>
      <c r="I583" s="2">
        <v>1</v>
      </c>
      <c r="J583" s="2">
        <v>0</v>
      </c>
      <c r="K583" s="2">
        <v>0</v>
      </c>
      <c r="L583" s="2"/>
      <c r="M583" s="2">
        <v>0</v>
      </c>
      <c r="N583" s="14"/>
      <c r="O583" s="14"/>
      <c r="P583" s="2">
        <v>2280</v>
      </c>
      <c r="Q583" s="2">
        <v>2280</v>
      </c>
      <c r="R583" s="2">
        <v>2207.09</v>
      </c>
      <c r="S583">
        <f t="shared" si="45"/>
        <v>2207.09</v>
      </c>
      <c r="T583" t="s">
        <v>43</v>
      </c>
      <c r="U583" s="1">
        <f t="shared" si="44"/>
        <v>6.1973499999999877</v>
      </c>
    </row>
    <row r="584" spans="1:21" hidden="1" x14ac:dyDescent="0.25">
      <c r="A584" s="2">
        <v>38788</v>
      </c>
      <c r="B584" s="13" t="s">
        <v>1048</v>
      </c>
      <c r="C584" s="14" t="s">
        <v>39</v>
      </c>
      <c r="D584" s="15">
        <v>45303</v>
      </c>
      <c r="E584" s="2">
        <v>0</v>
      </c>
      <c r="F584" s="14" t="s">
        <v>214</v>
      </c>
      <c r="G584" t="s">
        <v>215</v>
      </c>
      <c r="H584" s="14" t="s">
        <v>42</v>
      </c>
      <c r="I584" s="2">
        <v>11</v>
      </c>
      <c r="J584" s="2">
        <v>0</v>
      </c>
      <c r="K584" s="2">
        <v>0</v>
      </c>
      <c r="L584" s="2"/>
      <c r="M584" s="2">
        <v>0</v>
      </c>
      <c r="N584" s="14"/>
      <c r="O584" s="14"/>
      <c r="P584" s="2">
        <v>369.48</v>
      </c>
      <c r="Q584" s="2">
        <v>4064.28</v>
      </c>
      <c r="R584" s="2">
        <v>342.45</v>
      </c>
      <c r="S584">
        <f t="shared" si="45"/>
        <v>3766.95</v>
      </c>
      <c r="T584" t="s">
        <v>43</v>
      </c>
      <c r="U584" s="1">
        <f t="shared" si="44"/>
        <v>25.273050000000033</v>
      </c>
    </row>
    <row r="585" spans="1:21" x14ac:dyDescent="0.25">
      <c r="A585" s="2">
        <v>38792</v>
      </c>
      <c r="B585" s="13" t="s">
        <v>1108</v>
      </c>
      <c r="C585" s="14" t="s">
        <v>39</v>
      </c>
      <c r="D585" s="15">
        <v>45322</v>
      </c>
      <c r="E585" s="2">
        <v>0</v>
      </c>
      <c r="F585" s="14" t="s">
        <v>297</v>
      </c>
      <c r="G585" t="s">
        <v>298</v>
      </c>
      <c r="H585" s="14" t="s">
        <v>93</v>
      </c>
      <c r="I585" s="2">
        <v>3</v>
      </c>
      <c r="J585" s="2">
        <v>0</v>
      </c>
      <c r="K585" s="2">
        <v>0</v>
      </c>
      <c r="L585" s="2"/>
      <c r="M585" s="2">
        <v>0</v>
      </c>
      <c r="N585" s="14"/>
      <c r="O585" s="14"/>
      <c r="P585" s="2">
        <v>175</v>
      </c>
      <c r="Q585" s="2">
        <v>525</v>
      </c>
      <c r="R585" s="2">
        <v>0</v>
      </c>
      <c r="S585">
        <f t="shared" si="45"/>
        <v>0</v>
      </c>
      <c r="T585" t="s">
        <v>43</v>
      </c>
      <c r="U585">
        <f>_xlfn.XLOOKUP(T585,$Y$2:$Y$45,$AB$2:$AB$45)*(Q585)</f>
        <v>21</v>
      </c>
    </row>
    <row r="586" spans="1:21" hidden="1" x14ac:dyDescent="0.25">
      <c r="A586" s="2">
        <v>38792</v>
      </c>
      <c r="B586" s="13" t="s">
        <v>1108</v>
      </c>
      <c r="C586" s="14" t="s">
        <v>39</v>
      </c>
      <c r="D586" s="15">
        <v>45322</v>
      </c>
      <c r="E586" s="2">
        <v>0</v>
      </c>
      <c r="F586" s="14" t="s">
        <v>1109</v>
      </c>
      <c r="G586" t="s">
        <v>1110</v>
      </c>
      <c r="H586" s="14" t="s">
        <v>42</v>
      </c>
      <c r="I586" s="2">
        <v>1</v>
      </c>
      <c r="J586" s="2">
        <v>0</v>
      </c>
      <c r="K586" s="2">
        <v>0</v>
      </c>
      <c r="L586" s="2"/>
      <c r="M586" s="2">
        <v>0</v>
      </c>
      <c r="N586" s="14"/>
      <c r="O586" s="14"/>
      <c r="P586" s="2">
        <v>24853.8</v>
      </c>
      <c r="Q586" s="2">
        <v>24853.8</v>
      </c>
      <c r="R586" s="2">
        <v>21612.58</v>
      </c>
      <c r="S586">
        <f t="shared" si="45"/>
        <v>21612.58</v>
      </c>
      <c r="T586" t="s">
        <v>43</v>
      </c>
      <c r="U586" s="1">
        <f t="shared" ref="U586:U592" si="46">_xlfn.XLOOKUP(T586,$Y$2:$Y$45,$AA$2:$AA$45)*(Q586-S586)</f>
        <v>275.50369999999981</v>
      </c>
    </row>
    <row r="587" spans="1:21" hidden="1" x14ac:dyDescent="0.25">
      <c r="A587" s="2">
        <v>38792</v>
      </c>
      <c r="B587" s="13" t="s">
        <v>1108</v>
      </c>
      <c r="C587" s="14" t="s">
        <v>39</v>
      </c>
      <c r="D587" s="15">
        <v>45322</v>
      </c>
      <c r="E587" s="2">
        <v>0</v>
      </c>
      <c r="F587" s="14" t="s">
        <v>1111</v>
      </c>
      <c r="G587" t="s">
        <v>1112</v>
      </c>
      <c r="H587" s="14" t="s">
        <v>42</v>
      </c>
      <c r="I587" s="2">
        <v>1</v>
      </c>
      <c r="J587" s="2">
        <v>0</v>
      </c>
      <c r="K587" s="2">
        <v>0</v>
      </c>
      <c r="L587" s="2"/>
      <c r="M587" s="2">
        <v>0</v>
      </c>
      <c r="N587" s="14"/>
      <c r="O587" s="14"/>
      <c r="P587" s="2">
        <v>7</v>
      </c>
      <c r="Q587" s="2">
        <v>7</v>
      </c>
      <c r="R587" s="2">
        <v>5.6</v>
      </c>
      <c r="S587">
        <f t="shared" si="45"/>
        <v>5.6</v>
      </c>
      <c r="T587" t="s">
        <v>43</v>
      </c>
      <c r="U587" s="1">
        <f t="shared" si="46"/>
        <v>0.11900000000000004</v>
      </c>
    </row>
    <row r="588" spans="1:21" hidden="1" x14ac:dyDescent="0.25">
      <c r="A588" s="2">
        <v>38792</v>
      </c>
      <c r="B588" s="13" t="s">
        <v>1108</v>
      </c>
      <c r="C588" s="14" t="s">
        <v>39</v>
      </c>
      <c r="D588" s="15">
        <v>45322</v>
      </c>
      <c r="E588" s="2">
        <v>0</v>
      </c>
      <c r="F588" s="14" t="s">
        <v>1113</v>
      </c>
      <c r="G588" t="s">
        <v>1114</v>
      </c>
      <c r="H588" s="14" t="s">
        <v>42</v>
      </c>
      <c r="I588" s="2">
        <v>1</v>
      </c>
      <c r="J588" s="2">
        <v>0</v>
      </c>
      <c r="K588" s="2">
        <v>0</v>
      </c>
      <c r="L588" s="2"/>
      <c r="M588" s="2">
        <v>0</v>
      </c>
      <c r="N588" s="14"/>
      <c r="O588" s="14"/>
      <c r="P588" s="2">
        <v>586</v>
      </c>
      <c r="Q588" s="2">
        <v>586</v>
      </c>
      <c r="R588" s="2">
        <v>510</v>
      </c>
      <c r="S588">
        <f t="shared" si="45"/>
        <v>510</v>
      </c>
      <c r="T588" t="s">
        <v>43</v>
      </c>
      <c r="U588" s="1">
        <f t="shared" si="46"/>
        <v>6.4600000000000009</v>
      </c>
    </row>
    <row r="589" spans="1:21" hidden="1" x14ac:dyDescent="0.25">
      <c r="A589" s="2">
        <v>38792</v>
      </c>
      <c r="B589" s="13" t="s">
        <v>1108</v>
      </c>
      <c r="C589" s="14" t="s">
        <v>39</v>
      </c>
      <c r="D589" s="15">
        <v>45322</v>
      </c>
      <c r="E589" s="2">
        <v>0</v>
      </c>
      <c r="F589" s="14" t="s">
        <v>1115</v>
      </c>
      <c r="G589" t="s">
        <v>1116</v>
      </c>
      <c r="H589" s="14" t="s">
        <v>42</v>
      </c>
      <c r="I589" s="2">
        <v>16</v>
      </c>
      <c r="J589" s="2">
        <v>0</v>
      </c>
      <c r="K589" s="2">
        <v>0</v>
      </c>
      <c r="L589" s="2"/>
      <c r="M589" s="2">
        <v>0</v>
      </c>
      <c r="N589" s="14"/>
      <c r="O589" s="14"/>
      <c r="P589" s="2">
        <v>3</v>
      </c>
      <c r="Q589" s="2">
        <v>48</v>
      </c>
      <c r="R589" s="2">
        <v>2.04</v>
      </c>
      <c r="S589">
        <f t="shared" si="45"/>
        <v>32.64</v>
      </c>
      <c r="T589" t="s">
        <v>43</v>
      </c>
      <c r="U589" s="1">
        <f t="shared" si="46"/>
        <v>1.3056000000000001</v>
      </c>
    </row>
    <row r="590" spans="1:21" hidden="1" x14ac:dyDescent="0.25">
      <c r="A590" s="2">
        <v>38792</v>
      </c>
      <c r="B590" s="13" t="s">
        <v>1108</v>
      </c>
      <c r="C590" s="14" t="s">
        <v>39</v>
      </c>
      <c r="D590" s="15">
        <v>45322</v>
      </c>
      <c r="E590" s="2">
        <v>0</v>
      </c>
      <c r="F590" s="14" t="s">
        <v>1117</v>
      </c>
      <c r="G590" t="s">
        <v>1118</v>
      </c>
      <c r="H590" s="14" t="s">
        <v>42</v>
      </c>
      <c r="I590" s="2">
        <v>2</v>
      </c>
      <c r="J590" s="2">
        <v>0</v>
      </c>
      <c r="K590" s="2">
        <v>0</v>
      </c>
      <c r="L590" s="2"/>
      <c r="M590" s="2">
        <v>0</v>
      </c>
      <c r="N590" s="14"/>
      <c r="O590" s="14"/>
      <c r="P590" s="2">
        <v>1130</v>
      </c>
      <c r="Q590" s="2">
        <v>2260</v>
      </c>
      <c r="R590" s="2">
        <v>1017.24</v>
      </c>
      <c r="S590">
        <f t="shared" si="45"/>
        <v>2034.48</v>
      </c>
      <c r="T590" t="s">
        <v>43</v>
      </c>
      <c r="U590" s="1">
        <f t="shared" si="46"/>
        <v>19.1692</v>
      </c>
    </row>
    <row r="591" spans="1:21" hidden="1" x14ac:dyDescent="0.25">
      <c r="A591" s="2">
        <v>38792</v>
      </c>
      <c r="B591" s="13" t="s">
        <v>1108</v>
      </c>
      <c r="C591" s="14" t="s">
        <v>39</v>
      </c>
      <c r="D591" s="15">
        <v>45322</v>
      </c>
      <c r="E591" s="2">
        <v>0</v>
      </c>
      <c r="F591" s="14" t="s">
        <v>1119</v>
      </c>
      <c r="G591" t="s">
        <v>1120</v>
      </c>
      <c r="H591" s="14" t="s">
        <v>42</v>
      </c>
      <c r="I591" s="2">
        <v>2</v>
      </c>
      <c r="J591" s="2">
        <v>0</v>
      </c>
      <c r="K591" s="2">
        <v>0</v>
      </c>
      <c r="L591" s="2"/>
      <c r="M591" s="2">
        <v>0</v>
      </c>
      <c r="N591" s="14"/>
      <c r="O591" s="14"/>
      <c r="P591" s="2">
        <v>103</v>
      </c>
      <c r="Q591" s="2">
        <v>206</v>
      </c>
      <c r="R591" s="2">
        <v>84.54</v>
      </c>
      <c r="S591">
        <f t="shared" si="45"/>
        <v>169.08</v>
      </c>
      <c r="T591" t="s">
        <v>43</v>
      </c>
      <c r="U591" s="1">
        <f t="shared" si="46"/>
        <v>3.138199999999999</v>
      </c>
    </row>
    <row r="592" spans="1:21" hidden="1" x14ac:dyDescent="0.25">
      <c r="A592" s="2">
        <v>38792</v>
      </c>
      <c r="B592" s="13" t="s">
        <v>1108</v>
      </c>
      <c r="C592" s="14" t="s">
        <v>39</v>
      </c>
      <c r="D592" s="15">
        <v>45322</v>
      </c>
      <c r="E592" s="2">
        <v>0</v>
      </c>
      <c r="F592" s="14" t="s">
        <v>1121</v>
      </c>
      <c r="G592" t="s">
        <v>1122</v>
      </c>
      <c r="H592" s="14" t="s">
        <v>42</v>
      </c>
      <c r="I592" s="2">
        <v>2</v>
      </c>
      <c r="J592" s="2">
        <v>0</v>
      </c>
      <c r="K592" s="2">
        <v>0</v>
      </c>
      <c r="L592" s="2"/>
      <c r="M592" s="2">
        <v>0</v>
      </c>
      <c r="N592" s="14"/>
      <c r="O592" s="14"/>
      <c r="P592" s="2">
        <v>326</v>
      </c>
      <c r="Q592" s="2">
        <v>652</v>
      </c>
      <c r="R592" s="2">
        <v>293.91000000000003</v>
      </c>
      <c r="S592">
        <f t="shared" si="45"/>
        <v>587.82000000000005</v>
      </c>
      <c r="T592" t="s">
        <v>43</v>
      </c>
      <c r="U592" s="1">
        <f t="shared" si="46"/>
        <v>5.4552999999999958</v>
      </c>
    </row>
    <row r="593" spans="1:21" x14ac:dyDescent="0.25">
      <c r="A593" s="2">
        <v>38792</v>
      </c>
      <c r="B593" s="13" t="s">
        <v>1108</v>
      </c>
      <c r="C593" s="14" t="s">
        <v>39</v>
      </c>
      <c r="D593" s="15">
        <v>45322</v>
      </c>
      <c r="E593" s="2">
        <v>0</v>
      </c>
      <c r="F593" s="14" t="s">
        <v>152</v>
      </c>
      <c r="G593" t="s">
        <v>1123</v>
      </c>
      <c r="H593" s="14" t="s">
        <v>93</v>
      </c>
      <c r="I593" s="2">
        <v>27</v>
      </c>
      <c r="J593" s="2">
        <v>0</v>
      </c>
      <c r="K593" s="2">
        <v>0</v>
      </c>
      <c r="L593" s="2"/>
      <c r="M593" s="2">
        <v>0</v>
      </c>
      <c r="N593" s="14"/>
      <c r="O593" s="14"/>
      <c r="P593" s="2">
        <v>240</v>
      </c>
      <c r="Q593" s="2">
        <v>6480</v>
      </c>
      <c r="R593" s="2">
        <v>0</v>
      </c>
      <c r="S593">
        <f t="shared" si="45"/>
        <v>0</v>
      </c>
      <c r="T593" t="s">
        <v>43</v>
      </c>
      <c r="U593">
        <f>_xlfn.XLOOKUP(T593,$Y$2:$Y$45,$AB$2:$AB$45)*(Q593)</f>
        <v>259.2</v>
      </c>
    </row>
    <row r="594" spans="1:21" x14ac:dyDescent="0.25">
      <c r="A594" s="2">
        <v>38792</v>
      </c>
      <c r="B594" s="13" t="s">
        <v>1108</v>
      </c>
      <c r="C594" s="14" t="s">
        <v>39</v>
      </c>
      <c r="D594" s="15">
        <v>45322</v>
      </c>
      <c r="E594" s="2">
        <v>0</v>
      </c>
      <c r="F594" s="14" t="s">
        <v>455</v>
      </c>
      <c r="G594" t="s">
        <v>598</v>
      </c>
      <c r="H594" s="14" t="s">
        <v>93</v>
      </c>
      <c r="I594" s="2">
        <v>5</v>
      </c>
      <c r="J594" s="2">
        <v>0</v>
      </c>
      <c r="K594" s="2">
        <v>0</v>
      </c>
      <c r="L594" s="2"/>
      <c r="M594" s="2">
        <v>0</v>
      </c>
      <c r="N594" s="14"/>
      <c r="O594" s="14"/>
      <c r="P594" s="2">
        <v>125</v>
      </c>
      <c r="Q594" s="2">
        <v>625</v>
      </c>
      <c r="R594" s="2">
        <v>0</v>
      </c>
      <c r="S594">
        <f t="shared" si="45"/>
        <v>0</v>
      </c>
      <c r="T594" t="s">
        <v>43</v>
      </c>
      <c r="U594">
        <f>_xlfn.XLOOKUP(T594,$Y$2:$Y$45,$AB$2:$AB$45)*(Q594)</f>
        <v>25</v>
      </c>
    </row>
    <row r="595" spans="1:21" hidden="1" x14ac:dyDescent="0.25">
      <c r="A595" s="2">
        <v>38793</v>
      </c>
      <c r="B595" s="13" t="s">
        <v>1124</v>
      </c>
      <c r="C595" s="14" t="s">
        <v>39</v>
      </c>
      <c r="D595" s="15">
        <v>45303</v>
      </c>
      <c r="E595" s="2">
        <v>0</v>
      </c>
      <c r="F595" s="14" t="s">
        <v>1125</v>
      </c>
      <c r="G595" t="s">
        <v>1126</v>
      </c>
      <c r="H595" s="14" t="s">
        <v>42</v>
      </c>
      <c r="I595" s="2">
        <v>1</v>
      </c>
      <c r="J595" s="2">
        <v>0</v>
      </c>
      <c r="K595" s="2">
        <v>0</v>
      </c>
      <c r="L595" s="2"/>
      <c r="M595" s="2">
        <v>0</v>
      </c>
      <c r="N595" s="14"/>
      <c r="O595" s="14"/>
      <c r="P595" s="2">
        <v>169.87</v>
      </c>
      <c r="Q595" s="2">
        <v>169.87</v>
      </c>
      <c r="R595" s="2">
        <v>135</v>
      </c>
      <c r="S595">
        <f t="shared" si="45"/>
        <v>135</v>
      </c>
      <c r="T595" t="s">
        <v>184</v>
      </c>
      <c r="U595" s="1">
        <f>_xlfn.XLOOKUP(T595,$Y$2:$Y$45,$AA$2:$AA$45)*(Q595-S595)</f>
        <v>0</v>
      </c>
    </row>
    <row r="596" spans="1:21" hidden="1" x14ac:dyDescent="0.25">
      <c r="A596" s="2">
        <v>38793</v>
      </c>
      <c r="B596" s="13" t="s">
        <v>1124</v>
      </c>
      <c r="C596" s="14" t="s">
        <v>39</v>
      </c>
      <c r="D596" s="15">
        <v>45303</v>
      </c>
      <c r="E596" s="2">
        <v>0</v>
      </c>
      <c r="F596" s="14" t="s">
        <v>630</v>
      </c>
      <c r="G596" t="s">
        <v>631</v>
      </c>
      <c r="H596" s="14" t="s">
        <v>42</v>
      </c>
      <c r="I596" s="2">
        <v>1</v>
      </c>
      <c r="J596" s="2">
        <v>0</v>
      </c>
      <c r="K596" s="2">
        <v>0</v>
      </c>
      <c r="L596" s="2"/>
      <c r="M596" s="2">
        <v>0</v>
      </c>
      <c r="N596" s="14"/>
      <c r="O596" s="14"/>
      <c r="P596" s="2">
        <v>5</v>
      </c>
      <c r="Q596" s="2">
        <v>5</v>
      </c>
      <c r="R596" s="2">
        <v>5</v>
      </c>
      <c r="S596">
        <f t="shared" si="45"/>
        <v>5</v>
      </c>
      <c r="T596" t="s">
        <v>184</v>
      </c>
      <c r="U596" s="1">
        <f>_xlfn.XLOOKUP(T596,$Y$2:$Y$45,$AA$2:$AA$45)*(Q596-S596)</f>
        <v>0</v>
      </c>
    </row>
    <row r="597" spans="1:21" hidden="1" x14ac:dyDescent="0.25">
      <c r="A597" s="2">
        <v>38803</v>
      </c>
      <c r="B597" s="13" t="s">
        <v>1127</v>
      </c>
      <c r="C597" s="14" t="s">
        <v>39</v>
      </c>
      <c r="D597" s="15">
        <v>45307</v>
      </c>
      <c r="E597" s="2">
        <v>0</v>
      </c>
      <c r="F597" s="14" t="s">
        <v>487</v>
      </c>
      <c r="G597" t="s">
        <v>488</v>
      </c>
      <c r="H597" s="14" t="s">
        <v>146</v>
      </c>
      <c r="I597" s="2">
        <v>1</v>
      </c>
      <c r="J597" s="2">
        <v>0</v>
      </c>
      <c r="K597" s="2">
        <v>0</v>
      </c>
      <c r="L597" s="2"/>
      <c r="M597" s="2">
        <v>0</v>
      </c>
      <c r="N597" s="14"/>
      <c r="O597" s="14"/>
      <c r="P597" s="2">
        <v>1735</v>
      </c>
      <c r="Q597" s="2">
        <v>1735</v>
      </c>
      <c r="R597" s="2">
        <v>1549.04</v>
      </c>
      <c r="S597">
        <f t="shared" si="45"/>
        <v>1549.04</v>
      </c>
      <c r="T597" t="s">
        <v>132</v>
      </c>
      <c r="U597" s="1">
        <f>_xlfn.XLOOKUP(T597,$Y$2:$Y$45,$AA$2:$AA$45)*(Q597-S597)</f>
        <v>14.876800000000003</v>
      </c>
    </row>
    <row r="598" spans="1:21" hidden="1" x14ac:dyDescent="0.25">
      <c r="A598" s="2">
        <v>38803</v>
      </c>
      <c r="B598" s="13" t="s">
        <v>1127</v>
      </c>
      <c r="C598" s="14" t="s">
        <v>39</v>
      </c>
      <c r="D598" s="15">
        <v>45307</v>
      </c>
      <c r="E598" s="2">
        <v>0</v>
      </c>
      <c r="F598" s="14" t="s">
        <v>429</v>
      </c>
      <c r="G598" t="s">
        <v>430</v>
      </c>
      <c r="H598" s="14" t="s">
        <v>42</v>
      </c>
      <c r="I598" s="2">
        <v>1</v>
      </c>
      <c r="J598" s="2">
        <v>0</v>
      </c>
      <c r="K598" s="2">
        <v>0</v>
      </c>
      <c r="L598" s="2"/>
      <c r="M598" s="2">
        <v>0</v>
      </c>
      <c r="N598" s="14"/>
      <c r="O598" s="14"/>
      <c r="P598" s="2">
        <v>18</v>
      </c>
      <c r="Q598" s="2">
        <v>18</v>
      </c>
      <c r="R598" s="2">
        <v>0</v>
      </c>
      <c r="S598">
        <f t="shared" si="45"/>
        <v>0</v>
      </c>
      <c r="T598" t="s">
        <v>132</v>
      </c>
      <c r="U598" s="1">
        <f>_xlfn.XLOOKUP(T598,$Y$2:$Y$45,$AA$2:$AA$45)*(Q598-S598)</f>
        <v>1.44</v>
      </c>
    </row>
    <row r="599" spans="1:21" x14ac:dyDescent="0.25">
      <c r="A599" s="2">
        <v>38803</v>
      </c>
      <c r="B599" s="13" t="s">
        <v>1127</v>
      </c>
      <c r="C599" s="14" t="s">
        <v>39</v>
      </c>
      <c r="D599" s="15">
        <v>45307</v>
      </c>
      <c r="E599" s="2">
        <v>0</v>
      </c>
      <c r="F599" s="14" t="s">
        <v>260</v>
      </c>
      <c r="G599" t="s">
        <v>313</v>
      </c>
      <c r="H599" s="14" t="s">
        <v>93</v>
      </c>
      <c r="I599" s="2">
        <v>3</v>
      </c>
      <c r="J599" s="2">
        <v>0</v>
      </c>
      <c r="K599" s="2">
        <v>0</v>
      </c>
      <c r="L599" s="2"/>
      <c r="M599" s="2">
        <v>0</v>
      </c>
      <c r="N599" s="14"/>
      <c r="O599" s="14"/>
      <c r="P599" s="2">
        <v>185</v>
      </c>
      <c r="Q599" s="2">
        <v>555</v>
      </c>
      <c r="R599" s="2">
        <v>0</v>
      </c>
      <c r="S599">
        <f t="shared" si="45"/>
        <v>0</v>
      </c>
      <c r="T599" t="s">
        <v>132</v>
      </c>
      <c r="U599">
        <f>_xlfn.XLOOKUP(T599,$Y$2:$Y$45,$AB$2:$AB$45)*(Q599)</f>
        <v>22.2</v>
      </c>
    </row>
    <row r="600" spans="1:21" hidden="1" x14ac:dyDescent="0.25">
      <c r="A600" s="2">
        <v>38807</v>
      </c>
      <c r="B600" s="13" t="s">
        <v>1128</v>
      </c>
      <c r="C600" s="14" t="s">
        <v>39</v>
      </c>
      <c r="D600" s="15">
        <v>45303</v>
      </c>
      <c r="E600" s="2">
        <v>0</v>
      </c>
      <c r="F600" s="14" t="s">
        <v>186</v>
      </c>
      <c r="G600" t="s">
        <v>1129</v>
      </c>
      <c r="H600" s="14" t="s">
        <v>42</v>
      </c>
      <c r="I600" s="2">
        <v>10</v>
      </c>
      <c r="J600" s="2">
        <v>0</v>
      </c>
      <c r="K600" s="2">
        <v>3</v>
      </c>
      <c r="L600" s="2"/>
      <c r="M600" s="2">
        <v>0</v>
      </c>
      <c r="N600" s="14"/>
      <c r="O600" s="14"/>
      <c r="P600" s="2">
        <v>460</v>
      </c>
      <c r="Q600" s="2">
        <v>4600</v>
      </c>
      <c r="R600" s="2">
        <v>230</v>
      </c>
      <c r="S600">
        <f t="shared" si="45"/>
        <v>2300</v>
      </c>
      <c r="T600" t="s">
        <v>151</v>
      </c>
      <c r="U600" s="1">
        <f t="shared" ref="U600:U612" si="47">_xlfn.XLOOKUP(T600,$Y$2:$Y$45,$AA$2:$AA$45)*(Q600-S600)</f>
        <v>184</v>
      </c>
    </row>
    <row r="601" spans="1:21" hidden="1" x14ac:dyDescent="0.25">
      <c r="A601" s="2">
        <v>38809</v>
      </c>
      <c r="B601" s="13" t="s">
        <v>1130</v>
      </c>
      <c r="C601" s="14" t="s">
        <v>39</v>
      </c>
      <c r="D601" s="15">
        <v>45307</v>
      </c>
      <c r="E601" s="2">
        <v>0</v>
      </c>
      <c r="F601" s="14" t="s">
        <v>742</v>
      </c>
      <c r="G601" t="s">
        <v>1131</v>
      </c>
      <c r="H601" s="14" t="s">
        <v>173</v>
      </c>
      <c r="I601" s="2">
        <v>4</v>
      </c>
      <c r="J601" s="2">
        <v>0</v>
      </c>
      <c r="K601" s="2">
        <v>0</v>
      </c>
      <c r="L601" s="2"/>
      <c r="M601" s="2">
        <v>0</v>
      </c>
      <c r="N601" s="14"/>
      <c r="O601" s="14"/>
      <c r="P601" s="2">
        <v>148.62</v>
      </c>
      <c r="Q601" s="2">
        <v>594.48</v>
      </c>
      <c r="R601" s="2">
        <v>126.33</v>
      </c>
      <c r="S601">
        <f t="shared" si="45"/>
        <v>505.32</v>
      </c>
      <c r="T601" t="s">
        <v>1874</v>
      </c>
      <c r="U601" s="1">
        <f t="shared" si="47"/>
        <v>7.1328000000000022</v>
      </c>
    </row>
    <row r="602" spans="1:21" hidden="1" x14ac:dyDescent="0.25">
      <c r="A602" s="2">
        <v>38815</v>
      </c>
      <c r="B602" s="13" t="s">
        <v>1132</v>
      </c>
      <c r="C602" s="14" t="s">
        <v>39</v>
      </c>
      <c r="D602" s="15">
        <v>45303</v>
      </c>
      <c r="E602" s="2">
        <v>0</v>
      </c>
      <c r="F602" s="14" t="s">
        <v>1133</v>
      </c>
      <c r="G602" t="s">
        <v>1134</v>
      </c>
      <c r="H602" s="14" t="s">
        <v>146</v>
      </c>
      <c r="I602" s="2">
        <v>10</v>
      </c>
      <c r="J602" s="2">
        <v>0</v>
      </c>
      <c r="K602" s="2">
        <v>0</v>
      </c>
      <c r="L602" s="2"/>
      <c r="M602" s="2">
        <v>0</v>
      </c>
      <c r="N602" s="14"/>
      <c r="O602" s="14"/>
      <c r="P602" s="2">
        <v>470</v>
      </c>
      <c r="Q602" s="2">
        <v>4700</v>
      </c>
      <c r="R602" s="2">
        <v>408.04</v>
      </c>
      <c r="S602">
        <f t="shared" si="45"/>
        <v>4080.4</v>
      </c>
      <c r="T602" t="s">
        <v>61</v>
      </c>
      <c r="U602" s="1">
        <f t="shared" si="47"/>
        <v>0</v>
      </c>
    </row>
    <row r="603" spans="1:21" hidden="1" x14ac:dyDescent="0.25">
      <c r="A603" s="2">
        <v>38815</v>
      </c>
      <c r="B603" s="13" t="s">
        <v>1132</v>
      </c>
      <c r="C603" s="14" t="s">
        <v>39</v>
      </c>
      <c r="D603" s="15">
        <v>45303</v>
      </c>
      <c r="E603" s="2">
        <v>0</v>
      </c>
      <c r="F603" s="14" t="s">
        <v>1135</v>
      </c>
      <c r="G603" t="s">
        <v>1136</v>
      </c>
      <c r="H603" s="14" t="s">
        <v>146</v>
      </c>
      <c r="I603" s="2">
        <v>1</v>
      </c>
      <c r="J603" s="2">
        <v>0</v>
      </c>
      <c r="K603" s="2">
        <v>0</v>
      </c>
      <c r="L603" s="2"/>
      <c r="M603" s="2">
        <v>0</v>
      </c>
      <c r="N603" s="14"/>
      <c r="O603" s="14"/>
      <c r="P603" s="2">
        <v>81</v>
      </c>
      <c r="Q603" s="2">
        <v>81</v>
      </c>
      <c r="R603" s="2">
        <v>72.27</v>
      </c>
      <c r="S603">
        <f t="shared" si="45"/>
        <v>72.27</v>
      </c>
      <c r="T603" t="s">
        <v>61</v>
      </c>
      <c r="U603" s="1">
        <f t="shared" si="47"/>
        <v>0</v>
      </c>
    </row>
    <row r="604" spans="1:21" hidden="1" x14ac:dyDescent="0.25">
      <c r="A604" s="2">
        <v>38815</v>
      </c>
      <c r="B604" s="13" t="s">
        <v>1132</v>
      </c>
      <c r="C604" s="14" t="s">
        <v>39</v>
      </c>
      <c r="D604" s="15">
        <v>45303</v>
      </c>
      <c r="E604" s="2">
        <v>0</v>
      </c>
      <c r="F604" s="14" t="s">
        <v>1137</v>
      </c>
      <c r="G604" t="s">
        <v>1138</v>
      </c>
      <c r="H604" s="14" t="s">
        <v>146</v>
      </c>
      <c r="I604" s="2">
        <v>5</v>
      </c>
      <c r="J604" s="2">
        <v>0</v>
      </c>
      <c r="K604" s="2">
        <v>0</v>
      </c>
      <c r="L604" s="2"/>
      <c r="M604" s="2">
        <v>0</v>
      </c>
      <c r="N604" s="14"/>
      <c r="O604" s="14"/>
      <c r="P604" s="2">
        <v>2705</v>
      </c>
      <c r="Q604" s="2">
        <v>13525</v>
      </c>
      <c r="R604" s="2">
        <v>2408.12</v>
      </c>
      <c r="S604">
        <f t="shared" si="45"/>
        <v>12040.599999999999</v>
      </c>
      <c r="T604" t="s">
        <v>61</v>
      </c>
      <c r="U604" s="1">
        <f t="shared" si="47"/>
        <v>0</v>
      </c>
    </row>
    <row r="605" spans="1:21" hidden="1" x14ac:dyDescent="0.25">
      <c r="A605" s="2">
        <v>38815</v>
      </c>
      <c r="B605" s="13" t="s">
        <v>1132</v>
      </c>
      <c r="C605" s="14" t="s">
        <v>39</v>
      </c>
      <c r="D605" s="15">
        <v>45303</v>
      </c>
      <c r="E605" s="2">
        <v>0</v>
      </c>
      <c r="F605" s="14" t="s">
        <v>1139</v>
      </c>
      <c r="G605" t="s">
        <v>1140</v>
      </c>
      <c r="H605" s="14" t="s">
        <v>146</v>
      </c>
      <c r="I605" s="2">
        <v>1</v>
      </c>
      <c r="J605" s="2">
        <v>0</v>
      </c>
      <c r="K605" s="2">
        <v>0</v>
      </c>
      <c r="L605" s="2"/>
      <c r="M605" s="2">
        <v>0</v>
      </c>
      <c r="N605" s="14"/>
      <c r="O605" s="14"/>
      <c r="P605" s="2">
        <v>1393</v>
      </c>
      <c r="Q605" s="2">
        <v>1393</v>
      </c>
      <c r="R605" s="2">
        <v>1240.2</v>
      </c>
      <c r="S605">
        <f t="shared" si="45"/>
        <v>1240.2</v>
      </c>
      <c r="T605" t="s">
        <v>61</v>
      </c>
      <c r="U605" s="1">
        <f t="shared" si="47"/>
        <v>0</v>
      </c>
    </row>
    <row r="606" spans="1:21" hidden="1" x14ac:dyDescent="0.25">
      <c r="A606" s="2">
        <v>38815</v>
      </c>
      <c r="B606" s="13" t="s">
        <v>1132</v>
      </c>
      <c r="C606" s="14" t="s">
        <v>39</v>
      </c>
      <c r="D606" s="15">
        <v>45303</v>
      </c>
      <c r="E606" s="2">
        <v>0</v>
      </c>
      <c r="F606" s="14" t="s">
        <v>1141</v>
      </c>
      <c r="G606" t="s">
        <v>1142</v>
      </c>
      <c r="H606" s="14" t="s">
        <v>146</v>
      </c>
      <c r="I606" s="2">
        <v>1</v>
      </c>
      <c r="J606" s="2">
        <v>0</v>
      </c>
      <c r="K606" s="2">
        <v>0</v>
      </c>
      <c r="L606" s="2"/>
      <c r="M606" s="2">
        <v>0</v>
      </c>
      <c r="N606" s="14"/>
      <c r="O606" s="14"/>
      <c r="P606" s="2">
        <v>81</v>
      </c>
      <c r="Q606" s="2">
        <v>81</v>
      </c>
      <c r="R606" s="2">
        <v>72.27</v>
      </c>
      <c r="S606">
        <f t="shared" si="45"/>
        <v>72.27</v>
      </c>
      <c r="T606" t="s">
        <v>61</v>
      </c>
      <c r="U606" s="1">
        <f t="shared" si="47"/>
        <v>0</v>
      </c>
    </row>
    <row r="607" spans="1:21" hidden="1" x14ac:dyDescent="0.25">
      <c r="A607" s="2">
        <v>38815</v>
      </c>
      <c r="B607" s="13" t="s">
        <v>1132</v>
      </c>
      <c r="C607" s="14" t="s">
        <v>39</v>
      </c>
      <c r="D607" s="15">
        <v>45303</v>
      </c>
      <c r="E607" s="2">
        <v>0</v>
      </c>
      <c r="F607" s="14" t="s">
        <v>1143</v>
      </c>
      <c r="G607" t="s">
        <v>1144</v>
      </c>
      <c r="H607" s="14" t="s">
        <v>146</v>
      </c>
      <c r="I607" s="2">
        <v>1</v>
      </c>
      <c r="J607" s="2">
        <v>0</v>
      </c>
      <c r="K607" s="2">
        <v>0</v>
      </c>
      <c r="L607" s="2"/>
      <c r="M607" s="2">
        <v>0</v>
      </c>
      <c r="N607" s="14"/>
      <c r="O607" s="14"/>
      <c r="P607" s="2">
        <v>24</v>
      </c>
      <c r="Q607" s="2">
        <v>24</v>
      </c>
      <c r="R607" s="2">
        <v>21.17</v>
      </c>
      <c r="S607">
        <f t="shared" si="45"/>
        <v>21.17</v>
      </c>
      <c r="T607" t="s">
        <v>61</v>
      </c>
      <c r="U607" s="1">
        <f t="shared" si="47"/>
        <v>0</v>
      </c>
    </row>
    <row r="608" spans="1:21" hidden="1" x14ac:dyDescent="0.25">
      <c r="A608" s="2">
        <v>38815</v>
      </c>
      <c r="B608" s="13" t="s">
        <v>1132</v>
      </c>
      <c r="C608" s="14" t="s">
        <v>39</v>
      </c>
      <c r="D608" s="15">
        <v>45303</v>
      </c>
      <c r="E608" s="2">
        <v>0</v>
      </c>
      <c r="F608" s="14" t="s">
        <v>1145</v>
      </c>
      <c r="G608" t="s">
        <v>1146</v>
      </c>
      <c r="H608" s="14" t="s">
        <v>146</v>
      </c>
      <c r="I608" s="2">
        <v>1</v>
      </c>
      <c r="J608" s="2">
        <v>0</v>
      </c>
      <c r="K608" s="2">
        <v>0</v>
      </c>
      <c r="L608" s="2"/>
      <c r="M608" s="2">
        <v>0</v>
      </c>
      <c r="N608" s="14"/>
      <c r="O608" s="14"/>
      <c r="P608" s="2">
        <v>40</v>
      </c>
      <c r="Q608" s="2">
        <v>40</v>
      </c>
      <c r="R608" s="2">
        <v>35.770000000000003</v>
      </c>
      <c r="S608">
        <f t="shared" si="45"/>
        <v>35.770000000000003</v>
      </c>
      <c r="T608" t="s">
        <v>61</v>
      </c>
      <c r="U608" s="1">
        <f t="shared" si="47"/>
        <v>0</v>
      </c>
    </row>
    <row r="609" spans="1:21" hidden="1" x14ac:dyDescent="0.25">
      <c r="A609" s="2">
        <v>38815</v>
      </c>
      <c r="B609" s="13" t="s">
        <v>1132</v>
      </c>
      <c r="C609" s="14" t="s">
        <v>39</v>
      </c>
      <c r="D609" s="15">
        <v>45303</v>
      </c>
      <c r="E609" s="2">
        <v>0</v>
      </c>
      <c r="F609" s="14" t="s">
        <v>1147</v>
      </c>
      <c r="G609" t="s">
        <v>1148</v>
      </c>
      <c r="H609" s="14" t="s">
        <v>146</v>
      </c>
      <c r="I609" s="2">
        <v>5</v>
      </c>
      <c r="J609" s="2">
        <v>0</v>
      </c>
      <c r="K609" s="2">
        <v>0</v>
      </c>
      <c r="L609" s="2"/>
      <c r="M609" s="2">
        <v>0</v>
      </c>
      <c r="N609" s="14"/>
      <c r="O609" s="14"/>
      <c r="P609" s="2">
        <v>139</v>
      </c>
      <c r="Q609" s="2">
        <v>695</v>
      </c>
      <c r="R609" s="2">
        <v>123.37</v>
      </c>
      <c r="S609">
        <f t="shared" si="45"/>
        <v>616.85</v>
      </c>
      <c r="T609" t="s">
        <v>61</v>
      </c>
      <c r="U609" s="1">
        <f t="shared" si="47"/>
        <v>0</v>
      </c>
    </row>
    <row r="610" spans="1:21" hidden="1" x14ac:dyDescent="0.25">
      <c r="A610" s="2">
        <v>38815</v>
      </c>
      <c r="B610" s="13" t="s">
        <v>1132</v>
      </c>
      <c r="C610" s="14" t="s">
        <v>39</v>
      </c>
      <c r="D610" s="15">
        <v>45303</v>
      </c>
      <c r="E610" s="2">
        <v>0</v>
      </c>
      <c r="F610" s="14" t="s">
        <v>1149</v>
      </c>
      <c r="G610" t="s">
        <v>1150</v>
      </c>
      <c r="H610" s="14" t="s">
        <v>146</v>
      </c>
      <c r="I610" s="2">
        <v>5</v>
      </c>
      <c r="J610" s="2">
        <v>0</v>
      </c>
      <c r="K610" s="2">
        <v>0</v>
      </c>
      <c r="L610" s="2"/>
      <c r="M610" s="2">
        <v>0</v>
      </c>
      <c r="N610" s="14"/>
      <c r="O610" s="14"/>
      <c r="P610" s="2">
        <v>1475</v>
      </c>
      <c r="Q610" s="2">
        <v>7375</v>
      </c>
      <c r="R610" s="2">
        <v>1313.19</v>
      </c>
      <c r="S610">
        <f t="shared" si="45"/>
        <v>6565.9500000000007</v>
      </c>
      <c r="T610" t="s">
        <v>61</v>
      </c>
      <c r="U610" s="1">
        <f t="shared" si="47"/>
        <v>0</v>
      </c>
    </row>
    <row r="611" spans="1:21" hidden="1" x14ac:dyDescent="0.25">
      <c r="A611" s="2">
        <v>38817</v>
      </c>
      <c r="B611" s="13" t="s">
        <v>1151</v>
      </c>
      <c r="C611" s="14" t="s">
        <v>39</v>
      </c>
      <c r="D611" s="15">
        <v>45308</v>
      </c>
      <c r="E611" s="2">
        <v>0</v>
      </c>
      <c r="F611" s="14" t="s">
        <v>994</v>
      </c>
      <c r="G611" t="s">
        <v>995</v>
      </c>
      <c r="H611" s="14" t="s">
        <v>42</v>
      </c>
      <c r="I611" s="2">
        <v>4</v>
      </c>
      <c r="J611" s="2">
        <v>0</v>
      </c>
      <c r="K611" s="2">
        <v>0</v>
      </c>
      <c r="L611" s="2"/>
      <c r="M611" s="2">
        <v>0</v>
      </c>
      <c r="N611" s="14"/>
      <c r="O611" s="14"/>
      <c r="P611" s="2">
        <v>876</v>
      </c>
      <c r="Q611" s="2">
        <v>3504</v>
      </c>
      <c r="R611" s="2">
        <v>717.94</v>
      </c>
      <c r="S611">
        <f t="shared" si="45"/>
        <v>2871.76</v>
      </c>
      <c r="T611" t="s">
        <v>56</v>
      </c>
      <c r="U611" s="1">
        <f t="shared" si="47"/>
        <v>53.740399999999987</v>
      </c>
    </row>
    <row r="612" spans="1:21" hidden="1" x14ac:dyDescent="0.25">
      <c r="A612" s="2">
        <v>38817</v>
      </c>
      <c r="B612" s="13" t="s">
        <v>1151</v>
      </c>
      <c r="C612" s="14" t="s">
        <v>39</v>
      </c>
      <c r="D612" s="15">
        <v>45308</v>
      </c>
      <c r="E612" s="2">
        <v>0</v>
      </c>
      <c r="F612" s="14" t="s">
        <v>1152</v>
      </c>
      <c r="G612" t="s">
        <v>1153</v>
      </c>
      <c r="H612" s="14" t="s">
        <v>42</v>
      </c>
      <c r="I612" s="2">
        <v>5</v>
      </c>
      <c r="J612" s="2">
        <v>0</v>
      </c>
      <c r="K612" s="2">
        <v>0</v>
      </c>
      <c r="L612" s="2"/>
      <c r="M612" s="2">
        <v>0</v>
      </c>
      <c r="N612" s="14"/>
      <c r="O612" s="14"/>
      <c r="P612" s="2">
        <v>184</v>
      </c>
      <c r="Q612" s="2">
        <v>920</v>
      </c>
      <c r="R612" s="2">
        <v>150.82</v>
      </c>
      <c r="S612">
        <f t="shared" si="45"/>
        <v>754.09999999999991</v>
      </c>
      <c r="T612" t="s">
        <v>56</v>
      </c>
      <c r="U612" s="1">
        <f t="shared" si="47"/>
        <v>14.101500000000009</v>
      </c>
    </row>
    <row r="613" spans="1:21" x14ac:dyDescent="0.25">
      <c r="A613" s="2">
        <v>38817</v>
      </c>
      <c r="B613" s="13" t="s">
        <v>1151</v>
      </c>
      <c r="C613" s="14" t="s">
        <v>39</v>
      </c>
      <c r="D613" s="15">
        <v>45308</v>
      </c>
      <c r="E613" s="2">
        <v>0</v>
      </c>
      <c r="F613" s="14" t="s">
        <v>152</v>
      </c>
      <c r="G613" t="s">
        <v>153</v>
      </c>
      <c r="H613" s="14" t="s">
        <v>93</v>
      </c>
      <c r="I613" s="2">
        <v>4</v>
      </c>
      <c r="J613" s="2">
        <v>0</v>
      </c>
      <c r="K613" s="2">
        <v>0</v>
      </c>
      <c r="L613" s="2"/>
      <c r="M613" s="2">
        <v>0</v>
      </c>
      <c r="N613" s="14"/>
      <c r="O613" s="14"/>
      <c r="P613" s="2">
        <v>225</v>
      </c>
      <c r="Q613" s="2">
        <v>900</v>
      </c>
      <c r="R613" s="2">
        <v>0</v>
      </c>
      <c r="S613">
        <f t="shared" si="45"/>
        <v>0</v>
      </c>
      <c r="T613" t="s">
        <v>56</v>
      </c>
      <c r="U613">
        <f>_xlfn.XLOOKUP(T613,$Y$2:$Y$45,$AB$2:$AB$45)*(Q613)</f>
        <v>36</v>
      </c>
    </row>
    <row r="614" spans="1:21" hidden="1" x14ac:dyDescent="0.25">
      <c r="A614" s="2">
        <v>38818</v>
      </c>
      <c r="B614" s="13" t="s">
        <v>1154</v>
      </c>
      <c r="C614" s="14" t="s">
        <v>39</v>
      </c>
      <c r="D614" s="15">
        <v>45306</v>
      </c>
      <c r="E614" s="2">
        <v>0</v>
      </c>
      <c r="F614" s="14" t="s">
        <v>1155</v>
      </c>
      <c r="G614" t="s">
        <v>1156</v>
      </c>
      <c r="H614" s="14" t="s">
        <v>42</v>
      </c>
      <c r="I614" s="2">
        <v>1</v>
      </c>
      <c r="J614" s="2">
        <v>0</v>
      </c>
      <c r="K614" s="2">
        <v>0</v>
      </c>
      <c r="L614" s="2"/>
      <c r="M614" s="2">
        <v>0</v>
      </c>
      <c r="N614" s="14"/>
      <c r="O614" s="14"/>
      <c r="P614" s="2">
        <v>437.67</v>
      </c>
      <c r="Q614" s="2">
        <v>437.67</v>
      </c>
      <c r="R614" s="2">
        <v>386.18</v>
      </c>
      <c r="S614">
        <f t="shared" si="45"/>
        <v>386.18</v>
      </c>
      <c r="T614" t="s">
        <v>184</v>
      </c>
      <c r="U614" s="1">
        <f>_xlfn.XLOOKUP(T614,$Y$2:$Y$45,$AA$2:$AA$45)*(Q614-S614)</f>
        <v>0</v>
      </c>
    </row>
    <row r="615" spans="1:21" hidden="1" x14ac:dyDescent="0.25">
      <c r="A615" s="2">
        <v>38823</v>
      </c>
      <c r="B615" s="13" t="s">
        <v>1157</v>
      </c>
      <c r="C615" s="14" t="s">
        <v>39</v>
      </c>
      <c r="D615" s="15">
        <v>45303</v>
      </c>
      <c r="E615" s="2">
        <v>0</v>
      </c>
      <c r="F615" s="14" t="s">
        <v>1158</v>
      </c>
      <c r="G615" t="s">
        <v>1159</v>
      </c>
      <c r="H615" s="14" t="s">
        <v>42</v>
      </c>
      <c r="I615" s="2">
        <v>2</v>
      </c>
      <c r="J615" s="2">
        <v>0</v>
      </c>
      <c r="K615" s="2">
        <v>0</v>
      </c>
      <c r="L615" s="2"/>
      <c r="M615" s="2">
        <v>0</v>
      </c>
      <c r="N615" s="14"/>
      <c r="O615" s="14"/>
      <c r="P615" s="2">
        <v>506.18</v>
      </c>
      <c r="Q615" s="2">
        <v>1012.36</v>
      </c>
      <c r="R615" s="2">
        <v>421.82</v>
      </c>
      <c r="S615">
        <f t="shared" si="45"/>
        <v>843.64</v>
      </c>
      <c r="T615" t="s">
        <v>132</v>
      </c>
      <c r="U615" s="1">
        <f>_xlfn.XLOOKUP(T615,$Y$2:$Y$45,$AA$2:$AA$45)*(Q615-S615)</f>
        <v>13.497600000000002</v>
      </c>
    </row>
    <row r="616" spans="1:21" x14ac:dyDescent="0.25">
      <c r="A616" s="2">
        <v>38827</v>
      </c>
      <c r="B616" s="13" t="s">
        <v>1160</v>
      </c>
      <c r="C616" s="14" t="s">
        <v>39</v>
      </c>
      <c r="D616" s="15">
        <v>45302</v>
      </c>
      <c r="E616" s="2">
        <v>0</v>
      </c>
      <c r="F616" s="14" t="s">
        <v>260</v>
      </c>
      <c r="G616" t="s">
        <v>279</v>
      </c>
      <c r="H616" s="14" t="s">
        <v>93</v>
      </c>
      <c r="I616" s="2">
        <v>1</v>
      </c>
      <c r="J616" s="2">
        <v>0</v>
      </c>
      <c r="K616" s="2">
        <v>0</v>
      </c>
      <c r="L616" s="2"/>
      <c r="M616" s="2">
        <v>0</v>
      </c>
      <c r="N616" s="14"/>
      <c r="O616" s="14"/>
      <c r="P616" s="2">
        <v>200</v>
      </c>
      <c r="Q616" s="2">
        <v>200</v>
      </c>
      <c r="R616" s="2">
        <v>0</v>
      </c>
      <c r="S616">
        <f t="shared" si="45"/>
        <v>0</v>
      </c>
      <c r="T616" t="s">
        <v>184</v>
      </c>
      <c r="U616">
        <f>_xlfn.XLOOKUP(T616,$Y$2:$Y$45,$AB$2:$AB$45)*(Q616)</f>
        <v>0</v>
      </c>
    </row>
    <row r="617" spans="1:21" hidden="1" x14ac:dyDescent="0.25">
      <c r="A617" s="2">
        <v>38827</v>
      </c>
      <c r="B617" s="13" t="s">
        <v>1160</v>
      </c>
      <c r="C617" s="14" t="s">
        <v>39</v>
      </c>
      <c r="D617" s="15">
        <v>45302</v>
      </c>
      <c r="E617" s="2">
        <v>0</v>
      </c>
      <c r="F617" s="14" t="s">
        <v>1161</v>
      </c>
      <c r="G617" t="s">
        <v>1162</v>
      </c>
      <c r="H617" s="14" t="s">
        <v>42</v>
      </c>
      <c r="I617" s="2">
        <v>1</v>
      </c>
      <c r="J617" s="2">
        <v>0</v>
      </c>
      <c r="K617" s="2">
        <v>0</v>
      </c>
      <c r="L617" s="2"/>
      <c r="M617" s="2">
        <v>0</v>
      </c>
      <c r="N617" s="14"/>
      <c r="O617" s="14"/>
      <c r="P617" s="2">
        <v>1288.3399999999999</v>
      </c>
      <c r="Q617" s="2">
        <v>1288.3399999999999</v>
      </c>
      <c r="R617" s="2">
        <v>1198.1600000000001</v>
      </c>
      <c r="S617">
        <f t="shared" si="45"/>
        <v>1198.1600000000001</v>
      </c>
      <c r="T617" t="s">
        <v>184</v>
      </c>
      <c r="U617" s="1">
        <f>_xlfn.XLOOKUP(T617,$Y$2:$Y$45,$AA$2:$AA$45)*(Q617-S617)</f>
        <v>0</v>
      </c>
    </row>
    <row r="618" spans="1:21" hidden="1" x14ac:dyDescent="0.25">
      <c r="A618" s="2">
        <v>38827</v>
      </c>
      <c r="B618" s="13" t="s">
        <v>1160</v>
      </c>
      <c r="C618" s="14" t="s">
        <v>39</v>
      </c>
      <c r="D618" s="15">
        <v>45302</v>
      </c>
      <c r="E618" s="2">
        <v>0</v>
      </c>
      <c r="F618" s="14" t="s">
        <v>699</v>
      </c>
      <c r="G618" t="s">
        <v>631</v>
      </c>
      <c r="H618" s="14" t="s">
        <v>42</v>
      </c>
      <c r="I618" s="2">
        <v>1</v>
      </c>
      <c r="J618" s="2">
        <v>0</v>
      </c>
      <c r="K618" s="2">
        <v>0</v>
      </c>
      <c r="L618" s="2"/>
      <c r="M618" s="2">
        <v>0</v>
      </c>
      <c r="N618" s="14"/>
      <c r="O618" s="14"/>
      <c r="P618" s="2">
        <v>4</v>
      </c>
      <c r="Q618" s="2">
        <v>4</v>
      </c>
      <c r="R618" s="2">
        <v>4</v>
      </c>
      <c r="S618">
        <f t="shared" si="45"/>
        <v>4</v>
      </c>
      <c r="T618" t="s">
        <v>184</v>
      </c>
      <c r="U618" s="1">
        <f>_xlfn.XLOOKUP(T618,$Y$2:$Y$45,$AA$2:$AA$45)*(Q618-S618)</f>
        <v>0</v>
      </c>
    </row>
    <row r="619" spans="1:21" hidden="1" x14ac:dyDescent="0.25">
      <c r="A619" s="2">
        <v>38828</v>
      </c>
      <c r="B619" s="13" t="s">
        <v>1163</v>
      </c>
      <c r="C619" s="14" t="s">
        <v>39</v>
      </c>
      <c r="D619" s="15">
        <v>45308</v>
      </c>
      <c r="E619" s="2">
        <v>0</v>
      </c>
      <c r="F619" s="14" t="s">
        <v>1164</v>
      </c>
      <c r="G619" t="s">
        <v>1165</v>
      </c>
      <c r="H619" s="14" t="s">
        <v>42</v>
      </c>
      <c r="I619" s="2">
        <v>1</v>
      </c>
      <c r="J619" s="2">
        <v>0</v>
      </c>
      <c r="K619" s="2">
        <v>0</v>
      </c>
      <c r="L619" s="2"/>
      <c r="M619" s="2">
        <v>0</v>
      </c>
      <c r="N619" s="14"/>
      <c r="O619" s="14"/>
      <c r="P619" s="2">
        <v>737.06</v>
      </c>
      <c r="Q619" s="2">
        <v>737.06</v>
      </c>
      <c r="R619" s="2">
        <v>764.5</v>
      </c>
      <c r="S619">
        <f t="shared" si="45"/>
        <v>764.5</v>
      </c>
      <c r="T619" t="s">
        <v>1874</v>
      </c>
      <c r="U619" s="1">
        <f>_xlfn.XLOOKUP(T619,$Y$2:$Y$45,$AA$2:$AA$45)*(Q619-S619)</f>
        <v>-2.1952000000000043</v>
      </c>
    </row>
    <row r="620" spans="1:21" hidden="1" x14ac:dyDescent="0.25">
      <c r="A620" s="2">
        <v>38828</v>
      </c>
      <c r="B620" s="13" t="s">
        <v>1163</v>
      </c>
      <c r="C620" s="14" t="s">
        <v>39</v>
      </c>
      <c r="D620" s="15">
        <v>45308</v>
      </c>
      <c r="E620" s="2">
        <v>0</v>
      </c>
      <c r="F620" s="14" t="s">
        <v>600</v>
      </c>
      <c r="G620" t="s">
        <v>601</v>
      </c>
      <c r="H620" s="14" t="s">
        <v>42</v>
      </c>
      <c r="I620" s="2">
        <v>1</v>
      </c>
      <c r="J620" s="2">
        <v>0</v>
      </c>
      <c r="K620" s="2">
        <v>0</v>
      </c>
      <c r="L620" s="2"/>
      <c r="M620" s="2">
        <v>0</v>
      </c>
      <c r="N620" s="14"/>
      <c r="O620" s="14"/>
      <c r="P620" s="2">
        <v>149</v>
      </c>
      <c r="Q620" s="2">
        <v>149</v>
      </c>
      <c r="R620" s="2">
        <v>0</v>
      </c>
      <c r="S620">
        <f t="shared" si="45"/>
        <v>0</v>
      </c>
      <c r="T620" t="s">
        <v>1874</v>
      </c>
      <c r="U620" s="1">
        <f>_xlfn.XLOOKUP(T620,$Y$2:$Y$45,$AA$2:$AA$45)*(Q620-S620)</f>
        <v>11.92</v>
      </c>
    </row>
    <row r="621" spans="1:21" hidden="1" x14ac:dyDescent="0.25">
      <c r="A621" s="2">
        <v>38828</v>
      </c>
      <c r="B621" s="13" t="s">
        <v>1163</v>
      </c>
      <c r="C621" s="14" t="s">
        <v>39</v>
      </c>
      <c r="D621" s="15">
        <v>45308</v>
      </c>
      <c r="E621" s="2">
        <v>0</v>
      </c>
      <c r="F621" s="14" t="s">
        <v>686</v>
      </c>
      <c r="G621" t="s">
        <v>687</v>
      </c>
      <c r="H621" s="14" t="s">
        <v>42</v>
      </c>
      <c r="I621" s="2">
        <v>2</v>
      </c>
      <c r="J621" s="2">
        <v>0</v>
      </c>
      <c r="K621" s="2">
        <v>0</v>
      </c>
      <c r="L621" s="2"/>
      <c r="M621" s="2">
        <v>0</v>
      </c>
      <c r="N621" s="14"/>
      <c r="O621" s="14"/>
      <c r="P621" s="2">
        <v>212.51</v>
      </c>
      <c r="Q621" s="2">
        <v>425.02</v>
      </c>
      <c r="R621" s="2">
        <v>184.79</v>
      </c>
      <c r="S621">
        <f t="shared" si="45"/>
        <v>369.58</v>
      </c>
      <c r="T621" t="s">
        <v>1874</v>
      </c>
      <c r="U621" s="1">
        <f>_xlfn.XLOOKUP(T621,$Y$2:$Y$45,$AA$2:$AA$45)*(Q621-S621)</f>
        <v>4.4352</v>
      </c>
    </row>
    <row r="622" spans="1:21" x14ac:dyDescent="0.25">
      <c r="A622" s="2">
        <v>38850</v>
      </c>
      <c r="B622" s="13" t="s">
        <v>1166</v>
      </c>
      <c r="C622" s="14" t="s">
        <v>39</v>
      </c>
      <c r="D622" s="15">
        <v>45303</v>
      </c>
      <c r="E622" s="2">
        <v>0</v>
      </c>
      <c r="F622" s="14" t="s">
        <v>660</v>
      </c>
      <c r="G622" t="s">
        <v>661</v>
      </c>
      <c r="H622" s="14" t="s">
        <v>93</v>
      </c>
      <c r="I622" s="2">
        <v>1</v>
      </c>
      <c r="J622" s="2">
        <v>0</v>
      </c>
      <c r="K622" s="2">
        <v>0</v>
      </c>
      <c r="L622" s="2"/>
      <c r="M622" s="2">
        <v>0</v>
      </c>
      <c r="N622" s="14"/>
      <c r="O622" s="14"/>
      <c r="P622" s="2">
        <v>295</v>
      </c>
      <c r="Q622" s="2">
        <v>295</v>
      </c>
      <c r="R622" s="2">
        <v>0</v>
      </c>
      <c r="S622">
        <f t="shared" si="45"/>
        <v>0</v>
      </c>
      <c r="T622" t="s">
        <v>1874</v>
      </c>
      <c r="U622">
        <f>_xlfn.XLOOKUP(T622,$Y$2:$Y$45,$AB$2:$AB$45)*(Q622)</f>
        <v>11.8</v>
      </c>
    </row>
    <row r="623" spans="1:21" x14ac:dyDescent="0.25">
      <c r="A623" s="2">
        <v>38850</v>
      </c>
      <c r="B623" s="13" t="s">
        <v>1166</v>
      </c>
      <c r="C623" s="14" t="s">
        <v>39</v>
      </c>
      <c r="D623" s="15">
        <v>45303</v>
      </c>
      <c r="E623" s="2">
        <v>0</v>
      </c>
      <c r="F623" s="14" t="s">
        <v>657</v>
      </c>
      <c r="G623" t="s">
        <v>657</v>
      </c>
      <c r="H623" s="14" t="s">
        <v>93</v>
      </c>
      <c r="I623" s="2">
        <v>1</v>
      </c>
      <c r="J623" s="2">
        <v>0</v>
      </c>
      <c r="K623" s="2">
        <v>0</v>
      </c>
      <c r="L623" s="2"/>
      <c r="M623" s="2">
        <v>0</v>
      </c>
      <c r="N623" s="14"/>
      <c r="O623" s="14"/>
      <c r="P623" s="2">
        <v>135</v>
      </c>
      <c r="Q623" s="2">
        <v>135</v>
      </c>
      <c r="R623" s="2">
        <v>0</v>
      </c>
      <c r="S623">
        <f t="shared" si="45"/>
        <v>0</v>
      </c>
      <c r="T623" t="s">
        <v>1874</v>
      </c>
      <c r="U623">
        <f>_xlfn.XLOOKUP(T623,$Y$2:$Y$45,$AB$2:$AB$45)*(Q623)</f>
        <v>5.4</v>
      </c>
    </row>
    <row r="624" spans="1:21" hidden="1" x14ac:dyDescent="0.25">
      <c r="A624" s="2">
        <v>38850</v>
      </c>
      <c r="B624" s="13" t="s">
        <v>1166</v>
      </c>
      <c r="C624" s="14" t="s">
        <v>39</v>
      </c>
      <c r="D624" s="15">
        <v>45303</v>
      </c>
      <c r="E624" s="2">
        <v>0</v>
      </c>
      <c r="F624" s="14" t="s">
        <v>1167</v>
      </c>
      <c r="G624" t="s">
        <v>1168</v>
      </c>
      <c r="H624" s="14" t="s">
        <v>42</v>
      </c>
      <c r="I624" s="2">
        <v>1</v>
      </c>
      <c r="J624" s="2">
        <v>0</v>
      </c>
      <c r="K624" s="2">
        <v>0</v>
      </c>
      <c r="L624" s="2"/>
      <c r="M624" s="2">
        <v>0</v>
      </c>
      <c r="N624" s="14"/>
      <c r="O624" s="14"/>
      <c r="P624" s="2">
        <v>878.53</v>
      </c>
      <c r="Q624" s="2">
        <v>878.53</v>
      </c>
      <c r="R624" s="2">
        <v>763.94</v>
      </c>
      <c r="S624">
        <f t="shared" si="45"/>
        <v>763.94</v>
      </c>
      <c r="T624" t="s">
        <v>1874</v>
      </c>
      <c r="U624" s="1">
        <f t="shared" ref="U624:U643" si="48">_xlfn.XLOOKUP(T624,$Y$2:$Y$45,$AA$2:$AA$45)*(Q624-S624)</f>
        <v>9.167199999999994</v>
      </c>
    </row>
    <row r="625" spans="1:21" hidden="1" x14ac:dyDescent="0.25">
      <c r="A625" s="2">
        <v>38854</v>
      </c>
      <c r="B625" s="13" t="s">
        <v>1169</v>
      </c>
      <c r="C625" s="14" t="s">
        <v>39</v>
      </c>
      <c r="D625" s="15">
        <v>45303</v>
      </c>
      <c r="E625" s="2">
        <v>0</v>
      </c>
      <c r="F625" s="14" t="s">
        <v>1071</v>
      </c>
      <c r="G625" t="s">
        <v>1072</v>
      </c>
      <c r="H625" s="14" t="s">
        <v>42</v>
      </c>
      <c r="I625" s="2">
        <v>1</v>
      </c>
      <c r="J625" s="2">
        <v>0</v>
      </c>
      <c r="K625" s="2">
        <v>0</v>
      </c>
      <c r="L625" s="2"/>
      <c r="M625" s="2">
        <v>0</v>
      </c>
      <c r="N625" s="14"/>
      <c r="O625" s="14"/>
      <c r="P625" s="2">
        <v>40</v>
      </c>
      <c r="Q625" s="2">
        <v>40</v>
      </c>
      <c r="R625" s="2">
        <v>31.89</v>
      </c>
      <c r="S625">
        <f t="shared" si="45"/>
        <v>31.89</v>
      </c>
      <c r="T625" t="s">
        <v>61</v>
      </c>
      <c r="U625" s="1">
        <f t="shared" si="48"/>
        <v>0</v>
      </c>
    </row>
    <row r="626" spans="1:21" hidden="1" x14ac:dyDescent="0.25">
      <c r="A626" s="2">
        <v>38854</v>
      </c>
      <c r="B626" s="13" t="s">
        <v>1169</v>
      </c>
      <c r="C626" s="14" t="s">
        <v>39</v>
      </c>
      <c r="D626" s="15">
        <v>45303</v>
      </c>
      <c r="E626" s="2">
        <v>0</v>
      </c>
      <c r="F626" s="14" t="s">
        <v>1075</v>
      </c>
      <c r="G626" t="s">
        <v>1076</v>
      </c>
      <c r="H626" s="14" t="s">
        <v>42</v>
      </c>
      <c r="I626" s="2">
        <v>1</v>
      </c>
      <c r="J626" s="2">
        <v>0</v>
      </c>
      <c r="K626" s="2">
        <v>0</v>
      </c>
      <c r="L626" s="2"/>
      <c r="M626" s="2">
        <v>0</v>
      </c>
      <c r="N626" s="14"/>
      <c r="O626" s="14"/>
      <c r="P626" s="2">
        <v>17</v>
      </c>
      <c r="Q626" s="2">
        <v>17</v>
      </c>
      <c r="R626" s="2">
        <v>10.24</v>
      </c>
      <c r="S626">
        <f t="shared" si="45"/>
        <v>10.24</v>
      </c>
      <c r="T626" t="s">
        <v>61</v>
      </c>
      <c r="U626" s="1">
        <f t="shared" si="48"/>
        <v>0</v>
      </c>
    </row>
    <row r="627" spans="1:21" hidden="1" x14ac:dyDescent="0.25">
      <c r="A627" s="2">
        <v>38854</v>
      </c>
      <c r="B627" s="13" t="s">
        <v>1169</v>
      </c>
      <c r="C627" s="14" t="s">
        <v>39</v>
      </c>
      <c r="D627" s="15">
        <v>45303</v>
      </c>
      <c r="E627" s="2">
        <v>0</v>
      </c>
      <c r="F627" s="14" t="s">
        <v>1170</v>
      </c>
      <c r="G627" t="s">
        <v>1171</v>
      </c>
      <c r="H627" s="14" t="s">
        <v>42</v>
      </c>
      <c r="I627" s="2">
        <v>1</v>
      </c>
      <c r="J627" s="2">
        <v>0</v>
      </c>
      <c r="K627" s="2">
        <v>0</v>
      </c>
      <c r="L627" s="2"/>
      <c r="M627" s="2">
        <v>0</v>
      </c>
      <c r="N627" s="14"/>
      <c r="O627" s="14"/>
      <c r="P627" s="2">
        <v>1779</v>
      </c>
      <c r="Q627" s="2">
        <v>1779</v>
      </c>
      <c r="R627" s="2">
        <v>1390.86</v>
      </c>
      <c r="S627">
        <f t="shared" si="45"/>
        <v>1390.86</v>
      </c>
      <c r="T627" t="s">
        <v>61</v>
      </c>
      <c r="U627" s="1">
        <f t="shared" si="48"/>
        <v>0</v>
      </c>
    </row>
    <row r="628" spans="1:21" hidden="1" x14ac:dyDescent="0.25">
      <c r="A628" s="2">
        <v>38854</v>
      </c>
      <c r="B628" s="13" t="s">
        <v>1169</v>
      </c>
      <c r="C628" s="14" t="s">
        <v>39</v>
      </c>
      <c r="D628" s="15">
        <v>45303</v>
      </c>
      <c r="E628" s="2">
        <v>0</v>
      </c>
      <c r="F628" s="14" t="s">
        <v>1172</v>
      </c>
      <c r="G628" t="s">
        <v>1173</v>
      </c>
      <c r="H628" s="14" t="s">
        <v>42</v>
      </c>
      <c r="I628" s="2">
        <v>1</v>
      </c>
      <c r="J628" s="2">
        <v>0</v>
      </c>
      <c r="K628" s="2">
        <v>0</v>
      </c>
      <c r="L628" s="2"/>
      <c r="M628" s="2">
        <v>0</v>
      </c>
      <c r="N628" s="14"/>
      <c r="O628" s="14"/>
      <c r="P628" s="2">
        <v>239</v>
      </c>
      <c r="Q628" s="2">
        <v>239</v>
      </c>
      <c r="R628" s="2">
        <v>203.99</v>
      </c>
      <c r="S628">
        <f t="shared" si="45"/>
        <v>203.99</v>
      </c>
      <c r="T628" t="s">
        <v>61</v>
      </c>
      <c r="U628" s="1">
        <f t="shared" si="48"/>
        <v>0</v>
      </c>
    </row>
    <row r="629" spans="1:21" hidden="1" x14ac:dyDescent="0.25">
      <c r="A629" s="2">
        <v>38859</v>
      </c>
      <c r="B629" s="13" t="s">
        <v>1174</v>
      </c>
      <c r="C629" s="14" t="s">
        <v>39</v>
      </c>
      <c r="D629" s="15">
        <v>45303</v>
      </c>
      <c r="E629" s="2">
        <v>0</v>
      </c>
      <c r="F629" s="14" t="s">
        <v>1172</v>
      </c>
      <c r="G629" t="s">
        <v>1173</v>
      </c>
      <c r="H629" s="14" t="s">
        <v>42</v>
      </c>
      <c r="I629" s="2">
        <v>1</v>
      </c>
      <c r="J629" s="2">
        <v>0</v>
      </c>
      <c r="K629" s="2">
        <v>0</v>
      </c>
      <c r="L629" s="2"/>
      <c r="M629" s="2">
        <v>0</v>
      </c>
      <c r="N629" s="14"/>
      <c r="O629" s="14"/>
      <c r="P629" s="2">
        <v>239</v>
      </c>
      <c r="Q629" s="2">
        <v>239</v>
      </c>
      <c r="R629" s="2">
        <v>203.99</v>
      </c>
      <c r="S629">
        <f t="shared" si="45"/>
        <v>203.99</v>
      </c>
      <c r="T629" t="s">
        <v>61</v>
      </c>
      <c r="U629" s="1">
        <f t="shared" si="48"/>
        <v>0</v>
      </c>
    </row>
    <row r="630" spans="1:21" hidden="1" x14ac:dyDescent="0.25">
      <c r="A630" s="2">
        <v>38859</v>
      </c>
      <c r="B630" s="13" t="s">
        <v>1174</v>
      </c>
      <c r="C630" s="14" t="s">
        <v>39</v>
      </c>
      <c r="D630" s="15">
        <v>45303</v>
      </c>
      <c r="E630" s="2">
        <v>0</v>
      </c>
      <c r="F630" s="14" t="s">
        <v>1175</v>
      </c>
      <c r="G630" t="s">
        <v>1176</v>
      </c>
      <c r="H630" s="14" t="s">
        <v>42</v>
      </c>
      <c r="I630" s="2">
        <v>1</v>
      </c>
      <c r="J630" s="2">
        <v>0</v>
      </c>
      <c r="K630" s="2">
        <v>0</v>
      </c>
      <c r="L630" s="2"/>
      <c r="M630" s="2">
        <v>0</v>
      </c>
      <c r="N630" s="14"/>
      <c r="O630" s="14"/>
      <c r="P630" s="2">
        <v>49</v>
      </c>
      <c r="Q630" s="2">
        <v>49</v>
      </c>
      <c r="R630" s="2">
        <v>33.770000000000003</v>
      </c>
      <c r="S630">
        <f t="shared" si="45"/>
        <v>33.770000000000003</v>
      </c>
      <c r="T630" t="s">
        <v>61</v>
      </c>
      <c r="U630" s="1">
        <f t="shared" si="48"/>
        <v>0</v>
      </c>
    </row>
    <row r="631" spans="1:21" hidden="1" x14ac:dyDescent="0.25">
      <c r="A631" s="2">
        <v>38859</v>
      </c>
      <c r="B631" s="13" t="s">
        <v>1174</v>
      </c>
      <c r="C631" s="14" t="s">
        <v>39</v>
      </c>
      <c r="D631" s="15">
        <v>45303</v>
      </c>
      <c r="E631" s="2">
        <v>0</v>
      </c>
      <c r="F631" s="14" t="s">
        <v>1071</v>
      </c>
      <c r="G631" t="s">
        <v>1072</v>
      </c>
      <c r="H631" s="14" t="s">
        <v>42</v>
      </c>
      <c r="I631" s="2">
        <v>1</v>
      </c>
      <c r="J631" s="2">
        <v>0</v>
      </c>
      <c r="K631" s="2">
        <v>0</v>
      </c>
      <c r="L631" s="2"/>
      <c r="M631" s="2">
        <v>0</v>
      </c>
      <c r="N631" s="14"/>
      <c r="O631" s="14"/>
      <c r="P631" s="2">
        <v>40</v>
      </c>
      <c r="Q631" s="2">
        <v>40</v>
      </c>
      <c r="R631" s="2">
        <v>31.89</v>
      </c>
      <c r="S631">
        <f t="shared" si="45"/>
        <v>31.89</v>
      </c>
      <c r="T631" t="s">
        <v>61</v>
      </c>
      <c r="U631" s="1">
        <f t="shared" si="48"/>
        <v>0</v>
      </c>
    </row>
    <row r="632" spans="1:21" hidden="1" x14ac:dyDescent="0.25">
      <c r="A632" s="2">
        <v>38859</v>
      </c>
      <c r="B632" s="13" t="s">
        <v>1174</v>
      </c>
      <c r="C632" s="14" t="s">
        <v>39</v>
      </c>
      <c r="D632" s="15">
        <v>45303</v>
      </c>
      <c r="E632" s="2">
        <v>0</v>
      </c>
      <c r="F632" s="14" t="s">
        <v>1170</v>
      </c>
      <c r="G632" t="s">
        <v>1171</v>
      </c>
      <c r="H632" s="14" t="s">
        <v>42</v>
      </c>
      <c r="I632" s="2">
        <v>1</v>
      </c>
      <c r="J632" s="2">
        <v>0</v>
      </c>
      <c r="K632" s="2">
        <v>0</v>
      </c>
      <c r="L632" s="2"/>
      <c r="M632" s="2">
        <v>0</v>
      </c>
      <c r="N632" s="14"/>
      <c r="O632" s="14"/>
      <c r="P632" s="2">
        <v>1779</v>
      </c>
      <c r="Q632" s="2">
        <v>1779</v>
      </c>
      <c r="R632" s="2">
        <v>1390.86</v>
      </c>
      <c r="S632">
        <f t="shared" si="45"/>
        <v>1390.86</v>
      </c>
      <c r="T632" t="s">
        <v>61</v>
      </c>
      <c r="U632" s="1">
        <f t="shared" si="48"/>
        <v>0</v>
      </c>
    </row>
    <row r="633" spans="1:21" hidden="1" x14ac:dyDescent="0.25">
      <c r="A633" s="2">
        <v>38859</v>
      </c>
      <c r="B633" s="13" t="s">
        <v>1174</v>
      </c>
      <c r="C633" s="14" t="s">
        <v>39</v>
      </c>
      <c r="D633" s="15">
        <v>45303</v>
      </c>
      <c r="E633" s="2">
        <v>0</v>
      </c>
      <c r="F633" s="14" t="s">
        <v>1075</v>
      </c>
      <c r="G633" t="s">
        <v>1076</v>
      </c>
      <c r="H633" s="14" t="s">
        <v>42</v>
      </c>
      <c r="I633" s="2">
        <v>1</v>
      </c>
      <c r="J633" s="2">
        <v>0</v>
      </c>
      <c r="K633" s="2">
        <v>0</v>
      </c>
      <c r="L633" s="2"/>
      <c r="M633" s="2">
        <v>0</v>
      </c>
      <c r="N633" s="14"/>
      <c r="O633" s="14"/>
      <c r="P633" s="2">
        <v>17</v>
      </c>
      <c r="Q633" s="2">
        <v>17</v>
      </c>
      <c r="R633" s="2">
        <v>10.24</v>
      </c>
      <c r="S633">
        <f t="shared" si="45"/>
        <v>10.24</v>
      </c>
      <c r="T633" t="s">
        <v>61</v>
      </c>
      <c r="U633" s="1">
        <f t="shared" si="48"/>
        <v>0</v>
      </c>
    </row>
    <row r="634" spans="1:21" hidden="1" x14ac:dyDescent="0.25">
      <c r="A634" s="2">
        <v>38859</v>
      </c>
      <c r="B634" s="13" t="s">
        <v>1174</v>
      </c>
      <c r="C634" s="14" t="s">
        <v>39</v>
      </c>
      <c r="D634" s="15">
        <v>45303</v>
      </c>
      <c r="E634" s="2">
        <v>0</v>
      </c>
      <c r="F634" s="14" t="s">
        <v>1177</v>
      </c>
      <c r="G634" t="s">
        <v>1178</v>
      </c>
      <c r="H634" s="14" t="s">
        <v>42</v>
      </c>
      <c r="I634" s="2">
        <v>2</v>
      </c>
      <c r="J634" s="2">
        <v>0</v>
      </c>
      <c r="K634" s="2">
        <v>0</v>
      </c>
      <c r="L634" s="2"/>
      <c r="M634" s="2">
        <v>0</v>
      </c>
      <c r="N634" s="14"/>
      <c r="O634" s="14"/>
      <c r="P634" s="2">
        <v>189</v>
      </c>
      <c r="Q634" s="2">
        <v>378</v>
      </c>
      <c r="R634" s="2">
        <v>107.74</v>
      </c>
      <c r="S634">
        <f t="shared" si="45"/>
        <v>215.48</v>
      </c>
      <c r="T634" t="s">
        <v>61</v>
      </c>
      <c r="U634" s="1">
        <f t="shared" si="48"/>
        <v>0</v>
      </c>
    </row>
    <row r="635" spans="1:21" hidden="1" x14ac:dyDescent="0.25">
      <c r="A635" s="2">
        <v>38870</v>
      </c>
      <c r="B635" s="13" t="s">
        <v>1179</v>
      </c>
      <c r="C635" s="14" t="s">
        <v>39</v>
      </c>
      <c r="D635" s="15">
        <v>45307</v>
      </c>
      <c r="E635" s="2">
        <v>0</v>
      </c>
      <c r="F635" s="14" t="s">
        <v>429</v>
      </c>
      <c r="G635" t="s">
        <v>430</v>
      </c>
      <c r="H635" s="14" t="s">
        <v>42</v>
      </c>
      <c r="I635" s="2">
        <v>1</v>
      </c>
      <c r="J635" s="2">
        <v>0</v>
      </c>
      <c r="K635" s="2">
        <v>0</v>
      </c>
      <c r="L635" s="2"/>
      <c r="M635" s="2">
        <v>0</v>
      </c>
      <c r="N635" s="14"/>
      <c r="O635" s="14"/>
      <c r="P635" s="2">
        <v>118</v>
      </c>
      <c r="Q635" s="2">
        <v>118</v>
      </c>
      <c r="R635" s="2">
        <v>0</v>
      </c>
      <c r="S635">
        <f t="shared" si="45"/>
        <v>0</v>
      </c>
      <c r="T635" t="s">
        <v>56</v>
      </c>
      <c r="U635" s="1">
        <f t="shared" si="48"/>
        <v>10.030000000000001</v>
      </c>
    </row>
    <row r="636" spans="1:21" hidden="1" x14ac:dyDescent="0.25">
      <c r="A636" s="2">
        <v>38870</v>
      </c>
      <c r="B636" s="13" t="s">
        <v>1179</v>
      </c>
      <c r="C636" s="14" t="s">
        <v>39</v>
      </c>
      <c r="D636" s="15">
        <v>45307</v>
      </c>
      <c r="E636" s="2">
        <v>0</v>
      </c>
      <c r="F636" s="14" t="s">
        <v>1180</v>
      </c>
      <c r="G636" t="s">
        <v>1181</v>
      </c>
      <c r="H636" s="14" t="s">
        <v>42</v>
      </c>
      <c r="I636" s="2">
        <v>1</v>
      </c>
      <c r="J636" s="2">
        <v>0</v>
      </c>
      <c r="K636" s="2">
        <v>0</v>
      </c>
      <c r="L636" s="2"/>
      <c r="M636" s="2">
        <v>0</v>
      </c>
      <c r="N636" s="14"/>
      <c r="O636" s="14"/>
      <c r="P636" s="2">
        <v>528</v>
      </c>
      <c r="Q636" s="2">
        <v>528</v>
      </c>
      <c r="R636" s="2">
        <v>450.16</v>
      </c>
      <c r="S636">
        <f t="shared" si="45"/>
        <v>450.16</v>
      </c>
      <c r="T636" t="s">
        <v>56</v>
      </c>
      <c r="U636" s="1">
        <f t="shared" si="48"/>
        <v>6.6163999999999987</v>
      </c>
    </row>
    <row r="637" spans="1:21" hidden="1" x14ac:dyDescent="0.25">
      <c r="A637" s="2">
        <v>38870</v>
      </c>
      <c r="B637" s="13" t="s">
        <v>1179</v>
      </c>
      <c r="C637" s="14" t="s">
        <v>39</v>
      </c>
      <c r="D637" s="15">
        <v>45307</v>
      </c>
      <c r="E637" s="2">
        <v>0</v>
      </c>
      <c r="F637" s="14" t="s">
        <v>1182</v>
      </c>
      <c r="G637" t="s">
        <v>1183</v>
      </c>
      <c r="H637" s="14" t="s">
        <v>42</v>
      </c>
      <c r="I637" s="2">
        <v>1</v>
      </c>
      <c r="J637" s="2">
        <v>0</v>
      </c>
      <c r="K637" s="2">
        <v>0</v>
      </c>
      <c r="L637" s="2"/>
      <c r="M637" s="2">
        <v>0</v>
      </c>
      <c r="N637" s="14"/>
      <c r="O637" s="14"/>
      <c r="P637" s="2">
        <v>1585</v>
      </c>
      <c r="Q637" s="2">
        <v>1585</v>
      </c>
      <c r="R637" s="2">
        <v>1284.03</v>
      </c>
      <c r="S637">
        <f t="shared" si="45"/>
        <v>1284.03</v>
      </c>
      <c r="T637" t="s">
        <v>56</v>
      </c>
      <c r="U637" s="1">
        <f t="shared" si="48"/>
        <v>25.582450000000005</v>
      </c>
    </row>
    <row r="638" spans="1:21" hidden="1" x14ac:dyDescent="0.25">
      <c r="A638" s="2">
        <v>38870</v>
      </c>
      <c r="B638" s="13" t="s">
        <v>1179</v>
      </c>
      <c r="C638" s="14" t="s">
        <v>39</v>
      </c>
      <c r="D638" s="15">
        <v>45307</v>
      </c>
      <c r="E638" s="2">
        <v>0</v>
      </c>
      <c r="F638" s="14" t="s">
        <v>1184</v>
      </c>
      <c r="G638" t="s">
        <v>1185</v>
      </c>
      <c r="H638" s="14" t="s">
        <v>42</v>
      </c>
      <c r="I638" s="2">
        <v>1</v>
      </c>
      <c r="J638" s="2">
        <v>0</v>
      </c>
      <c r="K638" s="2">
        <v>0</v>
      </c>
      <c r="L638" s="2"/>
      <c r="M638" s="2">
        <v>0</v>
      </c>
      <c r="N638" s="14"/>
      <c r="O638" s="14"/>
      <c r="P638" s="2">
        <v>248</v>
      </c>
      <c r="Q638" s="2">
        <v>248</v>
      </c>
      <c r="R638" s="2">
        <v>313.3</v>
      </c>
      <c r="S638">
        <f t="shared" si="45"/>
        <v>313.3</v>
      </c>
      <c r="T638" t="s">
        <v>56</v>
      </c>
      <c r="U638" s="1">
        <f t="shared" si="48"/>
        <v>-5.5505000000000013</v>
      </c>
    </row>
    <row r="639" spans="1:21" hidden="1" x14ac:dyDescent="0.25">
      <c r="A639" s="2">
        <v>38870</v>
      </c>
      <c r="B639" s="13" t="s">
        <v>1179</v>
      </c>
      <c r="C639" s="14" t="s">
        <v>39</v>
      </c>
      <c r="D639" s="15">
        <v>45307</v>
      </c>
      <c r="E639" s="2">
        <v>0</v>
      </c>
      <c r="F639" s="14" t="s">
        <v>1186</v>
      </c>
      <c r="G639" t="s">
        <v>1187</v>
      </c>
      <c r="H639" s="14" t="s">
        <v>42</v>
      </c>
      <c r="I639" s="2">
        <v>1</v>
      </c>
      <c r="J639" s="2">
        <v>0</v>
      </c>
      <c r="K639" s="2">
        <v>0</v>
      </c>
      <c r="L639" s="2"/>
      <c r="M639" s="2">
        <v>0</v>
      </c>
      <c r="N639" s="14"/>
      <c r="O639" s="14"/>
      <c r="P639" s="2">
        <v>977</v>
      </c>
      <c r="Q639" s="2">
        <v>977</v>
      </c>
      <c r="R639" s="2">
        <v>866.35</v>
      </c>
      <c r="S639">
        <f t="shared" si="45"/>
        <v>866.35</v>
      </c>
      <c r="T639" t="s">
        <v>56</v>
      </c>
      <c r="U639" s="1">
        <f t="shared" si="48"/>
        <v>9.4052499999999988</v>
      </c>
    </row>
    <row r="640" spans="1:21" hidden="1" x14ac:dyDescent="0.25">
      <c r="A640" s="2">
        <v>38870</v>
      </c>
      <c r="B640" s="13" t="s">
        <v>1179</v>
      </c>
      <c r="C640" s="14" t="s">
        <v>39</v>
      </c>
      <c r="D640" s="15">
        <v>45307</v>
      </c>
      <c r="E640" s="2">
        <v>0</v>
      </c>
      <c r="F640" s="14" t="s">
        <v>1188</v>
      </c>
      <c r="G640" t="s">
        <v>1189</v>
      </c>
      <c r="H640" s="14" t="s">
        <v>42</v>
      </c>
      <c r="I640" s="2">
        <v>1</v>
      </c>
      <c r="J640" s="2">
        <v>0</v>
      </c>
      <c r="K640" s="2">
        <v>0</v>
      </c>
      <c r="L640" s="2"/>
      <c r="M640" s="2">
        <v>0</v>
      </c>
      <c r="N640" s="14"/>
      <c r="O640" s="14"/>
      <c r="P640" s="2">
        <v>756</v>
      </c>
      <c r="Q640" s="2">
        <v>756</v>
      </c>
      <c r="R640" s="2">
        <v>675.23</v>
      </c>
      <c r="S640">
        <f t="shared" si="45"/>
        <v>675.23</v>
      </c>
      <c r="T640" t="s">
        <v>56</v>
      </c>
      <c r="U640" s="1">
        <f t="shared" si="48"/>
        <v>6.8654499999999992</v>
      </c>
    </row>
    <row r="641" spans="1:21" hidden="1" x14ac:dyDescent="0.25">
      <c r="A641" s="2">
        <v>38872</v>
      </c>
      <c r="B641" s="13" t="s">
        <v>1190</v>
      </c>
      <c r="C641" s="14" t="s">
        <v>39</v>
      </c>
      <c r="D641" s="15">
        <v>45303</v>
      </c>
      <c r="E641" s="2">
        <v>0</v>
      </c>
      <c r="F641" s="14" t="s">
        <v>1177</v>
      </c>
      <c r="G641" t="s">
        <v>1178</v>
      </c>
      <c r="H641" s="14" t="s">
        <v>42</v>
      </c>
      <c r="I641" s="2">
        <v>1</v>
      </c>
      <c r="J641" s="2">
        <v>0</v>
      </c>
      <c r="K641" s="2">
        <v>0</v>
      </c>
      <c r="L641" s="2"/>
      <c r="M641" s="2">
        <v>0</v>
      </c>
      <c r="N641" s="14"/>
      <c r="O641" s="14"/>
      <c r="P641" s="2">
        <v>189</v>
      </c>
      <c r="Q641" s="2">
        <v>189</v>
      </c>
      <c r="R641" s="2">
        <v>107.74</v>
      </c>
      <c r="S641">
        <f t="shared" si="45"/>
        <v>107.74</v>
      </c>
      <c r="T641" t="s">
        <v>61</v>
      </c>
      <c r="U641" s="1">
        <f t="shared" si="48"/>
        <v>0</v>
      </c>
    </row>
    <row r="642" spans="1:21" hidden="1" x14ac:dyDescent="0.25">
      <c r="A642" s="2">
        <v>38875</v>
      </c>
      <c r="B642" s="13" t="s">
        <v>1191</v>
      </c>
      <c r="C642" s="14" t="s">
        <v>39</v>
      </c>
      <c r="D642" s="15">
        <v>45303</v>
      </c>
      <c r="E642" s="2">
        <v>0</v>
      </c>
      <c r="F642" s="14" t="s">
        <v>1192</v>
      </c>
      <c r="G642" t="s">
        <v>1193</v>
      </c>
      <c r="H642" s="14" t="s">
        <v>173</v>
      </c>
      <c r="I642" s="2">
        <v>1</v>
      </c>
      <c r="J642" s="2">
        <v>0</v>
      </c>
      <c r="K642" s="2">
        <v>0</v>
      </c>
      <c r="L642" s="2"/>
      <c r="M642" s="2">
        <v>0</v>
      </c>
      <c r="N642" s="14"/>
      <c r="O642" s="14"/>
      <c r="P642" s="2">
        <v>539</v>
      </c>
      <c r="Q642" s="2">
        <v>539</v>
      </c>
      <c r="R642" s="2">
        <v>532.39</v>
      </c>
      <c r="S642">
        <f t="shared" ref="S642:S705" si="49">R642*I642</f>
        <v>532.39</v>
      </c>
      <c r="T642" t="s">
        <v>61</v>
      </c>
      <c r="U642" s="1">
        <f t="shared" si="48"/>
        <v>0</v>
      </c>
    </row>
    <row r="643" spans="1:21" hidden="1" x14ac:dyDescent="0.25">
      <c r="A643" s="2">
        <v>38881</v>
      </c>
      <c r="B643" s="13" t="s">
        <v>1194</v>
      </c>
      <c r="C643" s="14" t="s">
        <v>39</v>
      </c>
      <c r="D643" s="15">
        <v>45321</v>
      </c>
      <c r="E643" s="2">
        <v>0</v>
      </c>
      <c r="F643" s="14" t="s">
        <v>274</v>
      </c>
      <c r="G643" t="s">
        <v>275</v>
      </c>
      <c r="H643" s="14" t="s">
        <v>173</v>
      </c>
      <c r="I643" s="2">
        <v>1</v>
      </c>
      <c r="J643" s="2">
        <v>0</v>
      </c>
      <c r="K643" s="2">
        <v>0</v>
      </c>
      <c r="L643" s="2"/>
      <c r="M643" s="2">
        <v>0</v>
      </c>
      <c r="N643" s="14"/>
      <c r="O643" s="14"/>
      <c r="P643" s="2">
        <v>122</v>
      </c>
      <c r="Q643" s="2">
        <v>122</v>
      </c>
      <c r="R643" s="2">
        <v>99.99</v>
      </c>
      <c r="S643">
        <f t="shared" si="49"/>
        <v>99.99</v>
      </c>
      <c r="T643" t="s">
        <v>1874</v>
      </c>
      <c r="U643" s="1">
        <f t="shared" si="48"/>
        <v>1.7608000000000004</v>
      </c>
    </row>
    <row r="644" spans="1:21" x14ac:dyDescent="0.25">
      <c r="A644" s="2">
        <v>38881</v>
      </c>
      <c r="B644" s="13" t="s">
        <v>1194</v>
      </c>
      <c r="C644" s="14" t="s">
        <v>39</v>
      </c>
      <c r="D644" s="15">
        <v>45321</v>
      </c>
      <c r="E644" s="2">
        <v>0</v>
      </c>
      <c r="F644" s="14" t="s">
        <v>219</v>
      </c>
      <c r="G644" t="s">
        <v>220</v>
      </c>
      <c r="H644" s="14" t="s">
        <v>93</v>
      </c>
      <c r="I644" s="2">
        <v>1</v>
      </c>
      <c r="J644" s="2">
        <v>0</v>
      </c>
      <c r="K644" s="2">
        <v>0</v>
      </c>
      <c r="L644" s="2"/>
      <c r="M644" s="2">
        <v>0</v>
      </c>
      <c r="N644" s="14"/>
      <c r="O644" s="14"/>
      <c r="P644" s="2">
        <v>149</v>
      </c>
      <c r="Q644" s="2">
        <v>149</v>
      </c>
      <c r="R644" s="2">
        <v>0</v>
      </c>
      <c r="S644">
        <f t="shared" si="49"/>
        <v>0</v>
      </c>
      <c r="T644" t="s">
        <v>1874</v>
      </c>
      <c r="U644">
        <f>_xlfn.XLOOKUP(T644,$Y$2:$Y$45,$AB$2:$AB$45)*(Q644)</f>
        <v>5.96</v>
      </c>
    </row>
    <row r="645" spans="1:21" hidden="1" x14ac:dyDescent="0.25">
      <c r="A645" s="2">
        <v>38883</v>
      </c>
      <c r="B645" s="13" t="s">
        <v>1195</v>
      </c>
      <c r="C645" s="14" t="s">
        <v>39</v>
      </c>
      <c r="D645" s="15">
        <v>45303</v>
      </c>
      <c r="E645" s="2">
        <v>0</v>
      </c>
      <c r="F645" s="14" t="s">
        <v>1172</v>
      </c>
      <c r="G645" t="s">
        <v>1173</v>
      </c>
      <c r="H645" s="14" t="s">
        <v>42</v>
      </c>
      <c r="I645" s="2">
        <v>1</v>
      </c>
      <c r="J645" s="2">
        <v>0</v>
      </c>
      <c r="K645" s="2">
        <v>0</v>
      </c>
      <c r="L645" s="2"/>
      <c r="M645" s="2">
        <v>0</v>
      </c>
      <c r="N645" s="14"/>
      <c r="O645" s="14"/>
      <c r="P645" s="2">
        <v>239</v>
      </c>
      <c r="Q645" s="2">
        <v>239</v>
      </c>
      <c r="R645" s="2">
        <v>203.99</v>
      </c>
      <c r="S645">
        <f t="shared" si="49"/>
        <v>203.99</v>
      </c>
      <c r="T645" t="s">
        <v>61</v>
      </c>
      <c r="U645" s="1">
        <f t="shared" ref="U645:U651" si="50">_xlfn.XLOOKUP(T645,$Y$2:$Y$45,$AA$2:$AA$45)*(Q645-S645)</f>
        <v>0</v>
      </c>
    </row>
    <row r="646" spans="1:21" hidden="1" x14ac:dyDescent="0.25">
      <c r="A646" s="2">
        <v>38883</v>
      </c>
      <c r="B646" s="13" t="s">
        <v>1195</v>
      </c>
      <c r="C646" s="14" t="s">
        <v>39</v>
      </c>
      <c r="D646" s="15">
        <v>45303</v>
      </c>
      <c r="E646" s="2">
        <v>0</v>
      </c>
      <c r="F646" s="14" t="s">
        <v>1170</v>
      </c>
      <c r="G646" t="s">
        <v>1171</v>
      </c>
      <c r="H646" s="14" t="s">
        <v>42</v>
      </c>
      <c r="I646" s="2">
        <v>1</v>
      </c>
      <c r="J646" s="2">
        <v>0</v>
      </c>
      <c r="K646" s="2">
        <v>0</v>
      </c>
      <c r="L646" s="2"/>
      <c r="M646" s="2">
        <v>0</v>
      </c>
      <c r="N646" s="14"/>
      <c r="O646" s="14"/>
      <c r="P646" s="2">
        <v>1779</v>
      </c>
      <c r="Q646" s="2">
        <v>1779</v>
      </c>
      <c r="R646" s="2">
        <v>1390.86</v>
      </c>
      <c r="S646">
        <f t="shared" si="49"/>
        <v>1390.86</v>
      </c>
      <c r="T646" t="s">
        <v>61</v>
      </c>
      <c r="U646" s="1">
        <f t="shared" si="50"/>
        <v>0</v>
      </c>
    </row>
    <row r="647" spans="1:21" hidden="1" x14ac:dyDescent="0.25">
      <c r="A647" s="2">
        <v>38883</v>
      </c>
      <c r="B647" s="13" t="s">
        <v>1195</v>
      </c>
      <c r="C647" s="14" t="s">
        <v>39</v>
      </c>
      <c r="D647" s="15">
        <v>45303</v>
      </c>
      <c r="E647" s="2">
        <v>0</v>
      </c>
      <c r="F647" s="14" t="s">
        <v>1071</v>
      </c>
      <c r="G647" t="s">
        <v>1072</v>
      </c>
      <c r="H647" s="14" t="s">
        <v>42</v>
      </c>
      <c r="I647" s="2">
        <v>1</v>
      </c>
      <c r="J647" s="2">
        <v>0</v>
      </c>
      <c r="K647" s="2">
        <v>0</v>
      </c>
      <c r="L647" s="2"/>
      <c r="M647" s="2">
        <v>0</v>
      </c>
      <c r="N647" s="14"/>
      <c r="O647" s="14"/>
      <c r="P647" s="2">
        <v>40</v>
      </c>
      <c r="Q647" s="2">
        <v>40</v>
      </c>
      <c r="R647" s="2">
        <v>31.89</v>
      </c>
      <c r="S647">
        <f t="shared" si="49"/>
        <v>31.89</v>
      </c>
      <c r="T647" t="s">
        <v>61</v>
      </c>
      <c r="U647" s="1">
        <f t="shared" si="50"/>
        <v>0</v>
      </c>
    </row>
    <row r="648" spans="1:21" hidden="1" x14ac:dyDescent="0.25">
      <c r="A648" s="2">
        <v>38883</v>
      </c>
      <c r="B648" s="13" t="s">
        <v>1195</v>
      </c>
      <c r="C648" s="14" t="s">
        <v>39</v>
      </c>
      <c r="D648" s="15">
        <v>45303</v>
      </c>
      <c r="E648" s="2">
        <v>0</v>
      </c>
      <c r="F648" s="14" t="s">
        <v>1075</v>
      </c>
      <c r="G648" t="s">
        <v>1076</v>
      </c>
      <c r="H648" s="14" t="s">
        <v>42</v>
      </c>
      <c r="I648" s="2">
        <v>1</v>
      </c>
      <c r="J648" s="2">
        <v>0</v>
      </c>
      <c r="K648" s="2">
        <v>0</v>
      </c>
      <c r="L648" s="2"/>
      <c r="M648" s="2">
        <v>0</v>
      </c>
      <c r="N648" s="14"/>
      <c r="O648" s="14"/>
      <c r="P648" s="2">
        <v>17</v>
      </c>
      <c r="Q648" s="2">
        <v>17</v>
      </c>
      <c r="R648" s="2">
        <v>10.24</v>
      </c>
      <c r="S648">
        <f t="shared" si="49"/>
        <v>10.24</v>
      </c>
      <c r="T648" t="s">
        <v>61</v>
      </c>
      <c r="U648" s="1">
        <f t="shared" si="50"/>
        <v>0</v>
      </c>
    </row>
    <row r="649" spans="1:21" hidden="1" x14ac:dyDescent="0.25">
      <c r="A649" s="2">
        <v>38883</v>
      </c>
      <c r="B649" s="13" t="s">
        <v>1195</v>
      </c>
      <c r="C649" s="14" t="s">
        <v>39</v>
      </c>
      <c r="D649" s="15">
        <v>45303</v>
      </c>
      <c r="E649" s="2">
        <v>0</v>
      </c>
      <c r="F649" s="14" t="s">
        <v>1175</v>
      </c>
      <c r="G649" t="s">
        <v>1176</v>
      </c>
      <c r="H649" s="14" t="s">
        <v>42</v>
      </c>
      <c r="I649" s="2">
        <v>1</v>
      </c>
      <c r="J649" s="2">
        <v>0</v>
      </c>
      <c r="K649" s="2">
        <v>0</v>
      </c>
      <c r="L649" s="2"/>
      <c r="M649" s="2">
        <v>0</v>
      </c>
      <c r="N649" s="14"/>
      <c r="O649" s="14"/>
      <c r="P649" s="2">
        <v>49</v>
      </c>
      <c r="Q649" s="2">
        <v>49</v>
      </c>
      <c r="R649" s="2">
        <v>33.770000000000003</v>
      </c>
      <c r="S649">
        <f t="shared" si="49"/>
        <v>33.770000000000003</v>
      </c>
      <c r="T649" t="s">
        <v>61</v>
      </c>
      <c r="U649" s="1">
        <f t="shared" si="50"/>
        <v>0</v>
      </c>
    </row>
    <row r="650" spans="1:21" hidden="1" x14ac:dyDescent="0.25">
      <c r="A650" s="2">
        <v>38886</v>
      </c>
      <c r="B650" s="13" t="s">
        <v>1196</v>
      </c>
      <c r="C650" s="14" t="s">
        <v>39</v>
      </c>
      <c r="D650" s="15">
        <v>45303</v>
      </c>
      <c r="E650" s="2">
        <v>0</v>
      </c>
      <c r="F650" s="14" t="s">
        <v>1197</v>
      </c>
      <c r="G650" t="s">
        <v>1198</v>
      </c>
      <c r="H650" s="14" t="s">
        <v>42</v>
      </c>
      <c r="I650" s="2">
        <v>1</v>
      </c>
      <c r="J650" s="2">
        <v>0</v>
      </c>
      <c r="K650" s="2">
        <v>0</v>
      </c>
      <c r="L650" s="2"/>
      <c r="M650" s="2">
        <v>0</v>
      </c>
      <c r="N650" s="14"/>
      <c r="O650" s="14"/>
      <c r="P650" s="2">
        <v>1034</v>
      </c>
      <c r="Q650" s="2">
        <v>1034</v>
      </c>
      <c r="R650" s="2">
        <v>775.11</v>
      </c>
      <c r="S650">
        <f t="shared" si="49"/>
        <v>775.11</v>
      </c>
      <c r="T650" t="s">
        <v>61</v>
      </c>
      <c r="U650" s="1">
        <f t="shared" si="50"/>
        <v>0</v>
      </c>
    </row>
    <row r="651" spans="1:21" hidden="1" x14ac:dyDescent="0.25">
      <c r="A651" s="2">
        <v>38886</v>
      </c>
      <c r="B651" s="13" t="s">
        <v>1196</v>
      </c>
      <c r="C651" s="14" t="s">
        <v>39</v>
      </c>
      <c r="D651" s="15">
        <v>45303</v>
      </c>
      <c r="E651" s="2">
        <v>0</v>
      </c>
      <c r="F651" s="14" t="s">
        <v>1177</v>
      </c>
      <c r="G651" t="s">
        <v>1178</v>
      </c>
      <c r="H651" s="14" t="s">
        <v>42</v>
      </c>
      <c r="I651" s="2">
        <v>1</v>
      </c>
      <c r="J651" s="2">
        <v>0</v>
      </c>
      <c r="K651" s="2">
        <v>0</v>
      </c>
      <c r="L651" s="2"/>
      <c r="M651" s="2">
        <v>0</v>
      </c>
      <c r="N651" s="14"/>
      <c r="O651" s="14"/>
      <c r="P651" s="2">
        <v>189</v>
      </c>
      <c r="Q651" s="2">
        <v>189</v>
      </c>
      <c r="R651" s="2">
        <v>107.74</v>
      </c>
      <c r="S651">
        <f t="shared" si="49"/>
        <v>107.74</v>
      </c>
      <c r="T651" t="s">
        <v>61</v>
      </c>
      <c r="U651" s="1">
        <f t="shared" si="50"/>
        <v>0</v>
      </c>
    </row>
    <row r="652" spans="1:21" x14ac:dyDescent="0.25">
      <c r="A652" s="2">
        <v>38888</v>
      </c>
      <c r="B652" s="13" t="s">
        <v>1199</v>
      </c>
      <c r="C652" s="14" t="s">
        <v>39</v>
      </c>
      <c r="D652" s="15">
        <v>45303</v>
      </c>
      <c r="E652" s="2">
        <v>0</v>
      </c>
      <c r="F652" s="14" t="s">
        <v>219</v>
      </c>
      <c r="G652" t="s">
        <v>220</v>
      </c>
      <c r="H652" s="14" t="s">
        <v>93</v>
      </c>
      <c r="I652" s="2">
        <v>1</v>
      </c>
      <c r="J652" s="2">
        <v>0</v>
      </c>
      <c r="K652" s="2">
        <v>0</v>
      </c>
      <c r="L652" s="2"/>
      <c r="M652" s="2">
        <v>0</v>
      </c>
      <c r="N652" s="14"/>
      <c r="O652" s="14"/>
      <c r="P652" s="2">
        <v>149</v>
      </c>
      <c r="Q652" s="2">
        <v>149</v>
      </c>
      <c r="R652" s="2">
        <v>0</v>
      </c>
      <c r="S652">
        <f t="shared" si="49"/>
        <v>0</v>
      </c>
      <c r="T652" t="s">
        <v>1874</v>
      </c>
      <c r="U652">
        <f>_xlfn.XLOOKUP(T652,$Y$2:$Y$45,$AB$2:$AB$45)*(Q652)</f>
        <v>5.96</v>
      </c>
    </row>
    <row r="653" spans="1:21" hidden="1" x14ac:dyDescent="0.25">
      <c r="A653" s="2">
        <v>38888</v>
      </c>
      <c r="B653" s="13" t="s">
        <v>1199</v>
      </c>
      <c r="C653" s="14" t="s">
        <v>39</v>
      </c>
      <c r="D653" s="15">
        <v>45303</v>
      </c>
      <c r="E653" s="2">
        <v>0</v>
      </c>
      <c r="F653" s="14" t="s">
        <v>217</v>
      </c>
      <c r="G653" t="s">
        <v>218</v>
      </c>
      <c r="H653" s="14" t="s">
        <v>173</v>
      </c>
      <c r="I653" s="2">
        <v>1</v>
      </c>
      <c r="J653" s="2">
        <v>0</v>
      </c>
      <c r="K653" s="2">
        <v>0</v>
      </c>
      <c r="L653" s="2"/>
      <c r="M653" s="2">
        <v>0</v>
      </c>
      <c r="N653" s="14"/>
      <c r="O653" s="14"/>
      <c r="P653" s="2">
        <v>83</v>
      </c>
      <c r="Q653" s="2">
        <v>83</v>
      </c>
      <c r="R653" s="2">
        <v>67.989999999999995</v>
      </c>
      <c r="S653">
        <f t="shared" si="49"/>
        <v>67.989999999999995</v>
      </c>
      <c r="T653" t="s">
        <v>1874</v>
      </c>
      <c r="U653" s="1">
        <f t="shared" ref="U653:U677" si="51">_xlfn.XLOOKUP(T653,$Y$2:$Y$45,$AA$2:$AA$45)*(Q653-S653)</f>
        <v>1.2008000000000005</v>
      </c>
    </row>
    <row r="654" spans="1:21" hidden="1" x14ac:dyDescent="0.25">
      <c r="A654" s="2">
        <v>38890</v>
      </c>
      <c r="B654" s="13" t="s">
        <v>1200</v>
      </c>
      <c r="C654" s="14" t="s">
        <v>39</v>
      </c>
      <c r="D654" s="15">
        <v>45303</v>
      </c>
      <c r="E654" s="2">
        <v>0</v>
      </c>
      <c r="F654" s="14" t="s">
        <v>1192</v>
      </c>
      <c r="G654" t="s">
        <v>1193</v>
      </c>
      <c r="H654" s="14" t="s">
        <v>173</v>
      </c>
      <c r="I654" s="2">
        <v>1</v>
      </c>
      <c r="J654" s="2">
        <v>0</v>
      </c>
      <c r="K654" s="2">
        <v>0</v>
      </c>
      <c r="L654" s="2"/>
      <c r="M654" s="2">
        <v>0</v>
      </c>
      <c r="N654" s="14"/>
      <c r="O654" s="14"/>
      <c r="P654" s="2">
        <v>539</v>
      </c>
      <c r="Q654" s="2">
        <v>539</v>
      </c>
      <c r="R654" s="2">
        <v>532.39</v>
      </c>
      <c r="S654">
        <f t="shared" si="49"/>
        <v>532.39</v>
      </c>
      <c r="T654" t="s">
        <v>61</v>
      </c>
      <c r="U654" s="1">
        <f t="shared" si="51"/>
        <v>0</v>
      </c>
    </row>
    <row r="655" spans="1:21" hidden="1" x14ac:dyDescent="0.25">
      <c r="A655" s="2">
        <v>38892</v>
      </c>
      <c r="B655" s="13" t="s">
        <v>1201</v>
      </c>
      <c r="C655" s="14" t="s">
        <v>39</v>
      </c>
      <c r="D655" s="15">
        <v>45303</v>
      </c>
      <c r="E655" s="2">
        <v>0</v>
      </c>
      <c r="F655" s="14" t="s">
        <v>1175</v>
      </c>
      <c r="G655" t="s">
        <v>1176</v>
      </c>
      <c r="H655" s="14" t="s">
        <v>42</v>
      </c>
      <c r="I655" s="2">
        <v>1</v>
      </c>
      <c r="J655" s="2">
        <v>0</v>
      </c>
      <c r="K655" s="2">
        <v>0</v>
      </c>
      <c r="L655" s="2"/>
      <c r="M655" s="2">
        <v>0</v>
      </c>
      <c r="N655" s="14"/>
      <c r="O655" s="14"/>
      <c r="P655" s="2">
        <v>49</v>
      </c>
      <c r="Q655" s="2">
        <v>49</v>
      </c>
      <c r="R655" s="2">
        <v>33.770000000000003</v>
      </c>
      <c r="S655">
        <f t="shared" si="49"/>
        <v>33.770000000000003</v>
      </c>
      <c r="T655" t="s">
        <v>61</v>
      </c>
      <c r="U655" s="1">
        <f t="shared" si="51"/>
        <v>0</v>
      </c>
    </row>
    <row r="656" spans="1:21" hidden="1" x14ac:dyDescent="0.25">
      <c r="A656" s="2">
        <v>38892</v>
      </c>
      <c r="B656" s="13" t="s">
        <v>1201</v>
      </c>
      <c r="C656" s="14" t="s">
        <v>39</v>
      </c>
      <c r="D656" s="15">
        <v>45303</v>
      </c>
      <c r="E656" s="2">
        <v>0</v>
      </c>
      <c r="F656" s="14" t="s">
        <v>1172</v>
      </c>
      <c r="G656" t="s">
        <v>1173</v>
      </c>
      <c r="H656" s="14" t="s">
        <v>42</v>
      </c>
      <c r="I656" s="2">
        <v>1</v>
      </c>
      <c r="J656" s="2">
        <v>0</v>
      </c>
      <c r="K656" s="2">
        <v>0</v>
      </c>
      <c r="L656" s="2"/>
      <c r="M656" s="2">
        <v>0</v>
      </c>
      <c r="N656" s="14"/>
      <c r="O656" s="14"/>
      <c r="P656" s="2">
        <v>239</v>
      </c>
      <c r="Q656" s="2">
        <v>239</v>
      </c>
      <c r="R656" s="2">
        <v>203.99</v>
      </c>
      <c r="S656">
        <f t="shared" si="49"/>
        <v>203.99</v>
      </c>
      <c r="T656" t="s">
        <v>61</v>
      </c>
      <c r="U656" s="1">
        <f t="shared" si="51"/>
        <v>0</v>
      </c>
    </row>
    <row r="657" spans="1:21" hidden="1" x14ac:dyDescent="0.25">
      <c r="A657" s="2">
        <v>38892</v>
      </c>
      <c r="B657" s="13" t="s">
        <v>1201</v>
      </c>
      <c r="C657" s="14" t="s">
        <v>39</v>
      </c>
      <c r="D657" s="15">
        <v>45303</v>
      </c>
      <c r="E657" s="2">
        <v>0</v>
      </c>
      <c r="F657" s="14" t="s">
        <v>1075</v>
      </c>
      <c r="G657" t="s">
        <v>1076</v>
      </c>
      <c r="H657" s="14" t="s">
        <v>42</v>
      </c>
      <c r="I657" s="2">
        <v>1</v>
      </c>
      <c r="J657" s="2">
        <v>0</v>
      </c>
      <c r="K657" s="2">
        <v>0</v>
      </c>
      <c r="L657" s="2"/>
      <c r="M657" s="2">
        <v>0</v>
      </c>
      <c r="N657" s="14"/>
      <c r="O657" s="14"/>
      <c r="P657" s="2">
        <v>17</v>
      </c>
      <c r="Q657" s="2">
        <v>17</v>
      </c>
      <c r="R657" s="2">
        <v>10.24</v>
      </c>
      <c r="S657">
        <f t="shared" si="49"/>
        <v>10.24</v>
      </c>
      <c r="T657" t="s">
        <v>61</v>
      </c>
      <c r="U657" s="1">
        <f t="shared" si="51"/>
        <v>0</v>
      </c>
    </row>
    <row r="658" spans="1:21" hidden="1" x14ac:dyDescent="0.25">
      <c r="A658" s="2">
        <v>38892</v>
      </c>
      <c r="B658" s="13" t="s">
        <v>1201</v>
      </c>
      <c r="C658" s="14" t="s">
        <v>39</v>
      </c>
      <c r="D658" s="15">
        <v>45303</v>
      </c>
      <c r="E658" s="2">
        <v>0</v>
      </c>
      <c r="F658" s="14" t="s">
        <v>1071</v>
      </c>
      <c r="G658" t="s">
        <v>1072</v>
      </c>
      <c r="H658" s="14" t="s">
        <v>42</v>
      </c>
      <c r="I658" s="2">
        <v>1</v>
      </c>
      <c r="J658" s="2">
        <v>0</v>
      </c>
      <c r="K658" s="2">
        <v>0</v>
      </c>
      <c r="L658" s="2"/>
      <c r="M658" s="2">
        <v>0</v>
      </c>
      <c r="N658" s="14"/>
      <c r="O658" s="14"/>
      <c r="P658" s="2">
        <v>40</v>
      </c>
      <c r="Q658" s="2">
        <v>40</v>
      </c>
      <c r="R658" s="2">
        <v>31.89</v>
      </c>
      <c r="S658">
        <f t="shared" si="49"/>
        <v>31.89</v>
      </c>
      <c r="T658" t="s">
        <v>61</v>
      </c>
      <c r="U658" s="1">
        <f t="shared" si="51"/>
        <v>0</v>
      </c>
    </row>
    <row r="659" spans="1:21" hidden="1" x14ac:dyDescent="0.25">
      <c r="A659" s="2">
        <v>38892</v>
      </c>
      <c r="B659" s="13" t="s">
        <v>1201</v>
      </c>
      <c r="C659" s="14" t="s">
        <v>39</v>
      </c>
      <c r="D659" s="15">
        <v>45303</v>
      </c>
      <c r="E659" s="2">
        <v>0</v>
      </c>
      <c r="F659" s="14" t="s">
        <v>1170</v>
      </c>
      <c r="G659" t="s">
        <v>1171</v>
      </c>
      <c r="H659" s="14" t="s">
        <v>42</v>
      </c>
      <c r="I659" s="2">
        <v>1</v>
      </c>
      <c r="J659" s="2">
        <v>0</v>
      </c>
      <c r="K659" s="2">
        <v>0</v>
      </c>
      <c r="L659" s="2"/>
      <c r="M659" s="2">
        <v>0</v>
      </c>
      <c r="N659" s="14"/>
      <c r="O659" s="14"/>
      <c r="P659" s="2">
        <v>1779</v>
      </c>
      <c r="Q659" s="2">
        <v>1779</v>
      </c>
      <c r="R659" s="2">
        <v>1390.86</v>
      </c>
      <c r="S659">
        <f t="shared" si="49"/>
        <v>1390.86</v>
      </c>
      <c r="T659" t="s">
        <v>61</v>
      </c>
      <c r="U659" s="1">
        <f t="shared" si="51"/>
        <v>0</v>
      </c>
    </row>
    <row r="660" spans="1:21" hidden="1" x14ac:dyDescent="0.25">
      <c r="A660" s="2">
        <v>38894</v>
      </c>
      <c r="B660" s="13" t="s">
        <v>1202</v>
      </c>
      <c r="C660" s="14" t="s">
        <v>39</v>
      </c>
      <c r="D660" s="15">
        <v>45321</v>
      </c>
      <c r="E660" s="2">
        <v>0</v>
      </c>
      <c r="F660" s="14" t="s">
        <v>983</v>
      </c>
      <c r="G660" t="s">
        <v>1203</v>
      </c>
      <c r="H660" s="14" t="s">
        <v>42</v>
      </c>
      <c r="I660" s="2">
        <v>1</v>
      </c>
      <c r="J660" s="2">
        <v>0</v>
      </c>
      <c r="K660" s="2">
        <v>0</v>
      </c>
      <c r="L660" s="2"/>
      <c r="M660" s="2">
        <v>0</v>
      </c>
      <c r="N660" s="14"/>
      <c r="O660" s="14"/>
      <c r="P660" s="2">
        <v>5965.72</v>
      </c>
      <c r="Q660" s="2">
        <v>5965.72</v>
      </c>
      <c r="R660" s="2">
        <v>4772.58</v>
      </c>
      <c r="S660">
        <f t="shared" si="49"/>
        <v>4772.58</v>
      </c>
      <c r="T660" t="s">
        <v>1874</v>
      </c>
      <c r="U660" s="1">
        <f t="shared" si="51"/>
        <v>95.451200000000028</v>
      </c>
    </row>
    <row r="661" spans="1:21" hidden="1" x14ac:dyDescent="0.25">
      <c r="A661" s="2">
        <v>38895</v>
      </c>
      <c r="B661" s="13" t="s">
        <v>1204</v>
      </c>
      <c r="C661" s="14" t="s">
        <v>39</v>
      </c>
      <c r="D661" s="15">
        <v>45303</v>
      </c>
      <c r="E661" s="2">
        <v>0</v>
      </c>
      <c r="F661" s="14" t="s">
        <v>1071</v>
      </c>
      <c r="G661" t="s">
        <v>1072</v>
      </c>
      <c r="H661" s="14" t="s">
        <v>42</v>
      </c>
      <c r="I661" s="2">
        <v>1</v>
      </c>
      <c r="J661" s="2">
        <v>0</v>
      </c>
      <c r="K661" s="2">
        <v>0</v>
      </c>
      <c r="L661" s="2"/>
      <c r="M661" s="2">
        <v>0</v>
      </c>
      <c r="N661" s="14"/>
      <c r="O661" s="14"/>
      <c r="P661" s="2">
        <v>40</v>
      </c>
      <c r="Q661" s="2">
        <v>40</v>
      </c>
      <c r="R661" s="2">
        <v>31.89</v>
      </c>
      <c r="S661">
        <f t="shared" si="49"/>
        <v>31.89</v>
      </c>
      <c r="T661" t="s">
        <v>61</v>
      </c>
      <c r="U661" s="1">
        <f t="shared" si="51"/>
        <v>0</v>
      </c>
    </row>
    <row r="662" spans="1:21" hidden="1" x14ac:dyDescent="0.25">
      <c r="A662" s="2">
        <v>38895</v>
      </c>
      <c r="B662" s="13" t="s">
        <v>1204</v>
      </c>
      <c r="C662" s="14" t="s">
        <v>39</v>
      </c>
      <c r="D662" s="15">
        <v>45303</v>
      </c>
      <c r="E662" s="2">
        <v>0</v>
      </c>
      <c r="F662" s="14" t="s">
        <v>1170</v>
      </c>
      <c r="G662" t="s">
        <v>1171</v>
      </c>
      <c r="H662" s="14" t="s">
        <v>42</v>
      </c>
      <c r="I662" s="2">
        <v>1</v>
      </c>
      <c r="J662" s="2">
        <v>0</v>
      </c>
      <c r="K662" s="2">
        <v>0</v>
      </c>
      <c r="L662" s="2"/>
      <c r="M662" s="2">
        <v>0</v>
      </c>
      <c r="N662" s="14"/>
      <c r="O662" s="14"/>
      <c r="P662" s="2">
        <v>1779</v>
      </c>
      <c r="Q662" s="2">
        <v>1779</v>
      </c>
      <c r="R662" s="2">
        <v>1390.86</v>
      </c>
      <c r="S662">
        <f t="shared" si="49"/>
        <v>1390.86</v>
      </c>
      <c r="T662" t="s">
        <v>61</v>
      </c>
      <c r="U662" s="1">
        <f t="shared" si="51"/>
        <v>0</v>
      </c>
    </row>
    <row r="663" spans="1:21" hidden="1" x14ac:dyDescent="0.25">
      <c r="A663" s="2">
        <v>38895</v>
      </c>
      <c r="B663" s="13" t="s">
        <v>1204</v>
      </c>
      <c r="C663" s="14" t="s">
        <v>39</v>
      </c>
      <c r="D663" s="15">
        <v>45303</v>
      </c>
      <c r="E663" s="2">
        <v>0</v>
      </c>
      <c r="F663" s="14" t="s">
        <v>1172</v>
      </c>
      <c r="G663" t="s">
        <v>1173</v>
      </c>
      <c r="H663" s="14" t="s">
        <v>42</v>
      </c>
      <c r="I663" s="2">
        <v>1</v>
      </c>
      <c r="J663" s="2">
        <v>0</v>
      </c>
      <c r="K663" s="2">
        <v>0</v>
      </c>
      <c r="L663" s="2"/>
      <c r="M663" s="2">
        <v>0</v>
      </c>
      <c r="N663" s="14"/>
      <c r="O663" s="14"/>
      <c r="P663" s="2">
        <v>239</v>
      </c>
      <c r="Q663" s="2">
        <v>239</v>
      </c>
      <c r="R663" s="2">
        <v>203.99</v>
      </c>
      <c r="S663">
        <f t="shared" si="49"/>
        <v>203.99</v>
      </c>
      <c r="T663" t="s">
        <v>61</v>
      </c>
      <c r="U663" s="1">
        <f t="shared" si="51"/>
        <v>0</v>
      </c>
    </row>
    <row r="664" spans="1:21" hidden="1" x14ac:dyDescent="0.25">
      <c r="A664" s="2">
        <v>38895</v>
      </c>
      <c r="B664" s="13" t="s">
        <v>1204</v>
      </c>
      <c r="C664" s="14" t="s">
        <v>39</v>
      </c>
      <c r="D664" s="15">
        <v>45303</v>
      </c>
      <c r="E664" s="2">
        <v>0</v>
      </c>
      <c r="F664" s="14" t="s">
        <v>1075</v>
      </c>
      <c r="G664" t="s">
        <v>1076</v>
      </c>
      <c r="H664" s="14" t="s">
        <v>42</v>
      </c>
      <c r="I664" s="2">
        <v>1</v>
      </c>
      <c r="J664" s="2">
        <v>0</v>
      </c>
      <c r="K664" s="2">
        <v>0</v>
      </c>
      <c r="L664" s="2"/>
      <c r="M664" s="2">
        <v>0</v>
      </c>
      <c r="N664" s="14"/>
      <c r="O664" s="14"/>
      <c r="P664" s="2">
        <v>17</v>
      </c>
      <c r="Q664" s="2">
        <v>17</v>
      </c>
      <c r="R664" s="2">
        <v>10.24</v>
      </c>
      <c r="S664">
        <f t="shared" si="49"/>
        <v>10.24</v>
      </c>
      <c r="T664" t="s">
        <v>61</v>
      </c>
      <c r="U664" s="1">
        <f t="shared" si="51"/>
        <v>0</v>
      </c>
    </row>
    <row r="665" spans="1:21" hidden="1" x14ac:dyDescent="0.25">
      <c r="A665" s="2">
        <v>38895</v>
      </c>
      <c r="B665" s="13" t="s">
        <v>1204</v>
      </c>
      <c r="C665" s="14" t="s">
        <v>39</v>
      </c>
      <c r="D665" s="15">
        <v>45303</v>
      </c>
      <c r="E665" s="2">
        <v>0</v>
      </c>
      <c r="F665" s="14" t="s">
        <v>1177</v>
      </c>
      <c r="G665" t="s">
        <v>1178</v>
      </c>
      <c r="H665" s="14" t="s">
        <v>42</v>
      </c>
      <c r="I665" s="2">
        <v>2</v>
      </c>
      <c r="J665" s="2">
        <v>0</v>
      </c>
      <c r="K665" s="2">
        <v>0</v>
      </c>
      <c r="L665" s="2"/>
      <c r="M665" s="2">
        <v>0</v>
      </c>
      <c r="N665" s="14"/>
      <c r="O665" s="14"/>
      <c r="P665" s="2">
        <v>189</v>
      </c>
      <c r="Q665" s="2">
        <v>378</v>
      </c>
      <c r="R665" s="2">
        <v>107.74</v>
      </c>
      <c r="S665">
        <f t="shared" si="49"/>
        <v>215.48</v>
      </c>
      <c r="T665" t="s">
        <v>61</v>
      </c>
      <c r="U665" s="1">
        <f t="shared" si="51"/>
        <v>0</v>
      </c>
    </row>
    <row r="666" spans="1:21" hidden="1" x14ac:dyDescent="0.25">
      <c r="A666" s="2">
        <v>38895</v>
      </c>
      <c r="B666" s="13" t="s">
        <v>1204</v>
      </c>
      <c r="C666" s="14" t="s">
        <v>39</v>
      </c>
      <c r="D666" s="15">
        <v>45303</v>
      </c>
      <c r="E666" s="2">
        <v>0</v>
      </c>
      <c r="F666" s="14" t="s">
        <v>1175</v>
      </c>
      <c r="G666" t="s">
        <v>1176</v>
      </c>
      <c r="H666" s="14" t="s">
        <v>42</v>
      </c>
      <c r="I666" s="2">
        <v>1</v>
      </c>
      <c r="J666" s="2">
        <v>0</v>
      </c>
      <c r="K666" s="2">
        <v>0</v>
      </c>
      <c r="L666" s="2"/>
      <c r="M666" s="2">
        <v>0</v>
      </c>
      <c r="N666" s="14"/>
      <c r="O666" s="14"/>
      <c r="P666" s="2">
        <v>49</v>
      </c>
      <c r="Q666" s="2">
        <v>49</v>
      </c>
      <c r="R666" s="2">
        <v>33.770000000000003</v>
      </c>
      <c r="S666">
        <f t="shared" si="49"/>
        <v>33.770000000000003</v>
      </c>
      <c r="T666" t="s">
        <v>61</v>
      </c>
      <c r="U666" s="1">
        <f t="shared" si="51"/>
        <v>0</v>
      </c>
    </row>
    <row r="667" spans="1:21" hidden="1" x14ac:dyDescent="0.25">
      <c r="A667" s="2">
        <v>38896</v>
      </c>
      <c r="B667" s="13" t="s">
        <v>1205</v>
      </c>
      <c r="C667" s="14" t="s">
        <v>39</v>
      </c>
      <c r="D667" s="15">
        <v>45303</v>
      </c>
      <c r="E667" s="2">
        <v>0</v>
      </c>
      <c r="F667" s="14" t="s">
        <v>1197</v>
      </c>
      <c r="G667" t="s">
        <v>1198</v>
      </c>
      <c r="H667" s="14" t="s">
        <v>42</v>
      </c>
      <c r="I667" s="2">
        <v>1</v>
      </c>
      <c r="J667" s="2">
        <v>0</v>
      </c>
      <c r="K667" s="2">
        <v>0</v>
      </c>
      <c r="L667" s="2"/>
      <c r="M667" s="2">
        <v>0</v>
      </c>
      <c r="N667" s="14"/>
      <c r="O667" s="14"/>
      <c r="P667" s="2">
        <v>1034</v>
      </c>
      <c r="Q667" s="2">
        <v>1034</v>
      </c>
      <c r="R667" s="2">
        <v>775.11</v>
      </c>
      <c r="S667">
        <f t="shared" si="49"/>
        <v>775.11</v>
      </c>
      <c r="T667" t="s">
        <v>61</v>
      </c>
      <c r="U667" s="1">
        <f t="shared" si="51"/>
        <v>0</v>
      </c>
    </row>
    <row r="668" spans="1:21" hidden="1" x14ac:dyDescent="0.25">
      <c r="A668" s="2">
        <v>38896</v>
      </c>
      <c r="B668" s="13" t="s">
        <v>1205</v>
      </c>
      <c r="C668" s="14" t="s">
        <v>39</v>
      </c>
      <c r="D668" s="15">
        <v>45303</v>
      </c>
      <c r="E668" s="2">
        <v>0</v>
      </c>
      <c r="F668" s="14" t="s">
        <v>1177</v>
      </c>
      <c r="G668" t="s">
        <v>1178</v>
      </c>
      <c r="H668" s="14" t="s">
        <v>42</v>
      </c>
      <c r="I668" s="2">
        <v>2</v>
      </c>
      <c r="J668" s="2">
        <v>0</v>
      </c>
      <c r="K668" s="2">
        <v>0</v>
      </c>
      <c r="L668" s="2"/>
      <c r="M668" s="2">
        <v>0</v>
      </c>
      <c r="N668" s="14"/>
      <c r="O668" s="14"/>
      <c r="P668" s="2">
        <v>189</v>
      </c>
      <c r="Q668" s="2">
        <v>378</v>
      </c>
      <c r="R668" s="2">
        <v>107.74</v>
      </c>
      <c r="S668">
        <f t="shared" si="49"/>
        <v>215.48</v>
      </c>
      <c r="T668" t="s">
        <v>61</v>
      </c>
      <c r="U668" s="1">
        <f t="shared" si="51"/>
        <v>0</v>
      </c>
    </row>
    <row r="669" spans="1:21" hidden="1" x14ac:dyDescent="0.25">
      <c r="A669" s="2">
        <v>38899</v>
      </c>
      <c r="B669" s="13" t="s">
        <v>1206</v>
      </c>
      <c r="C669" s="14" t="s">
        <v>39</v>
      </c>
      <c r="D669" s="15">
        <v>45310</v>
      </c>
      <c r="E669" s="2">
        <v>0</v>
      </c>
      <c r="F669" s="14" t="s">
        <v>1207</v>
      </c>
      <c r="G669" t="s">
        <v>1208</v>
      </c>
      <c r="H669" s="14" t="s">
        <v>42</v>
      </c>
      <c r="I669" s="2">
        <v>7</v>
      </c>
      <c r="J669" s="2">
        <v>0</v>
      </c>
      <c r="K669" s="2">
        <v>0</v>
      </c>
      <c r="L669" s="2"/>
      <c r="M669" s="2">
        <v>0</v>
      </c>
      <c r="N669" s="14"/>
      <c r="O669" s="14"/>
      <c r="P669" s="2">
        <v>66</v>
      </c>
      <c r="Q669" s="2">
        <v>462</v>
      </c>
      <c r="R669" s="2">
        <v>53.41</v>
      </c>
      <c r="S669">
        <f t="shared" si="49"/>
        <v>373.87</v>
      </c>
      <c r="T669" t="s">
        <v>1874</v>
      </c>
      <c r="U669" s="1">
        <f t="shared" si="51"/>
        <v>7.0503999999999998</v>
      </c>
    </row>
    <row r="670" spans="1:21" hidden="1" x14ac:dyDescent="0.25">
      <c r="A670" s="2">
        <v>38899</v>
      </c>
      <c r="B670" s="13" t="s">
        <v>1206</v>
      </c>
      <c r="C670" s="14" t="s">
        <v>39</v>
      </c>
      <c r="D670" s="15">
        <v>45310</v>
      </c>
      <c r="E670" s="2">
        <v>0</v>
      </c>
      <c r="F670" s="14" t="s">
        <v>1209</v>
      </c>
      <c r="G670" t="s">
        <v>1210</v>
      </c>
      <c r="H670" s="14" t="s">
        <v>42</v>
      </c>
      <c r="I670" s="2">
        <v>6</v>
      </c>
      <c r="J670" s="2">
        <v>0</v>
      </c>
      <c r="K670" s="2">
        <v>0</v>
      </c>
      <c r="L670" s="2"/>
      <c r="M670" s="2">
        <v>0</v>
      </c>
      <c r="N670" s="14"/>
      <c r="O670" s="14"/>
      <c r="P670" s="2">
        <v>20</v>
      </c>
      <c r="Q670" s="2">
        <v>120</v>
      </c>
      <c r="R670" s="2">
        <v>16.13</v>
      </c>
      <c r="S670">
        <f t="shared" si="49"/>
        <v>96.78</v>
      </c>
      <c r="T670" t="s">
        <v>1874</v>
      </c>
      <c r="U670" s="1">
        <f t="shared" si="51"/>
        <v>1.8575999999999999</v>
      </c>
    </row>
    <row r="671" spans="1:21" hidden="1" x14ac:dyDescent="0.25">
      <c r="A671" s="2">
        <v>38900</v>
      </c>
      <c r="B671" s="13" t="s">
        <v>1211</v>
      </c>
      <c r="C671" s="14" t="s">
        <v>39</v>
      </c>
      <c r="D671" s="15">
        <v>45303</v>
      </c>
      <c r="E671" s="2">
        <v>0</v>
      </c>
      <c r="F671" s="14" t="s">
        <v>1177</v>
      </c>
      <c r="G671" t="s">
        <v>1178</v>
      </c>
      <c r="H671" s="14" t="s">
        <v>42</v>
      </c>
      <c r="I671" s="2">
        <v>1</v>
      </c>
      <c r="J671" s="2">
        <v>0</v>
      </c>
      <c r="K671" s="2">
        <v>0</v>
      </c>
      <c r="L671" s="2"/>
      <c r="M671" s="2">
        <v>0</v>
      </c>
      <c r="N671" s="14"/>
      <c r="O671" s="14"/>
      <c r="P671" s="2">
        <v>189</v>
      </c>
      <c r="Q671" s="2">
        <v>189</v>
      </c>
      <c r="R671" s="2">
        <v>107.74</v>
      </c>
      <c r="S671">
        <f t="shared" si="49"/>
        <v>107.74</v>
      </c>
      <c r="T671" t="s">
        <v>61</v>
      </c>
      <c r="U671" s="1">
        <f t="shared" si="51"/>
        <v>0</v>
      </c>
    </row>
    <row r="672" spans="1:21" hidden="1" x14ac:dyDescent="0.25">
      <c r="A672" s="2">
        <v>38900</v>
      </c>
      <c r="B672" s="13" t="s">
        <v>1211</v>
      </c>
      <c r="C672" s="14" t="s">
        <v>39</v>
      </c>
      <c r="D672" s="15">
        <v>45303</v>
      </c>
      <c r="E672" s="2">
        <v>0</v>
      </c>
      <c r="F672" s="14" t="s">
        <v>1212</v>
      </c>
      <c r="G672" t="s">
        <v>1213</v>
      </c>
      <c r="H672" s="14" t="s">
        <v>42</v>
      </c>
      <c r="I672" s="2">
        <v>1</v>
      </c>
      <c r="J672" s="2">
        <v>0</v>
      </c>
      <c r="K672" s="2">
        <v>0</v>
      </c>
      <c r="L672" s="2"/>
      <c r="M672" s="2">
        <v>0</v>
      </c>
      <c r="N672" s="14"/>
      <c r="O672" s="14"/>
      <c r="P672" s="2">
        <v>439</v>
      </c>
      <c r="Q672" s="2">
        <v>439</v>
      </c>
      <c r="R672" s="2">
        <v>325.86</v>
      </c>
      <c r="S672">
        <f t="shared" si="49"/>
        <v>325.86</v>
      </c>
      <c r="T672" t="s">
        <v>61</v>
      </c>
      <c r="U672" s="1">
        <f t="shared" si="51"/>
        <v>0</v>
      </c>
    </row>
    <row r="673" spans="1:21" hidden="1" x14ac:dyDescent="0.25">
      <c r="A673" s="2">
        <v>38903</v>
      </c>
      <c r="B673" s="13" t="s">
        <v>1214</v>
      </c>
      <c r="C673" s="14" t="s">
        <v>39</v>
      </c>
      <c r="D673" s="15">
        <v>45303</v>
      </c>
      <c r="E673" s="2">
        <v>0</v>
      </c>
      <c r="F673" s="14" t="s">
        <v>1071</v>
      </c>
      <c r="G673" t="s">
        <v>1072</v>
      </c>
      <c r="H673" s="14" t="s">
        <v>42</v>
      </c>
      <c r="I673" s="2">
        <v>1</v>
      </c>
      <c r="J673" s="2">
        <v>0</v>
      </c>
      <c r="K673" s="2">
        <v>0</v>
      </c>
      <c r="L673" s="2"/>
      <c r="M673" s="2">
        <v>0</v>
      </c>
      <c r="N673" s="14"/>
      <c r="O673" s="14"/>
      <c r="P673" s="2">
        <v>40</v>
      </c>
      <c r="Q673" s="2">
        <v>40</v>
      </c>
      <c r="R673" s="2">
        <v>31.89</v>
      </c>
      <c r="S673">
        <f t="shared" si="49"/>
        <v>31.89</v>
      </c>
      <c r="T673" t="s">
        <v>61</v>
      </c>
      <c r="U673" s="1">
        <f t="shared" si="51"/>
        <v>0</v>
      </c>
    </row>
    <row r="674" spans="1:21" hidden="1" x14ac:dyDescent="0.25">
      <c r="A674" s="2">
        <v>38903</v>
      </c>
      <c r="B674" s="13" t="s">
        <v>1214</v>
      </c>
      <c r="C674" s="14" t="s">
        <v>39</v>
      </c>
      <c r="D674" s="15">
        <v>45303</v>
      </c>
      <c r="E674" s="2">
        <v>0</v>
      </c>
      <c r="F674" s="14" t="s">
        <v>1075</v>
      </c>
      <c r="G674" t="s">
        <v>1076</v>
      </c>
      <c r="H674" s="14" t="s">
        <v>42</v>
      </c>
      <c r="I674" s="2">
        <v>1</v>
      </c>
      <c r="J674" s="2">
        <v>0</v>
      </c>
      <c r="K674" s="2">
        <v>0</v>
      </c>
      <c r="L674" s="2"/>
      <c r="M674" s="2">
        <v>0</v>
      </c>
      <c r="N674" s="14"/>
      <c r="O674" s="14"/>
      <c r="P674" s="2">
        <v>17</v>
      </c>
      <c r="Q674" s="2">
        <v>17</v>
      </c>
      <c r="R674" s="2">
        <v>10.24</v>
      </c>
      <c r="S674">
        <f t="shared" si="49"/>
        <v>10.24</v>
      </c>
      <c r="T674" t="s">
        <v>61</v>
      </c>
      <c r="U674" s="1">
        <f t="shared" si="51"/>
        <v>0</v>
      </c>
    </row>
    <row r="675" spans="1:21" hidden="1" x14ac:dyDescent="0.25">
      <c r="A675" s="2">
        <v>38903</v>
      </c>
      <c r="B675" s="13" t="s">
        <v>1214</v>
      </c>
      <c r="C675" s="14" t="s">
        <v>39</v>
      </c>
      <c r="D675" s="15">
        <v>45303</v>
      </c>
      <c r="E675" s="2">
        <v>0</v>
      </c>
      <c r="F675" s="14" t="s">
        <v>1175</v>
      </c>
      <c r="G675" t="s">
        <v>1176</v>
      </c>
      <c r="H675" s="14" t="s">
        <v>42</v>
      </c>
      <c r="I675" s="2">
        <v>1</v>
      </c>
      <c r="J675" s="2">
        <v>0</v>
      </c>
      <c r="K675" s="2">
        <v>0</v>
      </c>
      <c r="L675" s="2"/>
      <c r="M675" s="2">
        <v>0</v>
      </c>
      <c r="N675" s="14"/>
      <c r="O675" s="14"/>
      <c r="P675" s="2">
        <v>49</v>
      </c>
      <c r="Q675" s="2">
        <v>49</v>
      </c>
      <c r="R675" s="2">
        <v>33.770000000000003</v>
      </c>
      <c r="S675">
        <f t="shared" si="49"/>
        <v>33.770000000000003</v>
      </c>
      <c r="T675" t="s">
        <v>61</v>
      </c>
      <c r="U675" s="1">
        <f t="shared" si="51"/>
        <v>0</v>
      </c>
    </row>
    <row r="676" spans="1:21" hidden="1" x14ac:dyDescent="0.25">
      <c r="A676" s="2">
        <v>38903</v>
      </c>
      <c r="B676" s="13" t="s">
        <v>1214</v>
      </c>
      <c r="C676" s="14" t="s">
        <v>39</v>
      </c>
      <c r="D676" s="15">
        <v>45303</v>
      </c>
      <c r="E676" s="2">
        <v>0</v>
      </c>
      <c r="F676" s="14" t="s">
        <v>1170</v>
      </c>
      <c r="G676" t="s">
        <v>1171</v>
      </c>
      <c r="H676" s="14" t="s">
        <v>42</v>
      </c>
      <c r="I676" s="2">
        <v>1</v>
      </c>
      <c r="J676" s="2">
        <v>0</v>
      </c>
      <c r="K676" s="2">
        <v>0</v>
      </c>
      <c r="L676" s="2"/>
      <c r="M676" s="2">
        <v>0</v>
      </c>
      <c r="N676" s="14"/>
      <c r="O676" s="14"/>
      <c r="P676" s="2">
        <v>1779</v>
      </c>
      <c r="Q676" s="2">
        <v>1779</v>
      </c>
      <c r="R676" s="2">
        <v>1390.86</v>
      </c>
      <c r="S676">
        <f t="shared" si="49"/>
        <v>1390.86</v>
      </c>
      <c r="T676" t="s">
        <v>61</v>
      </c>
      <c r="U676" s="1">
        <f t="shared" si="51"/>
        <v>0</v>
      </c>
    </row>
    <row r="677" spans="1:21" hidden="1" x14ac:dyDescent="0.25">
      <c r="A677" s="2">
        <v>38903</v>
      </c>
      <c r="B677" s="13" t="s">
        <v>1214</v>
      </c>
      <c r="C677" s="14" t="s">
        <v>39</v>
      </c>
      <c r="D677" s="15">
        <v>45303</v>
      </c>
      <c r="E677" s="2">
        <v>0</v>
      </c>
      <c r="F677" s="14" t="s">
        <v>1172</v>
      </c>
      <c r="G677" t="s">
        <v>1173</v>
      </c>
      <c r="H677" s="14" t="s">
        <v>42</v>
      </c>
      <c r="I677" s="2">
        <v>1</v>
      </c>
      <c r="J677" s="2">
        <v>0</v>
      </c>
      <c r="K677" s="2">
        <v>0</v>
      </c>
      <c r="L677" s="2"/>
      <c r="M677" s="2">
        <v>0</v>
      </c>
      <c r="N677" s="14"/>
      <c r="O677" s="14"/>
      <c r="P677" s="2">
        <v>239</v>
      </c>
      <c r="Q677" s="2">
        <v>239</v>
      </c>
      <c r="R677" s="2">
        <v>203.99</v>
      </c>
      <c r="S677">
        <f t="shared" si="49"/>
        <v>203.99</v>
      </c>
      <c r="T677" t="s">
        <v>61</v>
      </c>
      <c r="U677" s="1">
        <f t="shared" si="51"/>
        <v>0</v>
      </c>
    </row>
    <row r="678" spans="1:21" x14ac:dyDescent="0.25">
      <c r="A678" s="2">
        <v>38905</v>
      </c>
      <c r="B678" s="13" t="s">
        <v>1215</v>
      </c>
      <c r="C678" s="14" t="s">
        <v>39</v>
      </c>
      <c r="D678" s="15">
        <v>45307</v>
      </c>
      <c r="E678" s="2">
        <v>105</v>
      </c>
      <c r="F678" s="14" t="s">
        <v>152</v>
      </c>
      <c r="G678" t="s">
        <v>153</v>
      </c>
      <c r="H678" s="14" t="s">
        <v>93</v>
      </c>
      <c r="I678" s="2">
        <v>3.5</v>
      </c>
      <c r="J678" s="2">
        <v>0</v>
      </c>
      <c r="K678" s="2">
        <v>0</v>
      </c>
      <c r="L678" s="2"/>
      <c r="M678" s="2">
        <v>0</v>
      </c>
      <c r="N678" s="14"/>
      <c r="O678" s="14"/>
      <c r="P678" s="2">
        <v>150</v>
      </c>
      <c r="Q678" s="2">
        <v>525</v>
      </c>
      <c r="R678" s="2">
        <v>0</v>
      </c>
      <c r="S678">
        <f t="shared" si="49"/>
        <v>0</v>
      </c>
      <c r="T678" t="s">
        <v>132</v>
      </c>
      <c r="U678">
        <f>_xlfn.XLOOKUP(T678,$Y$2:$Y$45,$AB$2:$AB$45)*(Q678)</f>
        <v>21</v>
      </c>
    </row>
    <row r="679" spans="1:21" x14ac:dyDescent="0.25">
      <c r="A679" s="2">
        <v>38905</v>
      </c>
      <c r="B679" s="13" t="s">
        <v>1215</v>
      </c>
      <c r="C679" s="14" t="s">
        <v>39</v>
      </c>
      <c r="D679" s="15">
        <v>45307</v>
      </c>
      <c r="E679" s="2">
        <v>105</v>
      </c>
      <c r="F679" s="14" t="s">
        <v>154</v>
      </c>
      <c r="G679" t="s">
        <v>155</v>
      </c>
      <c r="H679" s="14" t="s">
        <v>93</v>
      </c>
      <c r="I679" s="2">
        <v>1</v>
      </c>
      <c r="J679" s="2">
        <v>0</v>
      </c>
      <c r="K679" s="2">
        <v>0</v>
      </c>
      <c r="L679" s="2"/>
      <c r="M679" s="2">
        <v>0</v>
      </c>
      <c r="N679" s="14"/>
      <c r="O679" s="14"/>
      <c r="P679" s="2">
        <v>150</v>
      </c>
      <c r="Q679" s="2">
        <v>150</v>
      </c>
      <c r="R679" s="2">
        <v>0</v>
      </c>
      <c r="S679">
        <f t="shared" si="49"/>
        <v>0</v>
      </c>
      <c r="T679" t="s">
        <v>132</v>
      </c>
      <c r="U679">
        <f>_xlfn.XLOOKUP(T679,$Y$2:$Y$45,$AB$2:$AB$45)*(Q679)</f>
        <v>6</v>
      </c>
    </row>
    <row r="680" spans="1:21" hidden="1" x14ac:dyDescent="0.25">
      <c r="A680" s="2">
        <v>38906</v>
      </c>
      <c r="B680" s="13" t="s">
        <v>1216</v>
      </c>
      <c r="C680" s="14" t="s">
        <v>39</v>
      </c>
      <c r="D680" s="15">
        <v>45310</v>
      </c>
      <c r="E680" s="2">
        <v>218.5</v>
      </c>
      <c r="F680" s="14" t="s">
        <v>503</v>
      </c>
      <c r="G680" t="s">
        <v>504</v>
      </c>
      <c r="H680" s="14" t="s">
        <v>505</v>
      </c>
      <c r="I680" s="2">
        <v>1</v>
      </c>
      <c r="J680" s="2">
        <v>18</v>
      </c>
      <c r="K680" s="2">
        <v>5.38</v>
      </c>
      <c r="L680" s="2"/>
      <c r="M680" s="2">
        <v>18</v>
      </c>
      <c r="N680" s="14"/>
      <c r="O680" s="14"/>
      <c r="P680" s="2">
        <v>50</v>
      </c>
      <c r="Q680" s="2">
        <v>50</v>
      </c>
      <c r="R680" s="2">
        <v>0</v>
      </c>
      <c r="S680">
        <f t="shared" si="49"/>
        <v>0</v>
      </c>
      <c r="T680" t="s">
        <v>105</v>
      </c>
      <c r="U680">
        <f>_xlfn.XLOOKUP(T680,$Y$2:$Y$45,$AB$2:$AB$45)*(Q680)</f>
        <v>2</v>
      </c>
    </row>
    <row r="681" spans="1:21" hidden="1" x14ac:dyDescent="0.25">
      <c r="A681" s="2">
        <v>38906</v>
      </c>
      <c r="B681" s="13" t="s">
        <v>1216</v>
      </c>
      <c r="C681" s="14" t="s">
        <v>39</v>
      </c>
      <c r="D681" s="15">
        <v>45310</v>
      </c>
      <c r="E681" s="2">
        <v>218.5</v>
      </c>
      <c r="F681" s="14" t="s">
        <v>1217</v>
      </c>
      <c r="G681" t="s">
        <v>1218</v>
      </c>
      <c r="H681" s="14" t="s">
        <v>505</v>
      </c>
      <c r="I681" s="2">
        <v>9</v>
      </c>
      <c r="J681" s="2">
        <v>18.5</v>
      </c>
      <c r="K681" s="2">
        <v>11.21</v>
      </c>
      <c r="L681" s="2"/>
      <c r="M681" s="2">
        <v>166.5</v>
      </c>
      <c r="N681" s="14"/>
      <c r="O681" s="14"/>
      <c r="P681" s="2">
        <v>50</v>
      </c>
      <c r="Q681" s="2">
        <v>450</v>
      </c>
      <c r="R681" s="2">
        <v>0</v>
      </c>
      <c r="S681">
        <f t="shared" si="49"/>
        <v>0</v>
      </c>
      <c r="T681" t="s">
        <v>105</v>
      </c>
      <c r="U681">
        <f>_xlfn.XLOOKUP(T681,$Y$2:$Y$45,$AB$2:$AB$45)*(Q681)</f>
        <v>18</v>
      </c>
    </row>
    <row r="682" spans="1:21" hidden="1" x14ac:dyDescent="0.25">
      <c r="A682" s="2">
        <v>38906</v>
      </c>
      <c r="B682" s="13" t="s">
        <v>1216</v>
      </c>
      <c r="C682" s="14" t="s">
        <v>39</v>
      </c>
      <c r="D682" s="15">
        <v>45310</v>
      </c>
      <c r="E682" s="2">
        <v>218.5</v>
      </c>
      <c r="F682" s="14" t="s">
        <v>515</v>
      </c>
      <c r="G682" t="s">
        <v>516</v>
      </c>
      <c r="H682" s="14" t="s">
        <v>508</v>
      </c>
      <c r="I682" s="2">
        <v>40</v>
      </c>
      <c r="J682" s="2">
        <v>0.5</v>
      </c>
      <c r="K682" s="2">
        <v>0.17</v>
      </c>
      <c r="L682" s="2"/>
      <c r="M682" s="2">
        <v>20</v>
      </c>
      <c r="N682" s="14"/>
      <c r="O682" s="14"/>
      <c r="P682" s="2">
        <v>3</v>
      </c>
      <c r="Q682" s="2">
        <v>120</v>
      </c>
      <c r="R682" s="2">
        <v>9</v>
      </c>
      <c r="S682">
        <f t="shared" si="49"/>
        <v>360</v>
      </c>
      <c r="T682" t="s">
        <v>105</v>
      </c>
      <c r="U682">
        <f>_xlfn.XLOOKUP(T682,$Y$2:$Y$45,$AB$2:$AB$45)*(Q682)</f>
        <v>4.8</v>
      </c>
    </row>
    <row r="683" spans="1:21" hidden="1" x14ac:dyDescent="0.25">
      <c r="A683" s="2">
        <v>38907</v>
      </c>
      <c r="B683" s="13" t="s">
        <v>1219</v>
      </c>
      <c r="C683" s="14" t="s">
        <v>39</v>
      </c>
      <c r="D683" s="15">
        <v>45303</v>
      </c>
      <c r="E683" s="2">
        <v>0</v>
      </c>
      <c r="F683" s="14" t="s">
        <v>1192</v>
      </c>
      <c r="G683" t="s">
        <v>1193</v>
      </c>
      <c r="H683" s="14" t="s">
        <v>173</v>
      </c>
      <c r="I683" s="2">
        <v>1</v>
      </c>
      <c r="J683" s="2">
        <v>0</v>
      </c>
      <c r="K683" s="2">
        <v>0</v>
      </c>
      <c r="L683" s="2"/>
      <c r="M683" s="2">
        <v>0</v>
      </c>
      <c r="N683" s="14"/>
      <c r="O683" s="14"/>
      <c r="P683" s="2">
        <v>539</v>
      </c>
      <c r="Q683" s="2">
        <v>539</v>
      </c>
      <c r="R683" s="2">
        <v>532.39</v>
      </c>
      <c r="S683">
        <f t="shared" si="49"/>
        <v>532.39</v>
      </c>
      <c r="T683" t="s">
        <v>61</v>
      </c>
      <c r="U683" s="1">
        <f t="shared" ref="U683:U708" si="52">_xlfn.XLOOKUP(T683,$Y$2:$Y$45,$AA$2:$AA$45)*(Q683-S683)</f>
        <v>0</v>
      </c>
    </row>
    <row r="684" spans="1:21" hidden="1" x14ac:dyDescent="0.25">
      <c r="A684" s="2">
        <v>38908</v>
      </c>
      <c r="B684" s="13" t="s">
        <v>1220</v>
      </c>
      <c r="C684" s="14" t="s">
        <v>39</v>
      </c>
      <c r="D684" s="15">
        <v>45313</v>
      </c>
      <c r="E684" s="2">
        <v>0</v>
      </c>
      <c r="F684" s="14" t="s">
        <v>615</v>
      </c>
      <c r="G684" t="s">
        <v>1221</v>
      </c>
      <c r="H684" s="14" t="s">
        <v>42</v>
      </c>
      <c r="I684" s="2">
        <v>1</v>
      </c>
      <c r="J684" s="2">
        <v>0</v>
      </c>
      <c r="K684" s="2">
        <v>0</v>
      </c>
      <c r="L684" s="2"/>
      <c r="M684" s="2">
        <v>0</v>
      </c>
      <c r="N684" s="14"/>
      <c r="O684" s="14"/>
      <c r="P684" s="2">
        <v>288</v>
      </c>
      <c r="Q684" s="2">
        <v>288</v>
      </c>
      <c r="R684" s="2">
        <v>180</v>
      </c>
      <c r="S684">
        <f t="shared" si="49"/>
        <v>180</v>
      </c>
      <c r="T684" t="s">
        <v>1874</v>
      </c>
      <c r="U684" s="1">
        <f t="shared" si="52"/>
        <v>8.64</v>
      </c>
    </row>
    <row r="685" spans="1:21" hidden="1" x14ac:dyDescent="0.25">
      <c r="A685" s="2">
        <v>38910</v>
      </c>
      <c r="B685" s="13" t="s">
        <v>1222</v>
      </c>
      <c r="C685" s="14" t="s">
        <v>39</v>
      </c>
      <c r="D685" s="15">
        <v>45309</v>
      </c>
      <c r="E685" s="2">
        <v>0</v>
      </c>
      <c r="F685" s="14" t="s">
        <v>1223</v>
      </c>
      <c r="G685" t="s">
        <v>1224</v>
      </c>
      <c r="H685" s="14" t="s">
        <v>42</v>
      </c>
      <c r="I685" s="2">
        <v>1</v>
      </c>
      <c r="J685" s="2">
        <v>0</v>
      </c>
      <c r="K685" s="2">
        <v>0</v>
      </c>
      <c r="L685" s="2"/>
      <c r="M685" s="2">
        <v>0</v>
      </c>
      <c r="N685" s="14"/>
      <c r="O685" s="14"/>
      <c r="P685" s="2">
        <v>260</v>
      </c>
      <c r="Q685" s="2">
        <v>260</v>
      </c>
      <c r="R685" s="2">
        <v>213.12</v>
      </c>
      <c r="S685">
        <f t="shared" si="49"/>
        <v>213.12</v>
      </c>
      <c r="T685" t="s">
        <v>107</v>
      </c>
      <c r="U685" s="1">
        <f t="shared" si="52"/>
        <v>1.8751999999999998</v>
      </c>
    </row>
    <row r="686" spans="1:21" hidden="1" x14ac:dyDescent="0.25">
      <c r="A686" s="2">
        <v>38910</v>
      </c>
      <c r="B686" s="13" t="s">
        <v>1222</v>
      </c>
      <c r="C686" s="14" t="s">
        <v>39</v>
      </c>
      <c r="D686" s="15">
        <v>45309</v>
      </c>
      <c r="E686" s="2">
        <v>0</v>
      </c>
      <c r="F686" s="14" t="s">
        <v>237</v>
      </c>
      <c r="G686" t="s">
        <v>238</v>
      </c>
      <c r="H686" s="14" t="s">
        <v>42</v>
      </c>
      <c r="I686" s="2">
        <v>1</v>
      </c>
      <c r="J686" s="2">
        <v>0</v>
      </c>
      <c r="K686" s="2">
        <v>0</v>
      </c>
      <c r="L686" s="2"/>
      <c r="M686" s="2">
        <v>0</v>
      </c>
      <c r="N686" s="14"/>
      <c r="O686" s="14"/>
      <c r="P686" s="2">
        <v>607</v>
      </c>
      <c r="Q686" s="2">
        <v>607</v>
      </c>
      <c r="R686" s="2">
        <v>497.28</v>
      </c>
      <c r="S686">
        <f t="shared" si="49"/>
        <v>497.28</v>
      </c>
      <c r="T686" t="s">
        <v>107</v>
      </c>
      <c r="U686" s="1">
        <f t="shared" si="52"/>
        <v>4.3888000000000016</v>
      </c>
    </row>
    <row r="687" spans="1:21" hidden="1" x14ac:dyDescent="0.25">
      <c r="A687" s="2">
        <v>38910</v>
      </c>
      <c r="B687" s="13" t="s">
        <v>1222</v>
      </c>
      <c r="C687" s="14" t="s">
        <v>39</v>
      </c>
      <c r="D687" s="15">
        <v>45309</v>
      </c>
      <c r="E687" s="2">
        <v>0</v>
      </c>
      <c r="F687" s="14" t="s">
        <v>1225</v>
      </c>
      <c r="G687" t="s">
        <v>1226</v>
      </c>
      <c r="H687" s="14" t="s">
        <v>42</v>
      </c>
      <c r="I687" s="2">
        <v>1</v>
      </c>
      <c r="J687" s="2">
        <v>0</v>
      </c>
      <c r="K687" s="2">
        <v>0</v>
      </c>
      <c r="L687" s="2"/>
      <c r="M687" s="2">
        <v>0</v>
      </c>
      <c r="N687" s="14"/>
      <c r="O687" s="14"/>
      <c r="P687" s="2">
        <v>67</v>
      </c>
      <c r="Q687" s="2">
        <v>67</v>
      </c>
      <c r="R687" s="2">
        <v>54.48</v>
      </c>
      <c r="S687">
        <f t="shared" si="49"/>
        <v>54.48</v>
      </c>
      <c r="T687" t="s">
        <v>107</v>
      </c>
      <c r="U687" s="1">
        <f t="shared" si="52"/>
        <v>0.50080000000000013</v>
      </c>
    </row>
    <row r="688" spans="1:21" hidden="1" x14ac:dyDescent="0.25">
      <c r="A688" s="2">
        <v>38910</v>
      </c>
      <c r="B688" s="13" t="s">
        <v>1222</v>
      </c>
      <c r="C688" s="14" t="s">
        <v>39</v>
      </c>
      <c r="D688" s="15">
        <v>45309</v>
      </c>
      <c r="E688" s="2">
        <v>0</v>
      </c>
      <c r="F688" s="14" t="s">
        <v>1227</v>
      </c>
      <c r="G688" t="s">
        <v>1228</v>
      </c>
      <c r="H688" s="14" t="s">
        <v>42</v>
      </c>
      <c r="I688" s="2">
        <v>1</v>
      </c>
      <c r="J688" s="2">
        <v>0</v>
      </c>
      <c r="K688" s="2">
        <v>0</v>
      </c>
      <c r="L688" s="2"/>
      <c r="M688" s="2">
        <v>0</v>
      </c>
      <c r="N688" s="14"/>
      <c r="O688" s="14"/>
      <c r="P688" s="2">
        <v>48</v>
      </c>
      <c r="Q688" s="2">
        <v>48</v>
      </c>
      <c r="R688" s="2">
        <v>39.119999999999997</v>
      </c>
      <c r="S688">
        <f t="shared" si="49"/>
        <v>39.119999999999997</v>
      </c>
      <c r="T688" t="s">
        <v>107</v>
      </c>
      <c r="U688" s="1">
        <f t="shared" si="52"/>
        <v>0.35520000000000013</v>
      </c>
    </row>
    <row r="689" spans="1:21" hidden="1" x14ac:dyDescent="0.25">
      <c r="A689" s="2">
        <v>38911</v>
      </c>
      <c r="B689" s="13" t="s">
        <v>1229</v>
      </c>
      <c r="C689" s="14" t="s">
        <v>39</v>
      </c>
      <c r="D689" s="15">
        <v>45310</v>
      </c>
      <c r="E689" s="2">
        <v>0</v>
      </c>
      <c r="F689" s="14" t="s">
        <v>1230</v>
      </c>
      <c r="G689" t="s">
        <v>1231</v>
      </c>
      <c r="H689" s="14" t="s">
        <v>42</v>
      </c>
      <c r="I689" s="2">
        <v>1</v>
      </c>
      <c r="J689" s="2">
        <v>0</v>
      </c>
      <c r="K689" s="2">
        <v>0</v>
      </c>
      <c r="L689" s="2"/>
      <c r="M689" s="2">
        <v>0</v>
      </c>
      <c r="N689" s="14"/>
      <c r="O689" s="14"/>
      <c r="P689" s="2">
        <v>1341</v>
      </c>
      <c r="Q689" s="2">
        <v>1341</v>
      </c>
      <c r="R689" s="2">
        <v>1099.28</v>
      </c>
      <c r="S689">
        <f t="shared" si="49"/>
        <v>1099.28</v>
      </c>
      <c r="T689" t="s">
        <v>107</v>
      </c>
      <c r="U689" s="1">
        <f t="shared" si="52"/>
        <v>9.6688000000000009</v>
      </c>
    </row>
    <row r="690" spans="1:21" hidden="1" x14ac:dyDescent="0.25">
      <c r="A690" s="2">
        <v>38912</v>
      </c>
      <c r="B690" s="13" t="s">
        <v>1232</v>
      </c>
      <c r="C690" s="14" t="s">
        <v>39</v>
      </c>
      <c r="D690" s="15">
        <v>45303</v>
      </c>
      <c r="E690" s="2">
        <v>0</v>
      </c>
      <c r="F690" s="14" t="s">
        <v>1073</v>
      </c>
      <c r="G690" t="s">
        <v>1074</v>
      </c>
      <c r="H690" s="14" t="s">
        <v>42</v>
      </c>
      <c r="I690" s="2">
        <v>1</v>
      </c>
      <c r="J690" s="2">
        <v>0</v>
      </c>
      <c r="K690" s="2">
        <v>0</v>
      </c>
      <c r="L690" s="2"/>
      <c r="M690" s="2">
        <v>0</v>
      </c>
      <c r="N690" s="14"/>
      <c r="O690" s="14"/>
      <c r="P690" s="2">
        <v>44</v>
      </c>
      <c r="Q690" s="2">
        <v>44</v>
      </c>
      <c r="R690" s="2">
        <v>34.99</v>
      </c>
      <c r="S690">
        <f t="shared" si="49"/>
        <v>34.99</v>
      </c>
      <c r="T690" t="s">
        <v>61</v>
      </c>
      <c r="U690" s="1">
        <f t="shared" si="52"/>
        <v>0</v>
      </c>
    </row>
    <row r="691" spans="1:21" hidden="1" x14ac:dyDescent="0.25">
      <c r="A691" s="2">
        <v>38912</v>
      </c>
      <c r="B691" s="13" t="s">
        <v>1232</v>
      </c>
      <c r="C691" s="14" t="s">
        <v>39</v>
      </c>
      <c r="D691" s="15">
        <v>45303</v>
      </c>
      <c r="E691" s="2">
        <v>0</v>
      </c>
      <c r="F691" s="14" t="s">
        <v>1071</v>
      </c>
      <c r="G691" t="s">
        <v>1072</v>
      </c>
      <c r="H691" s="14" t="s">
        <v>42</v>
      </c>
      <c r="I691" s="2">
        <v>1</v>
      </c>
      <c r="J691" s="2">
        <v>0</v>
      </c>
      <c r="K691" s="2">
        <v>0</v>
      </c>
      <c r="L691" s="2"/>
      <c r="M691" s="2">
        <v>0</v>
      </c>
      <c r="N691" s="14"/>
      <c r="O691" s="14"/>
      <c r="P691" s="2">
        <v>40</v>
      </c>
      <c r="Q691" s="2">
        <v>40</v>
      </c>
      <c r="R691" s="2">
        <v>31.89</v>
      </c>
      <c r="S691">
        <f t="shared" si="49"/>
        <v>31.89</v>
      </c>
      <c r="T691" t="s">
        <v>61</v>
      </c>
      <c r="U691" s="1">
        <f t="shared" si="52"/>
        <v>0</v>
      </c>
    </row>
    <row r="692" spans="1:21" hidden="1" x14ac:dyDescent="0.25">
      <c r="A692" s="2">
        <v>38912</v>
      </c>
      <c r="B692" s="13" t="s">
        <v>1232</v>
      </c>
      <c r="C692" s="14" t="s">
        <v>39</v>
      </c>
      <c r="D692" s="15">
        <v>45303</v>
      </c>
      <c r="E692" s="2">
        <v>0</v>
      </c>
      <c r="F692" s="14" t="s">
        <v>1077</v>
      </c>
      <c r="G692" t="s">
        <v>1078</v>
      </c>
      <c r="H692" s="14" t="s">
        <v>42</v>
      </c>
      <c r="I692" s="2">
        <v>1</v>
      </c>
      <c r="J692" s="2">
        <v>0</v>
      </c>
      <c r="K692" s="2">
        <v>0</v>
      </c>
      <c r="L692" s="2"/>
      <c r="M692" s="2">
        <v>0</v>
      </c>
      <c r="N692" s="14"/>
      <c r="O692" s="14"/>
      <c r="P692" s="2">
        <v>339</v>
      </c>
      <c r="Q692" s="2">
        <v>339</v>
      </c>
      <c r="R692" s="2">
        <v>267.29000000000002</v>
      </c>
      <c r="S692">
        <f t="shared" si="49"/>
        <v>267.29000000000002</v>
      </c>
      <c r="T692" t="s">
        <v>61</v>
      </c>
      <c r="U692" s="1">
        <f t="shared" si="52"/>
        <v>0</v>
      </c>
    </row>
    <row r="693" spans="1:21" hidden="1" x14ac:dyDescent="0.25">
      <c r="A693" s="2">
        <v>38912</v>
      </c>
      <c r="B693" s="13" t="s">
        <v>1232</v>
      </c>
      <c r="C693" s="14" t="s">
        <v>39</v>
      </c>
      <c r="D693" s="15">
        <v>45303</v>
      </c>
      <c r="E693" s="2">
        <v>0</v>
      </c>
      <c r="F693" s="14" t="s">
        <v>1081</v>
      </c>
      <c r="G693" t="s">
        <v>1082</v>
      </c>
      <c r="H693" s="14" t="s">
        <v>42</v>
      </c>
      <c r="I693" s="2">
        <v>1</v>
      </c>
      <c r="J693" s="2">
        <v>0</v>
      </c>
      <c r="K693" s="2">
        <v>0</v>
      </c>
      <c r="L693" s="2"/>
      <c r="M693" s="2">
        <v>0</v>
      </c>
      <c r="N693" s="14"/>
      <c r="O693" s="14"/>
      <c r="P693" s="2">
        <v>4823</v>
      </c>
      <c r="Q693" s="2">
        <v>4823</v>
      </c>
      <c r="R693" s="2">
        <v>4002.43</v>
      </c>
      <c r="S693">
        <f t="shared" si="49"/>
        <v>4002.43</v>
      </c>
      <c r="T693" t="s">
        <v>61</v>
      </c>
      <c r="U693" s="1">
        <f t="shared" si="52"/>
        <v>0</v>
      </c>
    </row>
    <row r="694" spans="1:21" hidden="1" x14ac:dyDescent="0.25">
      <c r="A694" s="2">
        <v>38912</v>
      </c>
      <c r="B694" s="13" t="s">
        <v>1232</v>
      </c>
      <c r="C694" s="14" t="s">
        <v>39</v>
      </c>
      <c r="D694" s="15">
        <v>45303</v>
      </c>
      <c r="E694" s="2">
        <v>0</v>
      </c>
      <c r="F694" s="14" t="s">
        <v>1075</v>
      </c>
      <c r="G694" t="s">
        <v>1076</v>
      </c>
      <c r="H694" s="14" t="s">
        <v>42</v>
      </c>
      <c r="I694" s="2">
        <v>1</v>
      </c>
      <c r="J694" s="2">
        <v>0</v>
      </c>
      <c r="K694" s="2">
        <v>0</v>
      </c>
      <c r="L694" s="2"/>
      <c r="M694" s="2">
        <v>0</v>
      </c>
      <c r="N694" s="14"/>
      <c r="O694" s="14"/>
      <c r="P694" s="2">
        <v>17</v>
      </c>
      <c r="Q694" s="2">
        <v>17</v>
      </c>
      <c r="R694" s="2">
        <v>10.24</v>
      </c>
      <c r="S694">
        <f t="shared" si="49"/>
        <v>10.24</v>
      </c>
      <c r="T694" t="s">
        <v>61</v>
      </c>
      <c r="U694" s="1">
        <f t="shared" si="52"/>
        <v>0</v>
      </c>
    </row>
    <row r="695" spans="1:21" hidden="1" x14ac:dyDescent="0.25">
      <c r="A695" s="2">
        <v>38913</v>
      </c>
      <c r="B695" s="13" t="s">
        <v>1233</v>
      </c>
      <c r="C695" s="14" t="s">
        <v>39</v>
      </c>
      <c r="D695" s="15">
        <v>45303</v>
      </c>
      <c r="E695" s="2">
        <v>0</v>
      </c>
      <c r="F695" s="14" t="s">
        <v>1234</v>
      </c>
      <c r="G695" t="s">
        <v>1235</v>
      </c>
      <c r="H695" s="14" t="s">
        <v>42</v>
      </c>
      <c r="I695" s="2">
        <v>24</v>
      </c>
      <c r="J695" s="2">
        <v>0</v>
      </c>
      <c r="K695" s="2">
        <v>0</v>
      </c>
      <c r="L695" s="2"/>
      <c r="M695" s="2">
        <v>0</v>
      </c>
      <c r="N695" s="14"/>
      <c r="O695" s="14"/>
      <c r="P695" s="2">
        <v>132</v>
      </c>
      <c r="Q695" s="2">
        <v>3168</v>
      </c>
      <c r="R695" s="2">
        <v>108.21</v>
      </c>
      <c r="S695">
        <f t="shared" si="49"/>
        <v>2597.04</v>
      </c>
      <c r="T695" t="s">
        <v>1874</v>
      </c>
      <c r="U695" s="1">
        <f t="shared" si="52"/>
        <v>45.676800000000007</v>
      </c>
    </row>
    <row r="696" spans="1:21" hidden="1" x14ac:dyDescent="0.25">
      <c r="A696" s="2">
        <v>38914</v>
      </c>
      <c r="B696" s="13" t="s">
        <v>1236</v>
      </c>
      <c r="C696" s="14" t="s">
        <v>39</v>
      </c>
      <c r="D696" s="15">
        <v>45306</v>
      </c>
      <c r="E696" s="2">
        <v>0</v>
      </c>
      <c r="F696" s="14" t="s">
        <v>1237</v>
      </c>
      <c r="G696" t="s">
        <v>1238</v>
      </c>
      <c r="H696" s="14" t="s">
        <v>173</v>
      </c>
      <c r="I696" s="2">
        <v>1</v>
      </c>
      <c r="J696" s="2">
        <v>0</v>
      </c>
      <c r="K696" s="2">
        <v>0</v>
      </c>
      <c r="L696" s="2"/>
      <c r="M696" s="2">
        <v>0</v>
      </c>
      <c r="N696" s="14"/>
      <c r="O696" s="14"/>
      <c r="P696" s="2">
        <v>455.88</v>
      </c>
      <c r="Q696" s="2">
        <v>455.88</v>
      </c>
      <c r="R696" s="2">
        <v>444.89</v>
      </c>
      <c r="S696">
        <f t="shared" si="49"/>
        <v>444.89</v>
      </c>
      <c r="T696" t="s">
        <v>1874</v>
      </c>
      <c r="U696" s="1">
        <f t="shared" si="52"/>
        <v>0.87920000000000076</v>
      </c>
    </row>
    <row r="697" spans="1:21" hidden="1" x14ac:dyDescent="0.25">
      <c r="A697" s="2">
        <v>38914</v>
      </c>
      <c r="B697" s="13" t="s">
        <v>1236</v>
      </c>
      <c r="C697" s="14" t="s">
        <v>39</v>
      </c>
      <c r="D697" s="15">
        <v>45306</v>
      </c>
      <c r="E697" s="2">
        <v>0</v>
      </c>
      <c r="F697" s="14" t="s">
        <v>234</v>
      </c>
      <c r="G697" t="s">
        <v>1239</v>
      </c>
      <c r="H697" s="14" t="s">
        <v>42</v>
      </c>
      <c r="I697" s="2">
        <v>3</v>
      </c>
      <c r="J697" s="2">
        <v>0</v>
      </c>
      <c r="K697" s="2">
        <v>0</v>
      </c>
      <c r="L697" s="2"/>
      <c r="M697" s="2">
        <v>0</v>
      </c>
      <c r="N697" s="14"/>
      <c r="O697" s="14"/>
      <c r="P697" s="2">
        <v>287.88</v>
      </c>
      <c r="Q697" s="2">
        <v>863.64</v>
      </c>
      <c r="R697" s="2">
        <v>265.99</v>
      </c>
      <c r="S697">
        <f t="shared" si="49"/>
        <v>797.97</v>
      </c>
      <c r="T697" t="s">
        <v>1874</v>
      </c>
      <c r="U697" s="1">
        <f t="shared" si="52"/>
        <v>5.2535999999999969</v>
      </c>
    </row>
    <row r="698" spans="1:21" hidden="1" x14ac:dyDescent="0.25">
      <c r="A698" s="2">
        <v>38915</v>
      </c>
      <c r="B698" s="13" t="s">
        <v>1240</v>
      </c>
      <c r="C698" s="14" t="s">
        <v>39</v>
      </c>
      <c r="D698" s="15">
        <v>45303</v>
      </c>
      <c r="E698" s="2">
        <v>0</v>
      </c>
      <c r="F698" s="14" t="s">
        <v>1071</v>
      </c>
      <c r="G698" t="s">
        <v>1072</v>
      </c>
      <c r="H698" s="14" t="s">
        <v>42</v>
      </c>
      <c r="I698" s="2">
        <v>1</v>
      </c>
      <c r="J698" s="2">
        <v>0</v>
      </c>
      <c r="K698" s="2">
        <v>0</v>
      </c>
      <c r="L698" s="2"/>
      <c r="M698" s="2">
        <v>0</v>
      </c>
      <c r="N698" s="14"/>
      <c r="O698" s="14"/>
      <c r="P698" s="2">
        <v>40</v>
      </c>
      <c r="Q698" s="2">
        <v>40</v>
      </c>
      <c r="R698" s="2">
        <v>31.89</v>
      </c>
      <c r="S698">
        <f t="shared" si="49"/>
        <v>31.89</v>
      </c>
      <c r="T698" t="s">
        <v>61</v>
      </c>
      <c r="U698" s="1">
        <f t="shared" si="52"/>
        <v>0</v>
      </c>
    </row>
    <row r="699" spans="1:21" hidden="1" x14ac:dyDescent="0.25">
      <c r="A699" s="2">
        <v>38915</v>
      </c>
      <c r="B699" s="13" t="s">
        <v>1240</v>
      </c>
      <c r="C699" s="14" t="s">
        <v>39</v>
      </c>
      <c r="D699" s="15">
        <v>45303</v>
      </c>
      <c r="E699" s="2">
        <v>0</v>
      </c>
      <c r="F699" s="14" t="s">
        <v>1077</v>
      </c>
      <c r="G699" t="s">
        <v>1078</v>
      </c>
      <c r="H699" s="14" t="s">
        <v>42</v>
      </c>
      <c r="I699" s="2">
        <v>1</v>
      </c>
      <c r="J699" s="2">
        <v>0</v>
      </c>
      <c r="K699" s="2">
        <v>0</v>
      </c>
      <c r="L699" s="2"/>
      <c r="M699" s="2">
        <v>0</v>
      </c>
      <c r="N699" s="14"/>
      <c r="O699" s="14"/>
      <c r="P699" s="2">
        <v>339</v>
      </c>
      <c r="Q699" s="2">
        <v>339</v>
      </c>
      <c r="R699" s="2">
        <v>267.29000000000002</v>
      </c>
      <c r="S699">
        <f t="shared" si="49"/>
        <v>267.29000000000002</v>
      </c>
      <c r="T699" t="s">
        <v>61</v>
      </c>
      <c r="U699" s="1">
        <f t="shared" si="52"/>
        <v>0</v>
      </c>
    </row>
    <row r="700" spans="1:21" hidden="1" x14ac:dyDescent="0.25">
      <c r="A700" s="2">
        <v>38915</v>
      </c>
      <c r="B700" s="13" t="s">
        <v>1240</v>
      </c>
      <c r="C700" s="14" t="s">
        <v>39</v>
      </c>
      <c r="D700" s="15">
        <v>45303</v>
      </c>
      <c r="E700" s="2">
        <v>0</v>
      </c>
      <c r="F700" s="14" t="s">
        <v>1075</v>
      </c>
      <c r="G700" t="s">
        <v>1076</v>
      </c>
      <c r="H700" s="14" t="s">
        <v>42</v>
      </c>
      <c r="I700" s="2">
        <v>1</v>
      </c>
      <c r="J700" s="2">
        <v>0</v>
      </c>
      <c r="K700" s="2">
        <v>0</v>
      </c>
      <c r="L700" s="2"/>
      <c r="M700" s="2">
        <v>0</v>
      </c>
      <c r="N700" s="14"/>
      <c r="O700" s="14"/>
      <c r="P700" s="2">
        <v>17</v>
      </c>
      <c r="Q700" s="2">
        <v>17</v>
      </c>
      <c r="R700" s="2">
        <v>10.24</v>
      </c>
      <c r="S700">
        <f t="shared" si="49"/>
        <v>10.24</v>
      </c>
      <c r="T700" t="s">
        <v>61</v>
      </c>
      <c r="U700" s="1">
        <f t="shared" si="52"/>
        <v>0</v>
      </c>
    </row>
    <row r="701" spans="1:21" hidden="1" x14ac:dyDescent="0.25">
      <c r="A701" s="2">
        <v>38915</v>
      </c>
      <c r="B701" s="13" t="s">
        <v>1240</v>
      </c>
      <c r="C701" s="14" t="s">
        <v>39</v>
      </c>
      <c r="D701" s="15">
        <v>45303</v>
      </c>
      <c r="E701" s="2">
        <v>0</v>
      </c>
      <c r="F701" s="14" t="s">
        <v>1073</v>
      </c>
      <c r="G701" t="s">
        <v>1074</v>
      </c>
      <c r="H701" s="14" t="s">
        <v>42</v>
      </c>
      <c r="I701" s="2">
        <v>1</v>
      </c>
      <c r="J701" s="2">
        <v>0</v>
      </c>
      <c r="K701" s="2">
        <v>0</v>
      </c>
      <c r="L701" s="2"/>
      <c r="M701" s="2">
        <v>0</v>
      </c>
      <c r="N701" s="14"/>
      <c r="O701" s="14"/>
      <c r="P701" s="2">
        <v>44</v>
      </c>
      <c r="Q701" s="2">
        <v>44</v>
      </c>
      <c r="R701" s="2">
        <v>34.99</v>
      </c>
      <c r="S701">
        <f t="shared" si="49"/>
        <v>34.99</v>
      </c>
      <c r="T701" t="s">
        <v>61</v>
      </c>
      <c r="U701" s="1">
        <f t="shared" si="52"/>
        <v>0</v>
      </c>
    </row>
    <row r="702" spans="1:21" hidden="1" x14ac:dyDescent="0.25">
      <c r="A702" s="2">
        <v>38915</v>
      </c>
      <c r="B702" s="13" t="s">
        <v>1240</v>
      </c>
      <c r="C702" s="14" t="s">
        <v>39</v>
      </c>
      <c r="D702" s="15">
        <v>45303</v>
      </c>
      <c r="E702" s="2">
        <v>0</v>
      </c>
      <c r="F702" s="14" t="s">
        <v>1081</v>
      </c>
      <c r="G702" t="s">
        <v>1082</v>
      </c>
      <c r="H702" s="14" t="s">
        <v>42</v>
      </c>
      <c r="I702" s="2">
        <v>1</v>
      </c>
      <c r="J702" s="2">
        <v>0</v>
      </c>
      <c r="K702" s="2">
        <v>0</v>
      </c>
      <c r="L702" s="2"/>
      <c r="M702" s="2">
        <v>0</v>
      </c>
      <c r="N702" s="14"/>
      <c r="O702" s="14"/>
      <c r="P702" s="2">
        <v>4823</v>
      </c>
      <c r="Q702" s="2">
        <v>4823</v>
      </c>
      <c r="R702" s="2">
        <v>4002.43</v>
      </c>
      <c r="S702">
        <f t="shared" si="49"/>
        <v>4002.43</v>
      </c>
      <c r="T702" t="s">
        <v>61</v>
      </c>
      <c r="U702" s="1">
        <f t="shared" si="52"/>
        <v>0</v>
      </c>
    </row>
    <row r="703" spans="1:21" hidden="1" x14ac:dyDescent="0.25">
      <c r="A703" s="2">
        <v>38917</v>
      </c>
      <c r="B703" s="13" t="s">
        <v>1241</v>
      </c>
      <c r="C703" s="14" t="s">
        <v>39</v>
      </c>
      <c r="D703" s="15">
        <v>45303</v>
      </c>
      <c r="E703" s="2">
        <v>0</v>
      </c>
      <c r="F703" s="14" t="s">
        <v>1075</v>
      </c>
      <c r="G703" t="s">
        <v>1076</v>
      </c>
      <c r="H703" s="14" t="s">
        <v>42</v>
      </c>
      <c r="I703" s="2">
        <v>1</v>
      </c>
      <c r="J703" s="2">
        <v>0</v>
      </c>
      <c r="K703" s="2">
        <v>0</v>
      </c>
      <c r="L703" s="2"/>
      <c r="M703" s="2">
        <v>0</v>
      </c>
      <c r="N703" s="14"/>
      <c r="O703" s="14"/>
      <c r="P703" s="2">
        <v>17</v>
      </c>
      <c r="Q703" s="2">
        <v>17</v>
      </c>
      <c r="R703" s="2">
        <v>10.24</v>
      </c>
      <c r="S703">
        <f t="shared" si="49"/>
        <v>10.24</v>
      </c>
      <c r="T703" t="s">
        <v>61</v>
      </c>
      <c r="U703" s="1">
        <f t="shared" si="52"/>
        <v>0</v>
      </c>
    </row>
    <row r="704" spans="1:21" hidden="1" x14ac:dyDescent="0.25">
      <c r="A704" s="2">
        <v>38917</v>
      </c>
      <c r="B704" s="13" t="s">
        <v>1241</v>
      </c>
      <c r="C704" s="14" t="s">
        <v>39</v>
      </c>
      <c r="D704" s="15">
        <v>45303</v>
      </c>
      <c r="E704" s="2">
        <v>0</v>
      </c>
      <c r="F704" s="14" t="s">
        <v>1081</v>
      </c>
      <c r="G704" t="s">
        <v>1082</v>
      </c>
      <c r="H704" s="14" t="s">
        <v>42</v>
      </c>
      <c r="I704" s="2">
        <v>1</v>
      </c>
      <c r="J704" s="2">
        <v>0</v>
      </c>
      <c r="K704" s="2">
        <v>0</v>
      </c>
      <c r="L704" s="2"/>
      <c r="M704" s="2">
        <v>0</v>
      </c>
      <c r="N704" s="14"/>
      <c r="O704" s="14"/>
      <c r="P704" s="2">
        <v>4823</v>
      </c>
      <c r="Q704" s="2">
        <v>4823</v>
      </c>
      <c r="R704" s="2">
        <v>4002.43</v>
      </c>
      <c r="S704">
        <f t="shared" si="49"/>
        <v>4002.43</v>
      </c>
      <c r="T704" t="s">
        <v>61</v>
      </c>
      <c r="U704" s="1">
        <f t="shared" si="52"/>
        <v>0</v>
      </c>
    </row>
    <row r="705" spans="1:21" hidden="1" x14ac:dyDescent="0.25">
      <c r="A705" s="2">
        <v>38917</v>
      </c>
      <c r="B705" s="13" t="s">
        <v>1241</v>
      </c>
      <c r="C705" s="14" t="s">
        <v>39</v>
      </c>
      <c r="D705" s="15">
        <v>45303</v>
      </c>
      <c r="E705" s="2">
        <v>0</v>
      </c>
      <c r="F705" s="14" t="s">
        <v>1071</v>
      </c>
      <c r="G705" t="s">
        <v>1072</v>
      </c>
      <c r="H705" s="14" t="s">
        <v>42</v>
      </c>
      <c r="I705" s="2">
        <v>1</v>
      </c>
      <c r="J705" s="2">
        <v>0</v>
      </c>
      <c r="K705" s="2">
        <v>0</v>
      </c>
      <c r="L705" s="2"/>
      <c r="M705" s="2">
        <v>0</v>
      </c>
      <c r="N705" s="14"/>
      <c r="O705" s="14"/>
      <c r="P705" s="2">
        <v>40</v>
      </c>
      <c r="Q705" s="2">
        <v>40</v>
      </c>
      <c r="R705" s="2">
        <v>31.89</v>
      </c>
      <c r="S705">
        <f t="shared" si="49"/>
        <v>31.89</v>
      </c>
      <c r="T705" t="s">
        <v>61</v>
      </c>
      <c r="U705" s="1">
        <f t="shared" si="52"/>
        <v>0</v>
      </c>
    </row>
    <row r="706" spans="1:21" hidden="1" x14ac:dyDescent="0.25">
      <c r="A706" s="2">
        <v>38917</v>
      </c>
      <c r="B706" s="13" t="s">
        <v>1241</v>
      </c>
      <c r="C706" s="14" t="s">
        <v>39</v>
      </c>
      <c r="D706" s="15">
        <v>45303</v>
      </c>
      <c r="E706" s="2">
        <v>0</v>
      </c>
      <c r="F706" s="14" t="s">
        <v>1073</v>
      </c>
      <c r="G706" t="s">
        <v>1074</v>
      </c>
      <c r="H706" s="14" t="s">
        <v>42</v>
      </c>
      <c r="I706" s="2">
        <v>1</v>
      </c>
      <c r="J706" s="2">
        <v>0</v>
      </c>
      <c r="K706" s="2">
        <v>0</v>
      </c>
      <c r="L706" s="2"/>
      <c r="M706" s="2">
        <v>0</v>
      </c>
      <c r="N706" s="14"/>
      <c r="O706" s="14"/>
      <c r="P706" s="2">
        <v>44</v>
      </c>
      <c r="Q706" s="2">
        <v>44</v>
      </c>
      <c r="R706" s="2">
        <v>34.99</v>
      </c>
      <c r="S706">
        <f t="shared" ref="S706:S769" si="53">R706*I706</f>
        <v>34.99</v>
      </c>
      <c r="T706" t="s">
        <v>61</v>
      </c>
      <c r="U706" s="1">
        <f t="shared" si="52"/>
        <v>0</v>
      </c>
    </row>
    <row r="707" spans="1:21" hidden="1" x14ac:dyDescent="0.25">
      <c r="A707" s="2">
        <v>38917</v>
      </c>
      <c r="B707" s="13" t="s">
        <v>1241</v>
      </c>
      <c r="C707" s="14" t="s">
        <v>39</v>
      </c>
      <c r="D707" s="15">
        <v>45303</v>
      </c>
      <c r="E707" s="2">
        <v>0</v>
      </c>
      <c r="F707" s="14" t="s">
        <v>1077</v>
      </c>
      <c r="G707" t="s">
        <v>1078</v>
      </c>
      <c r="H707" s="14" t="s">
        <v>42</v>
      </c>
      <c r="I707" s="2">
        <v>1</v>
      </c>
      <c r="J707" s="2">
        <v>0</v>
      </c>
      <c r="K707" s="2">
        <v>0</v>
      </c>
      <c r="L707" s="2"/>
      <c r="M707" s="2">
        <v>0</v>
      </c>
      <c r="N707" s="14"/>
      <c r="O707" s="14"/>
      <c r="P707" s="2">
        <v>339</v>
      </c>
      <c r="Q707" s="2">
        <v>339</v>
      </c>
      <c r="R707" s="2">
        <v>267.29000000000002</v>
      </c>
      <c r="S707">
        <f t="shared" si="53"/>
        <v>267.29000000000002</v>
      </c>
      <c r="T707" t="s">
        <v>61</v>
      </c>
      <c r="U707" s="1">
        <f t="shared" si="52"/>
        <v>0</v>
      </c>
    </row>
    <row r="708" spans="1:21" hidden="1" x14ac:dyDescent="0.25">
      <c r="A708" s="2">
        <v>38918</v>
      </c>
      <c r="B708" s="13" t="s">
        <v>1242</v>
      </c>
      <c r="C708" s="14" t="s">
        <v>39</v>
      </c>
      <c r="D708" s="15">
        <v>45316</v>
      </c>
      <c r="E708" s="2">
        <v>0</v>
      </c>
      <c r="F708" s="14" t="s">
        <v>217</v>
      </c>
      <c r="G708" t="s">
        <v>218</v>
      </c>
      <c r="H708" s="14" t="s">
        <v>173</v>
      </c>
      <c r="I708" s="2">
        <v>1</v>
      </c>
      <c r="J708" s="2">
        <v>0</v>
      </c>
      <c r="K708" s="2">
        <v>0</v>
      </c>
      <c r="L708" s="2"/>
      <c r="M708" s="2">
        <v>0</v>
      </c>
      <c r="N708" s="14"/>
      <c r="O708" s="14"/>
      <c r="P708" s="2">
        <v>83</v>
      </c>
      <c r="Q708" s="2">
        <v>83</v>
      </c>
      <c r="R708" s="2">
        <v>67.989999999999995</v>
      </c>
      <c r="S708">
        <f t="shared" si="53"/>
        <v>67.989999999999995</v>
      </c>
      <c r="T708" t="s">
        <v>132</v>
      </c>
      <c r="U708" s="1">
        <f t="shared" si="52"/>
        <v>1.2008000000000005</v>
      </c>
    </row>
    <row r="709" spans="1:21" x14ac:dyDescent="0.25">
      <c r="A709" s="2">
        <v>38918</v>
      </c>
      <c r="B709" s="13" t="s">
        <v>1242</v>
      </c>
      <c r="C709" s="14" t="s">
        <v>39</v>
      </c>
      <c r="D709" s="15">
        <v>45316</v>
      </c>
      <c r="E709" s="2">
        <v>0</v>
      </c>
      <c r="F709" s="14" t="s">
        <v>219</v>
      </c>
      <c r="G709" t="s">
        <v>220</v>
      </c>
      <c r="H709" s="14" t="s">
        <v>93</v>
      </c>
      <c r="I709" s="2">
        <v>1</v>
      </c>
      <c r="J709" s="2">
        <v>0</v>
      </c>
      <c r="K709" s="2">
        <v>0</v>
      </c>
      <c r="L709" s="2"/>
      <c r="M709" s="2">
        <v>0</v>
      </c>
      <c r="N709" s="14"/>
      <c r="O709" s="14"/>
      <c r="P709" s="2">
        <v>149</v>
      </c>
      <c r="Q709" s="2">
        <v>149</v>
      </c>
      <c r="R709" s="2">
        <v>0</v>
      </c>
      <c r="S709">
        <f t="shared" si="53"/>
        <v>0</v>
      </c>
      <c r="T709" t="s">
        <v>132</v>
      </c>
      <c r="U709">
        <f>_xlfn.XLOOKUP(T709,$Y$2:$Y$45,$AB$2:$AB$45)*(Q709)</f>
        <v>5.96</v>
      </c>
    </row>
    <row r="710" spans="1:21" hidden="1" x14ac:dyDescent="0.25">
      <c r="A710" s="2">
        <v>38919</v>
      </c>
      <c r="B710" s="13" t="s">
        <v>1243</v>
      </c>
      <c r="C710" s="14" t="s">
        <v>39</v>
      </c>
      <c r="D710" s="15">
        <v>45303</v>
      </c>
      <c r="E710" s="2">
        <v>0</v>
      </c>
      <c r="F710" s="14" t="s">
        <v>1071</v>
      </c>
      <c r="G710" t="s">
        <v>1072</v>
      </c>
      <c r="H710" s="14" t="s">
        <v>42</v>
      </c>
      <c r="I710" s="2">
        <v>1</v>
      </c>
      <c r="J710" s="2">
        <v>0</v>
      </c>
      <c r="K710" s="2">
        <v>0</v>
      </c>
      <c r="L710" s="2"/>
      <c r="M710" s="2">
        <v>0</v>
      </c>
      <c r="N710" s="14"/>
      <c r="O710" s="14"/>
      <c r="P710" s="2">
        <v>40</v>
      </c>
      <c r="Q710" s="2">
        <v>40</v>
      </c>
      <c r="R710" s="2">
        <v>31.89</v>
      </c>
      <c r="S710">
        <f t="shared" si="53"/>
        <v>31.89</v>
      </c>
      <c r="T710" t="s">
        <v>61</v>
      </c>
      <c r="U710" s="1">
        <f t="shared" ref="U710:U715" si="54">_xlfn.XLOOKUP(T710,$Y$2:$Y$45,$AA$2:$AA$45)*(Q710-S710)</f>
        <v>0</v>
      </c>
    </row>
    <row r="711" spans="1:21" hidden="1" x14ac:dyDescent="0.25">
      <c r="A711" s="2">
        <v>38919</v>
      </c>
      <c r="B711" s="13" t="s">
        <v>1243</v>
      </c>
      <c r="C711" s="14" t="s">
        <v>39</v>
      </c>
      <c r="D711" s="15">
        <v>45303</v>
      </c>
      <c r="E711" s="2">
        <v>0</v>
      </c>
      <c r="F711" s="14" t="s">
        <v>1073</v>
      </c>
      <c r="G711" t="s">
        <v>1074</v>
      </c>
      <c r="H711" s="14" t="s">
        <v>42</v>
      </c>
      <c r="I711" s="2">
        <v>1</v>
      </c>
      <c r="J711" s="2">
        <v>0</v>
      </c>
      <c r="K711" s="2">
        <v>0</v>
      </c>
      <c r="L711" s="2"/>
      <c r="M711" s="2">
        <v>0</v>
      </c>
      <c r="N711" s="14"/>
      <c r="O711" s="14"/>
      <c r="P711" s="2">
        <v>44</v>
      </c>
      <c r="Q711" s="2">
        <v>44</v>
      </c>
      <c r="R711" s="2">
        <v>34.99</v>
      </c>
      <c r="S711">
        <f t="shared" si="53"/>
        <v>34.99</v>
      </c>
      <c r="T711" t="s">
        <v>61</v>
      </c>
      <c r="U711" s="1">
        <f t="shared" si="54"/>
        <v>0</v>
      </c>
    </row>
    <row r="712" spans="1:21" hidden="1" x14ac:dyDescent="0.25">
      <c r="A712" s="2">
        <v>38919</v>
      </c>
      <c r="B712" s="13" t="s">
        <v>1243</v>
      </c>
      <c r="C712" s="14" t="s">
        <v>39</v>
      </c>
      <c r="D712" s="15">
        <v>45303</v>
      </c>
      <c r="E712" s="2">
        <v>0</v>
      </c>
      <c r="F712" s="14" t="s">
        <v>1075</v>
      </c>
      <c r="G712" t="s">
        <v>1076</v>
      </c>
      <c r="H712" s="14" t="s">
        <v>42</v>
      </c>
      <c r="I712" s="2">
        <v>1</v>
      </c>
      <c r="J712" s="2">
        <v>0</v>
      </c>
      <c r="K712" s="2">
        <v>0</v>
      </c>
      <c r="L712" s="2"/>
      <c r="M712" s="2">
        <v>0</v>
      </c>
      <c r="N712" s="14"/>
      <c r="O712" s="14"/>
      <c r="P712" s="2">
        <v>17</v>
      </c>
      <c r="Q712" s="2">
        <v>17</v>
      </c>
      <c r="R712" s="2">
        <v>10.24</v>
      </c>
      <c r="S712">
        <f t="shared" si="53"/>
        <v>10.24</v>
      </c>
      <c r="T712" t="s">
        <v>61</v>
      </c>
      <c r="U712" s="1">
        <f t="shared" si="54"/>
        <v>0</v>
      </c>
    </row>
    <row r="713" spans="1:21" hidden="1" x14ac:dyDescent="0.25">
      <c r="A713" s="2">
        <v>38919</v>
      </c>
      <c r="B713" s="13" t="s">
        <v>1243</v>
      </c>
      <c r="C713" s="14" t="s">
        <v>39</v>
      </c>
      <c r="D713" s="15">
        <v>45303</v>
      </c>
      <c r="E713" s="2">
        <v>0</v>
      </c>
      <c r="F713" s="14" t="s">
        <v>1081</v>
      </c>
      <c r="G713" t="s">
        <v>1082</v>
      </c>
      <c r="H713" s="14" t="s">
        <v>42</v>
      </c>
      <c r="I713" s="2">
        <v>1</v>
      </c>
      <c r="J713" s="2">
        <v>0</v>
      </c>
      <c r="K713" s="2">
        <v>0</v>
      </c>
      <c r="L713" s="2"/>
      <c r="M713" s="2">
        <v>0</v>
      </c>
      <c r="N713" s="14"/>
      <c r="O713" s="14"/>
      <c r="P713" s="2">
        <v>4823</v>
      </c>
      <c r="Q713" s="2">
        <v>4823</v>
      </c>
      <c r="R713" s="2">
        <v>4002.43</v>
      </c>
      <c r="S713">
        <f t="shared" si="53"/>
        <v>4002.43</v>
      </c>
      <c r="T713" t="s">
        <v>61</v>
      </c>
      <c r="U713" s="1">
        <f t="shared" si="54"/>
        <v>0</v>
      </c>
    </row>
    <row r="714" spans="1:21" hidden="1" x14ac:dyDescent="0.25">
      <c r="A714" s="2">
        <v>38919</v>
      </c>
      <c r="B714" s="13" t="s">
        <v>1243</v>
      </c>
      <c r="C714" s="14" t="s">
        <v>39</v>
      </c>
      <c r="D714" s="15">
        <v>45303</v>
      </c>
      <c r="E714" s="2">
        <v>0</v>
      </c>
      <c r="F714" s="14" t="s">
        <v>1077</v>
      </c>
      <c r="G714" t="s">
        <v>1078</v>
      </c>
      <c r="H714" s="14" t="s">
        <v>42</v>
      </c>
      <c r="I714" s="2">
        <v>1</v>
      </c>
      <c r="J714" s="2">
        <v>0</v>
      </c>
      <c r="K714" s="2">
        <v>0</v>
      </c>
      <c r="L714" s="2"/>
      <c r="M714" s="2">
        <v>0</v>
      </c>
      <c r="N714" s="14"/>
      <c r="O714" s="14"/>
      <c r="P714" s="2">
        <v>339</v>
      </c>
      <c r="Q714" s="2">
        <v>339</v>
      </c>
      <c r="R714" s="2">
        <v>267.29000000000002</v>
      </c>
      <c r="S714">
        <f t="shared" si="53"/>
        <v>267.29000000000002</v>
      </c>
      <c r="T714" t="s">
        <v>61</v>
      </c>
      <c r="U714" s="1">
        <f t="shared" si="54"/>
        <v>0</v>
      </c>
    </row>
    <row r="715" spans="1:21" hidden="1" x14ac:dyDescent="0.25">
      <c r="A715" s="2">
        <v>38922</v>
      </c>
      <c r="B715" s="13" t="s">
        <v>1244</v>
      </c>
      <c r="C715" s="14" t="s">
        <v>39</v>
      </c>
      <c r="D715" s="15">
        <v>45317</v>
      </c>
      <c r="E715" s="2">
        <v>0</v>
      </c>
      <c r="F715" s="14" t="s">
        <v>217</v>
      </c>
      <c r="G715" t="s">
        <v>218</v>
      </c>
      <c r="H715" s="14" t="s">
        <v>173</v>
      </c>
      <c r="I715" s="2">
        <v>1</v>
      </c>
      <c r="J715" s="2">
        <v>0</v>
      </c>
      <c r="K715" s="2">
        <v>0</v>
      </c>
      <c r="L715" s="2"/>
      <c r="M715" s="2">
        <v>0</v>
      </c>
      <c r="N715" s="14"/>
      <c r="O715" s="14"/>
      <c r="P715" s="2">
        <v>83</v>
      </c>
      <c r="Q715" s="2">
        <v>83</v>
      </c>
      <c r="R715" s="2">
        <v>67.989999999999995</v>
      </c>
      <c r="S715">
        <f t="shared" si="53"/>
        <v>67.989999999999995</v>
      </c>
      <c r="T715" t="s">
        <v>132</v>
      </c>
      <c r="U715" s="1">
        <f t="shared" si="54"/>
        <v>1.2008000000000005</v>
      </c>
    </row>
    <row r="716" spans="1:21" x14ac:dyDescent="0.25">
      <c r="A716" s="2">
        <v>38922</v>
      </c>
      <c r="B716" s="13" t="s">
        <v>1244</v>
      </c>
      <c r="C716" s="14" t="s">
        <v>39</v>
      </c>
      <c r="D716" s="15">
        <v>45317</v>
      </c>
      <c r="E716" s="2">
        <v>0</v>
      </c>
      <c r="F716" s="14" t="s">
        <v>219</v>
      </c>
      <c r="G716" t="s">
        <v>220</v>
      </c>
      <c r="H716" s="14" t="s">
        <v>93</v>
      </c>
      <c r="I716" s="2">
        <v>1</v>
      </c>
      <c r="J716" s="2">
        <v>0</v>
      </c>
      <c r="K716" s="2">
        <v>0</v>
      </c>
      <c r="L716" s="2"/>
      <c r="M716" s="2">
        <v>0</v>
      </c>
      <c r="N716" s="14"/>
      <c r="O716" s="14"/>
      <c r="P716" s="2">
        <v>149</v>
      </c>
      <c r="Q716" s="2">
        <v>149</v>
      </c>
      <c r="R716" s="2">
        <v>0</v>
      </c>
      <c r="S716">
        <f t="shared" si="53"/>
        <v>0</v>
      </c>
      <c r="T716" t="s">
        <v>132</v>
      </c>
      <c r="U716">
        <f>_xlfn.XLOOKUP(T716,$Y$2:$Y$45,$AB$2:$AB$45)*(Q716)</f>
        <v>5.96</v>
      </c>
    </row>
    <row r="717" spans="1:21" hidden="1" x14ac:dyDescent="0.25">
      <c r="A717" s="2">
        <v>38926</v>
      </c>
      <c r="B717" s="13" t="s">
        <v>1245</v>
      </c>
      <c r="C717" s="14" t="s">
        <v>39</v>
      </c>
      <c r="D717" s="15">
        <v>45313</v>
      </c>
      <c r="E717" s="2">
        <v>0</v>
      </c>
      <c r="F717" s="14" t="s">
        <v>1246</v>
      </c>
      <c r="G717" t="s">
        <v>1247</v>
      </c>
      <c r="H717" s="14" t="s">
        <v>42</v>
      </c>
      <c r="I717" s="2">
        <v>1</v>
      </c>
      <c r="J717" s="2">
        <v>0</v>
      </c>
      <c r="K717" s="2">
        <v>0</v>
      </c>
      <c r="L717" s="2"/>
      <c r="M717" s="2">
        <v>0</v>
      </c>
      <c r="N717" s="14"/>
      <c r="O717" s="14"/>
      <c r="P717" s="2">
        <v>80</v>
      </c>
      <c r="Q717" s="2">
        <v>80</v>
      </c>
      <c r="R717" s="2">
        <v>44.99</v>
      </c>
      <c r="S717">
        <f t="shared" si="53"/>
        <v>44.99</v>
      </c>
      <c r="T717" t="s">
        <v>107</v>
      </c>
      <c r="U717" s="1">
        <f t="shared" ref="U717:U736" si="55">_xlfn.XLOOKUP(T717,$Y$2:$Y$45,$AA$2:$AA$45)*(Q717-S717)</f>
        <v>1.4003999999999999</v>
      </c>
    </row>
    <row r="718" spans="1:21" hidden="1" x14ac:dyDescent="0.25">
      <c r="A718" s="2">
        <v>38930</v>
      </c>
      <c r="B718" s="13" t="s">
        <v>1248</v>
      </c>
      <c r="C718" s="14" t="s">
        <v>39</v>
      </c>
      <c r="D718" s="15">
        <v>45307</v>
      </c>
      <c r="E718" s="2">
        <v>0</v>
      </c>
      <c r="F718" s="14" t="s">
        <v>602</v>
      </c>
      <c r="G718" t="s">
        <v>1249</v>
      </c>
      <c r="H718" s="14" t="s">
        <v>42</v>
      </c>
      <c r="I718" s="2">
        <v>4</v>
      </c>
      <c r="J718" s="2">
        <v>0</v>
      </c>
      <c r="K718" s="2">
        <v>0</v>
      </c>
      <c r="L718" s="2"/>
      <c r="M718" s="2">
        <v>0</v>
      </c>
      <c r="N718" s="14"/>
      <c r="O718" s="14"/>
      <c r="P718" s="2">
        <v>49</v>
      </c>
      <c r="Q718" s="2">
        <v>196</v>
      </c>
      <c r="R718" s="2">
        <v>41.65</v>
      </c>
      <c r="S718">
        <f t="shared" si="53"/>
        <v>166.6</v>
      </c>
      <c r="T718" t="s">
        <v>184</v>
      </c>
      <c r="U718" s="1">
        <f t="shared" si="55"/>
        <v>0</v>
      </c>
    </row>
    <row r="719" spans="1:21" hidden="1" x14ac:dyDescent="0.25">
      <c r="A719" s="2">
        <v>38935</v>
      </c>
      <c r="B719" s="13" t="s">
        <v>1250</v>
      </c>
      <c r="C719" s="14" t="s">
        <v>39</v>
      </c>
      <c r="D719" s="15">
        <v>45307</v>
      </c>
      <c r="E719" s="2">
        <v>0</v>
      </c>
      <c r="F719" s="14" t="s">
        <v>1251</v>
      </c>
      <c r="G719" t="s">
        <v>1252</v>
      </c>
      <c r="H719" s="14" t="s">
        <v>42</v>
      </c>
      <c r="I719" s="2">
        <v>1</v>
      </c>
      <c r="J719" s="2">
        <v>0</v>
      </c>
      <c r="K719" s="2">
        <v>0</v>
      </c>
      <c r="L719" s="2"/>
      <c r="M719" s="2">
        <v>0</v>
      </c>
      <c r="N719" s="14"/>
      <c r="O719" s="14"/>
      <c r="P719" s="2">
        <v>1232.21</v>
      </c>
      <c r="Q719" s="2">
        <v>1232.21</v>
      </c>
      <c r="R719" s="2">
        <v>862.55</v>
      </c>
      <c r="S719">
        <f t="shared" si="53"/>
        <v>862.55</v>
      </c>
      <c r="T719" t="s">
        <v>132</v>
      </c>
      <c r="U719" s="1">
        <f t="shared" si="55"/>
        <v>29.572800000000008</v>
      </c>
    </row>
    <row r="720" spans="1:21" hidden="1" x14ac:dyDescent="0.25">
      <c r="A720" s="2">
        <v>38936</v>
      </c>
      <c r="B720" s="13" t="s">
        <v>1253</v>
      </c>
      <c r="C720" s="14" t="s">
        <v>39</v>
      </c>
      <c r="D720" s="15">
        <v>45307</v>
      </c>
      <c r="E720" s="2">
        <v>0</v>
      </c>
      <c r="F720" s="14" t="s">
        <v>1254</v>
      </c>
      <c r="G720" t="s">
        <v>863</v>
      </c>
      <c r="H720" s="14" t="s">
        <v>42</v>
      </c>
      <c r="I720" s="2">
        <v>1</v>
      </c>
      <c r="J720" s="2">
        <v>0</v>
      </c>
      <c r="K720" s="2">
        <v>0</v>
      </c>
      <c r="L720" s="2"/>
      <c r="M720" s="2">
        <v>0</v>
      </c>
      <c r="N720" s="14"/>
      <c r="O720" s="14"/>
      <c r="P720" s="2">
        <v>68</v>
      </c>
      <c r="Q720" s="2">
        <v>68</v>
      </c>
      <c r="R720" s="2">
        <v>55.4</v>
      </c>
      <c r="S720">
        <f t="shared" si="53"/>
        <v>55.4</v>
      </c>
      <c r="T720" t="s">
        <v>132</v>
      </c>
      <c r="U720" s="1">
        <f t="shared" si="55"/>
        <v>1.0080000000000002</v>
      </c>
    </row>
    <row r="721" spans="1:21" hidden="1" x14ac:dyDescent="0.25">
      <c r="A721" s="2">
        <v>38936</v>
      </c>
      <c r="B721" s="13" t="s">
        <v>1253</v>
      </c>
      <c r="C721" s="14" t="s">
        <v>39</v>
      </c>
      <c r="D721" s="15">
        <v>45307</v>
      </c>
      <c r="E721" s="2">
        <v>0</v>
      </c>
      <c r="F721" s="14" t="s">
        <v>1255</v>
      </c>
      <c r="G721" t="s">
        <v>1256</v>
      </c>
      <c r="H721" s="14" t="s">
        <v>42</v>
      </c>
      <c r="I721" s="2">
        <v>1</v>
      </c>
      <c r="J721" s="2">
        <v>0</v>
      </c>
      <c r="K721" s="2">
        <v>0</v>
      </c>
      <c r="L721" s="2"/>
      <c r="M721" s="2">
        <v>0</v>
      </c>
      <c r="N721" s="14"/>
      <c r="O721" s="14"/>
      <c r="P721" s="2">
        <v>1626</v>
      </c>
      <c r="Q721" s="2">
        <v>1626</v>
      </c>
      <c r="R721" s="2">
        <v>1332.87</v>
      </c>
      <c r="S721">
        <f t="shared" si="53"/>
        <v>1332.87</v>
      </c>
      <c r="T721" t="s">
        <v>132</v>
      </c>
      <c r="U721" s="1">
        <f t="shared" si="55"/>
        <v>23.450400000000009</v>
      </c>
    </row>
    <row r="722" spans="1:21" hidden="1" x14ac:dyDescent="0.25">
      <c r="A722" s="2">
        <v>38938</v>
      </c>
      <c r="B722" s="13" t="s">
        <v>1257</v>
      </c>
      <c r="C722" s="14" t="s">
        <v>39</v>
      </c>
      <c r="D722" s="15">
        <v>45306</v>
      </c>
      <c r="E722" s="2">
        <v>0</v>
      </c>
      <c r="F722" s="14" t="s">
        <v>1258</v>
      </c>
      <c r="G722" t="s">
        <v>1259</v>
      </c>
      <c r="H722" s="14" t="s">
        <v>42</v>
      </c>
      <c r="I722" s="2">
        <v>1</v>
      </c>
      <c r="J722" s="2">
        <v>0</v>
      </c>
      <c r="K722" s="2">
        <v>0</v>
      </c>
      <c r="L722" s="2"/>
      <c r="M722" s="2">
        <v>0</v>
      </c>
      <c r="N722" s="14"/>
      <c r="O722" s="14"/>
      <c r="P722" s="2">
        <v>1223</v>
      </c>
      <c r="Q722" s="2">
        <v>1223</v>
      </c>
      <c r="R722" s="2">
        <v>1002.31</v>
      </c>
      <c r="S722">
        <f t="shared" si="53"/>
        <v>1002.31</v>
      </c>
      <c r="T722" t="s">
        <v>184</v>
      </c>
      <c r="U722" s="1">
        <f t="shared" si="55"/>
        <v>0</v>
      </c>
    </row>
    <row r="723" spans="1:21" hidden="1" x14ac:dyDescent="0.25">
      <c r="A723" s="2">
        <v>38938</v>
      </c>
      <c r="B723" s="13" t="s">
        <v>1257</v>
      </c>
      <c r="C723" s="14" t="s">
        <v>39</v>
      </c>
      <c r="D723" s="15">
        <v>45306</v>
      </c>
      <c r="E723" s="2">
        <v>0</v>
      </c>
      <c r="F723" s="14" t="s">
        <v>345</v>
      </c>
      <c r="G723" t="s">
        <v>346</v>
      </c>
      <c r="H723" s="14" t="s">
        <v>42</v>
      </c>
      <c r="I723" s="2">
        <v>1</v>
      </c>
      <c r="J723" s="2">
        <v>0</v>
      </c>
      <c r="K723" s="2">
        <v>0</v>
      </c>
      <c r="L723" s="2"/>
      <c r="M723" s="2">
        <v>0</v>
      </c>
      <c r="N723" s="14"/>
      <c r="O723" s="14"/>
      <c r="P723" s="2">
        <v>171</v>
      </c>
      <c r="Q723" s="2">
        <v>171</v>
      </c>
      <c r="R723" s="2">
        <v>140.19</v>
      </c>
      <c r="S723">
        <f t="shared" si="53"/>
        <v>140.19</v>
      </c>
      <c r="T723" t="s">
        <v>184</v>
      </c>
      <c r="U723" s="1">
        <f t="shared" si="55"/>
        <v>0</v>
      </c>
    </row>
    <row r="724" spans="1:21" hidden="1" x14ac:dyDescent="0.25">
      <c r="A724" s="2">
        <v>38941</v>
      </c>
      <c r="B724" s="13" t="s">
        <v>1260</v>
      </c>
      <c r="C724" s="14" t="s">
        <v>39</v>
      </c>
      <c r="D724" s="15">
        <v>45310</v>
      </c>
      <c r="E724" s="2">
        <v>0</v>
      </c>
      <c r="F724" s="14" t="s">
        <v>1087</v>
      </c>
      <c r="G724" t="s">
        <v>1088</v>
      </c>
      <c r="H724" s="14" t="s">
        <v>42</v>
      </c>
      <c r="I724" s="2">
        <v>2</v>
      </c>
      <c r="J724" s="2">
        <v>0</v>
      </c>
      <c r="K724" s="2">
        <v>0</v>
      </c>
      <c r="L724" s="2"/>
      <c r="M724" s="2">
        <v>0</v>
      </c>
      <c r="N724" s="14"/>
      <c r="O724" s="14"/>
      <c r="P724" s="2">
        <v>281</v>
      </c>
      <c r="Q724" s="2">
        <v>562</v>
      </c>
      <c r="R724" s="2">
        <v>230.3</v>
      </c>
      <c r="S724">
        <f t="shared" si="53"/>
        <v>460.6</v>
      </c>
      <c r="T724" t="s">
        <v>132</v>
      </c>
      <c r="U724" s="1">
        <f t="shared" si="55"/>
        <v>8.1119999999999983</v>
      </c>
    </row>
    <row r="725" spans="1:21" hidden="1" x14ac:dyDescent="0.25">
      <c r="A725" s="2">
        <v>38949</v>
      </c>
      <c r="B725" s="13" t="s">
        <v>1067</v>
      </c>
      <c r="C725" s="14" t="s">
        <v>39</v>
      </c>
      <c r="D725" s="15">
        <v>45309</v>
      </c>
      <c r="E725" s="2">
        <v>0</v>
      </c>
      <c r="F725" s="14" t="s">
        <v>1261</v>
      </c>
      <c r="G725" t="s">
        <v>1262</v>
      </c>
      <c r="H725" s="14" t="s">
        <v>42</v>
      </c>
      <c r="I725" s="2">
        <v>1</v>
      </c>
      <c r="J725" s="2">
        <v>0</v>
      </c>
      <c r="K725" s="2">
        <v>0</v>
      </c>
      <c r="L725" s="2"/>
      <c r="M725" s="2">
        <v>0</v>
      </c>
      <c r="N725" s="14"/>
      <c r="O725" s="14"/>
      <c r="P725" s="2">
        <v>19.989999999999998</v>
      </c>
      <c r="Q725" s="2">
        <v>19.989999999999998</v>
      </c>
      <c r="R725" s="2">
        <v>12.17</v>
      </c>
      <c r="S725">
        <f t="shared" si="53"/>
        <v>12.17</v>
      </c>
      <c r="T725" t="s">
        <v>107</v>
      </c>
      <c r="U725" s="1">
        <f t="shared" si="55"/>
        <v>0.31279999999999997</v>
      </c>
    </row>
    <row r="726" spans="1:21" hidden="1" x14ac:dyDescent="0.25">
      <c r="A726" s="2">
        <v>38951</v>
      </c>
      <c r="B726" s="13" t="s">
        <v>1263</v>
      </c>
      <c r="C726" s="14" t="s">
        <v>39</v>
      </c>
      <c r="D726" s="15">
        <v>45313</v>
      </c>
      <c r="E726" s="2">
        <v>0</v>
      </c>
      <c r="F726" s="14" t="s">
        <v>747</v>
      </c>
      <c r="G726" t="s">
        <v>746</v>
      </c>
      <c r="H726" s="14" t="s">
        <v>42</v>
      </c>
      <c r="I726" s="2">
        <v>2</v>
      </c>
      <c r="J726" s="2">
        <v>0</v>
      </c>
      <c r="K726" s="2">
        <v>0</v>
      </c>
      <c r="L726" s="2"/>
      <c r="M726" s="2">
        <v>0</v>
      </c>
      <c r="N726" s="14"/>
      <c r="O726" s="14"/>
      <c r="P726" s="2">
        <v>573</v>
      </c>
      <c r="Q726" s="2">
        <v>1146</v>
      </c>
      <c r="R726" s="2">
        <v>475.59</v>
      </c>
      <c r="S726">
        <f t="shared" si="53"/>
        <v>951.18</v>
      </c>
      <c r="T726" t="s">
        <v>184</v>
      </c>
      <c r="U726" s="1">
        <f t="shared" si="55"/>
        <v>0</v>
      </c>
    </row>
    <row r="727" spans="1:21" hidden="1" x14ac:dyDescent="0.25">
      <c r="A727" s="2">
        <v>38953</v>
      </c>
      <c r="B727" s="13" t="s">
        <v>1067</v>
      </c>
      <c r="C727" s="14" t="s">
        <v>39</v>
      </c>
      <c r="D727" s="15">
        <v>45309</v>
      </c>
      <c r="E727" s="2">
        <v>0</v>
      </c>
      <c r="F727" s="14" t="s">
        <v>1068</v>
      </c>
      <c r="G727" t="s">
        <v>1264</v>
      </c>
      <c r="H727" s="14" t="s">
        <v>42</v>
      </c>
      <c r="I727" s="2">
        <v>1</v>
      </c>
      <c r="J727" s="2">
        <v>0</v>
      </c>
      <c r="K727" s="2">
        <v>0</v>
      </c>
      <c r="L727" s="2"/>
      <c r="M727" s="2">
        <v>0</v>
      </c>
      <c r="N727" s="14"/>
      <c r="O727" s="14"/>
      <c r="P727" s="2">
        <v>64.95</v>
      </c>
      <c r="Q727" s="2">
        <v>64.95</v>
      </c>
      <c r="R727" s="2">
        <v>44.34</v>
      </c>
      <c r="S727">
        <f t="shared" si="53"/>
        <v>44.34</v>
      </c>
      <c r="T727" t="s">
        <v>107</v>
      </c>
      <c r="U727" s="1">
        <f t="shared" si="55"/>
        <v>0.82440000000000002</v>
      </c>
    </row>
    <row r="728" spans="1:21" hidden="1" x14ac:dyDescent="0.25">
      <c r="A728" s="2">
        <v>38955</v>
      </c>
      <c r="B728" s="13" t="s">
        <v>1265</v>
      </c>
      <c r="C728" s="14" t="s">
        <v>39</v>
      </c>
      <c r="D728" s="15">
        <v>45310</v>
      </c>
      <c r="E728" s="2">
        <v>0</v>
      </c>
      <c r="F728" s="14" t="s">
        <v>217</v>
      </c>
      <c r="G728" t="s">
        <v>218</v>
      </c>
      <c r="H728" s="14" t="s">
        <v>173</v>
      </c>
      <c r="I728" s="2">
        <v>1</v>
      </c>
      <c r="J728" s="2">
        <v>0</v>
      </c>
      <c r="K728" s="2">
        <v>0</v>
      </c>
      <c r="L728" s="2"/>
      <c r="M728" s="2">
        <v>0</v>
      </c>
      <c r="N728" s="14"/>
      <c r="O728" s="14"/>
      <c r="P728" s="2">
        <v>83</v>
      </c>
      <c r="Q728" s="2">
        <v>83</v>
      </c>
      <c r="R728" s="2">
        <v>67.989999999999995</v>
      </c>
      <c r="S728">
        <f t="shared" si="53"/>
        <v>67.989999999999995</v>
      </c>
      <c r="T728" t="s">
        <v>107</v>
      </c>
      <c r="U728" s="1">
        <f t="shared" si="55"/>
        <v>0.60040000000000027</v>
      </c>
    </row>
    <row r="729" spans="1:21" hidden="1" x14ac:dyDescent="0.25">
      <c r="A729" s="2">
        <v>38956</v>
      </c>
      <c r="B729" s="13" t="s">
        <v>1067</v>
      </c>
      <c r="C729" s="14" t="s">
        <v>39</v>
      </c>
      <c r="D729" s="15">
        <v>45307</v>
      </c>
      <c r="E729" s="2">
        <v>0</v>
      </c>
      <c r="F729" s="14" t="s">
        <v>1261</v>
      </c>
      <c r="G729" t="s">
        <v>1262</v>
      </c>
      <c r="H729" s="14" t="s">
        <v>42</v>
      </c>
      <c r="I729" s="2">
        <v>1</v>
      </c>
      <c r="J729" s="2">
        <v>0</v>
      </c>
      <c r="K729" s="2">
        <v>0</v>
      </c>
      <c r="L729" s="2"/>
      <c r="M729" s="2">
        <v>0</v>
      </c>
      <c r="N729" s="14"/>
      <c r="O729" s="14"/>
      <c r="P729" s="2">
        <v>19.989999999999998</v>
      </c>
      <c r="Q729" s="2">
        <v>19.989999999999998</v>
      </c>
      <c r="R729" s="2">
        <v>12.17</v>
      </c>
      <c r="S729">
        <f t="shared" si="53"/>
        <v>12.17</v>
      </c>
      <c r="T729" t="s">
        <v>107</v>
      </c>
      <c r="U729" s="1">
        <f t="shared" si="55"/>
        <v>0.31279999999999997</v>
      </c>
    </row>
    <row r="730" spans="1:21" hidden="1" x14ac:dyDescent="0.25">
      <c r="A730" s="2">
        <v>38957</v>
      </c>
      <c r="B730" s="13" t="s">
        <v>1266</v>
      </c>
      <c r="C730" s="14" t="s">
        <v>39</v>
      </c>
      <c r="D730" s="15">
        <v>45306</v>
      </c>
      <c r="E730" s="2">
        <v>0</v>
      </c>
      <c r="F730" s="14" t="s">
        <v>1267</v>
      </c>
      <c r="G730" t="s">
        <v>1268</v>
      </c>
      <c r="H730" s="14" t="s">
        <v>173</v>
      </c>
      <c r="I730" s="2">
        <v>1</v>
      </c>
      <c r="J730" s="2">
        <v>0</v>
      </c>
      <c r="K730" s="2">
        <v>0</v>
      </c>
      <c r="L730" s="2"/>
      <c r="M730" s="2">
        <v>0</v>
      </c>
      <c r="N730" s="14"/>
      <c r="O730" s="14"/>
      <c r="P730" s="2">
        <v>517.19000000000005</v>
      </c>
      <c r="Q730" s="2">
        <v>517.19000000000005</v>
      </c>
      <c r="R730" s="2">
        <v>413.75</v>
      </c>
      <c r="S730">
        <f t="shared" si="53"/>
        <v>413.75</v>
      </c>
      <c r="T730" t="s">
        <v>188</v>
      </c>
      <c r="U730" s="1">
        <f t="shared" si="55"/>
        <v>0</v>
      </c>
    </row>
    <row r="731" spans="1:21" hidden="1" x14ac:dyDescent="0.25">
      <c r="A731" s="2">
        <v>38957</v>
      </c>
      <c r="B731" s="13" t="s">
        <v>1266</v>
      </c>
      <c r="C731" s="14" t="s">
        <v>39</v>
      </c>
      <c r="D731" s="15">
        <v>45306</v>
      </c>
      <c r="E731" s="2">
        <v>0</v>
      </c>
      <c r="F731" s="14" t="s">
        <v>1269</v>
      </c>
      <c r="G731" t="s">
        <v>1270</v>
      </c>
      <c r="H731" s="14" t="s">
        <v>173</v>
      </c>
      <c r="I731" s="2">
        <v>45</v>
      </c>
      <c r="J731" s="2">
        <v>0</v>
      </c>
      <c r="K731" s="2">
        <v>0</v>
      </c>
      <c r="L731" s="2"/>
      <c r="M731" s="2">
        <v>0</v>
      </c>
      <c r="N731" s="14"/>
      <c r="O731" s="14"/>
      <c r="P731" s="2">
        <v>187.04</v>
      </c>
      <c r="Q731" s="2">
        <v>8416.7999999999993</v>
      </c>
      <c r="R731" s="2">
        <v>149.63</v>
      </c>
      <c r="S731">
        <f t="shared" si="53"/>
        <v>6733.3499999999995</v>
      </c>
      <c r="T731" t="s">
        <v>188</v>
      </c>
      <c r="U731" s="1">
        <f t="shared" si="55"/>
        <v>0</v>
      </c>
    </row>
    <row r="732" spans="1:21" hidden="1" x14ac:dyDescent="0.25">
      <c r="A732" s="2">
        <v>38957</v>
      </c>
      <c r="B732" s="13" t="s">
        <v>1266</v>
      </c>
      <c r="C732" s="14" t="s">
        <v>39</v>
      </c>
      <c r="D732" s="15">
        <v>45306</v>
      </c>
      <c r="E732" s="2">
        <v>0</v>
      </c>
      <c r="F732" s="14" t="s">
        <v>1271</v>
      </c>
      <c r="G732" t="s">
        <v>1272</v>
      </c>
      <c r="H732" s="14" t="s">
        <v>173</v>
      </c>
      <c r="I732" s="2">
        <v>1</v>
      </c>
      <c r="J732" s="2">
        <v>0</v>
      </c>
      <c r="K732" s="2">
        <v>0</v>
      </c>
      <c r="L732" s="2"/>
      <c r="M732" s="2">
        <v>0</v>
      </c>
      <c r="N732" s="14"/>
      <c r="O732" s="14"/>
      <c r="P732" s="2">
        <v>517.19000000000005</v>
      </c>
      <c r="Q732" s="2">
        <v>517.19000000000005</v>
      </c>
      <c r="R732" s="2">
        <v>413.75</v>
      </c>
      <c r="S732">
        <f t="shared" si="53"/>
        <v>413.75</v>
      </c>
      <c r="T732" t="s">
        <v>188</v>
      </c>
      <c r="U732" s="1">
        <f t="shared" si="55"/>
        <v>0</v>
      </c>
    </row>
    <row r="733" spans="1:21" hidden="1" x14ac:dyDescent="0.25">
      <c r="A733" s="2">
        <v>38957</v>
      </c>
      <c r="B733" s="13" t="s">
        <v>1266</v>
      </c>
      <c r="C733" s="14" t="s">
        <v>39</v>
      </c>
      <c r="D733" s="15">
        <v>45306</v>
      </c>
      <c r="E733" s="2">
        <v>0</v>
      </c>
      <c r="F733" s="14" t="s">
        <v>1273</v>
      </c>
      <c r="G733" t="s">
        <v>1274</v>
      </c>
      <c r="H733" s="14" t="s">
        <v>173</v>
      </c>
      <c r="I733" s="2">
        <v>1</v>
      </c>
      <c r="J733" s="2">
        <v>0</v>
      </c>
      <c r="K733" s="2">
        <v>0</v>
      </c>
      <c r="L733" s="2"/>
      <c r="M733" s="2">
        <v>0</v>
      </c>
      <c r="N733" s="14"/>
      <c r="O733" s="14"/>
      <c r="P733" s="2">
        <v>517.19000000000005</v>
      </c>
      <c r="Q733" s="2">
        <v>517.19000000000005</v>
      </c>
      <c r="R733" s="2">
        <v>413.75</v>
      </c>
      <c r="S733">
        <f t="shared" si="53"/>
        <v>413.75</v>
      </c>
      <c r="T733" t="s">
        <v>188</v>
      </c>
      <c r="U733" s="1">
        <f t="shared" si="55"/>
        <v>0</v>
      </c>
    </row>
    <row r="734" spans="1:21" hidden="1" x14ac:dyDescent="0.25">
      <c r="A734" s="2">
        <v>38957</v>
      </c>
      <c r="B734" s="13" t="s">
        <v>1266</v>
      </c>
      <c r="C734" s="14" t="s">
        <v>39</v>
      </c>
      <c r="D734" s="15">
        <v>45306</v>
      </c>
      <c r="E734" s="2">
        <v>0</v>
      </c>
      <c r="F734" s="14" t="s">
        <v>1275</v>
      </c>
      <c r="G734" t="s">
        <v>1276</v>
      </c>
      <c r="H734" s="14" t="s">
        <v>173</v>
      </c>
      <c r="I734" s="2">
        <v>2</v>
      </c>
      <c r="J734" s="2">
        <v>0</v>
      </c>
      <c r="K734" s="2">
        <v>0</v>
      </c>
      <c r="L734" s="2"/>
      <c r="M734" s="2">
        <v>0</v>
      </c>
      <c r="N734" s="14"/>
      <c r="O734" s="14"/>
      <c r="P734" s="2">
        <v>299.31</v>
      </c>
      <c r="Q734" s="2">
        <v>598.62</v>
      </c>
      <c r="R734" s="2">
        <v>239.45</v>
      </c>
      <c r="S734">
        <f t="shared" si="53"/>
        <v>478.9</v>
      </c>
      <c r="T734" t="s">
        <v>188</v>
      </c>
      <c r="U734" s="1">
        <f t="shared" si="55"/>
        <v>0</v>
      </c>
    </row>
    <row r="735" spans="1:21" hidden="1" x14ac:dyDescent="0.25">
      <c r="A735" s="2">
        <v>38961</v>
      </c>
      <c r="B735" s="13" t="s">
        <v>1277</v>
      </c>
      <c r="C735" s="14" t="s">
        <v>39</v>
      </c>
      <c r="D735" s="15">
        <v>45313</v>
      </c>
      <c r="E735" s="2">
        <v>0</v>
      </c>
      <c r="F735" s="14" t="s">
        <v>1246</v>
      </c>
      <c r="G735" t="s">
        <v>1247</v>
      </c>
      <c r="H735" s="14" t="s">
        <v>42</v>
      </c>
      <c r="I735" s="2">
        <v>1</v>
      </c>
      <c r="J735" s="2">
        <v>0</v>
      </c>
      <c r="K735" s="2">
        <v>0</v>
      </c>
      <c r="L735" s="2"/>
      <c r="M735" s="2">
        <v>0</v>
      </c>
      <c r="N735" s="14"/>
      <c r="O735" s="14"/>
      <c r="P735" s="2">
        <v>80</v>
      </c>
      <c r="Q735" s="2">
        <v>80</v>
      </c>
      <c r="R735" s="2">
        <v>44.99</v>
      </c>
      <c r="S735">
        <f t="shared" si="53"/>
        <v>44.99</v>
      </c>
      <c r="T735" t="s">
        <v>107</v>
      </c>
      <c r="U735" s="1">
        <f t="shared" si="55"/>
        <v>1.4003999999999999</v>
      </c>
    </row>
    <row r="736" spans="1:21" hidden="1" x14ac:dyDescent="0.25">
      <c r="A736" s="2">
        <v>38962</v>
      </c>
      <c r="B736" s="13" t="s">
        <v>1277</v>
      </c>
      <c r="C736" s="14" t="s">
        <v>39</v>
      </c>
      <c r="D736" s="15">
        <v>45313</v>
      </c>
      <c r="E736" s="2">
        <v>0</v>
      </c>
      <c r="F736" s="14" t="s">
        <v>1246</v>
      </c>
      <c r="G736" t="s">
        <v>1247</v>
      </c>
      <c r="H736" s="14" t="s">
        <v>42</v>
      </c>
      <c r="I736" s="2">
        <v>1</v>
      </c>
      <c r="J736" s="2">
        <v>0</v>
      </c>
      <c r="K736" s="2">
        <v>0</v>
      </c>
      <c r="L736" s="2"/>
      <c r="M736" s="2">
        <v>0</v>
      </c>
      <c r="N736" s="14"/>
      <c r="O736" s="14"/>
      <c r="P736" s="2">
        <v>80</v>
      </c>
      <c r="Q736" s="2">
        <v>80</v>
      </c>
      <c r="R736" s="2">
        <v>44.99</v>
      </c>
      <c r="S736">
        <f t="shared" si="53"/>
        <v>44.99</v>
      </c>
      <c r="T736" t="s">
        <v>107</v>
      </c>
      <c r="U736" s="1">
        <f t="shared" si="55"/>
        <v>1.4003999999999999</v>
      </c>
    </row>
    <row r="737" spans="1:21" x14ac:dyDescent="0.25">
      <c r="A737" s="2">
        <v>38968</v>
      </c>
      <c r="B737" s="13" t="s">
        <v>1278</v>
      </c>
      <c r="C737" s="14" t="s">
        <v>39</v>
      </c>
      <c r="D737" s="15">
        <v>45321</v>
      </c>
      <c r="E737" s="2">
        <v>0</v>
      </c>
      <c r="F737" s="14" t="s">
        <v>152</v>
      </c>
      <c r="G737" t="s">
        <v>153</v>
      </c>
      <c r="H737" s="14" t="s">
        <v>93</v>
      </c>
      <c r="I737" s="2">
        <v>4</v>
      </c>
      <c r="J737" s="2">
        <v>0</v>
      </c>
      <c r="K737" s="2">
        <v>0</v>
      </c>
      <c r="L737" s="2"/>
      <c r="M737" s="2">
        <v>0</v>
      </c>
      <c r="N737" s="14"/>
      <c r="O737" s="14"/>
      <c r="P737" s="2">
        <v>225</v>
      </c>
      <c r="Q737" s="2">
        <v>900</v>
      </c>
      <c r="R737" s="2">
        <v>0</v>
      </c>
      <c r="S737">
        <f t="shared" si="53"/>
        <v>0</v>
      </c>
      <c r="T737" t="s">
        <v>47</v>
      </c>
      <c r="U737">
        <f>_xlfn.XLOOKUP(T737,$Y$2:$Y$45,$AB$2:$AB$45)*(Q737)</f>
        <v>36</v>
      </c>
    </row>
    <row r="738" spans="1:21" hidden="1" x14ac:dyDescent="0.25">
      <c r="A738" s="2">
        <v>38975</v>
      </c>
      <c r="B738" s="13" t="s">
        <v>1279</v>
      </c>
      <c r="C738" s="14" t="s">
        <v>39</v>
      </c>
      <c r="D738" s="15">
        <v>45307</v>
      </c>
      <c r="E738" s="2">
        <v>0</v>
      </c>
      <c r="F738" s="14" t="s">
        <v>1280</v>
      </c>
      <c r="G738" t="s">
        <v>1281</v>
      </c>
      <c r="H738" s="14" t="s">
        <v>42</v>
      </c>
      <c r="I738" s="2">
        <v>1</v>
      </c>
      <c r="J738" s="2">
        <v>0</v>
      </c>
      <c r="K738" s="2">
        <v>0</v>
      </c>
      <c r="L738" s="2"/>
      <c r="M738" s="2">
        <v>0</v>
      </c>
      <c r="N738" s="14"/>
      <c r="O738" s="14"/>
      <c r="P738" s="2">
        <v>300</v>
      </c>
      <c r="Q738" s="2">
        <v>300</v>
      </c>
      <c r="R738" s="2">
        <v>0</v>
      </c>
      <c r="S738">
        <f t="shared" si="53"/>
        <v>0</v>
      </c>
      <c r="T738" t="s">
        <v>107</v>
      </c>
      <c r="U738" s="1">
        <f t="shared" ref="U738:U744" si="56">_xlfn.XLOOKUP(T738,$Y$2:$Y$45,$AA$2:$AA$45)*(Q738-S738)</f>
        <v>12</v>
      </c>
    </row>
    <row r="739" spans="1:21" hidden="1" x14ac:dyDescent="0.25">
      <c r="A739" s="2">
        <v>38978</v>
      </c>
      <c r="B739" s="13" t="s">
        <v>1282</v>
      </c>
      <c r="C739" s="14" t="s">
        <v>39</v>
      </c>
      <c r="D739" s="15">
        <v>45306</v>
      </c>
      <c r="E739" s="2">
        <v>0</v>
      </c>
      <c r="F739" s="14" t="s">
        <v>1283</v>
      </c>
      <c r="G739" t="s">
        <v>1284</v>
      </c>
      <c r="H739" s="14" t="s">
        <v>42</v>
      </c>
      <c r="I739" s="2">
        <v>5</v>
      </c>
      <c r="J739" s="2">
        <v>0</v>
      </c>
      <c r="K739" s="2">
        <v>0</v>
      </c>
      <c r="L739" s="2"/>
      <c r="M739" s="2">
        <v>0</v>
      </c>
      <c r="N739" s="14"/>
      <c r="O739" s="14"/>
      <c r="P739" s="2">
        <v>307.89999999999998</v>
      </c>
      <c r="Q739" s="2">
        <v>1539.5</v>
      </c>
      <c r="R739" s="2">
        <v>287.45</v>
      </c>
      <c r="S739">
        <f t="shared" si="53"/>
        <v>1437.25</v>
      </c>
      <c r="T739" t="s">
        <v>1874</v>
      </c>
      <c r="U739" s="1">
        <f t="shared" si="56"/>
        <v>8.18</v>
      </c>
    </row>
    <row r="740" spans="1:21" hidden="1" x14ac:dyDescent="0.25">
      <c r="A740" s="2">
        <v>38978</v>
      </c>
      <c r="B740" s="13" t="s">
        <v>1282</v>
      </c>
      <c r="C740" s="14" t="s">
        <v>39</v>
      </c>
      <c r="D740" s="15">
        <v>45306</v>
      </c>
      <c r="E740" s="2">
        <v>0</v>
      </c>
      <c r="F740" s="14" t="s">
        <v>214</v>
      </c>
      <c r="G740" t="s">
        <v>215</v>
      </c>
      <c r="H740" s="14" t="s">
        <v>42</v>
      </c>
      <c r="I740" s="2">
        <v>-8</v>
      </c>
      <c r="J740" s="2">
        <v>0</v>
      </c>
      <c r="K740" s="2">
        <v>0</v>
      </c>
      <c r="L740" s="2"/>
      <c r="M740" s="2">
        <v>0</v>
      </c>
      <c r="N740" s="14"/>
      <c r="O740" s="14"/>
      <c r="P740" s="2">
        <v>369.48</v>
      </c>
      <c r="Q740" s="2">
        <v>-2955.84</v>
      </c>
      <c r="R740" s="2">
        <v>342.45</v>
      </c>
      <c r="S740">
        <f t="shared" si="53"/>
        <v>-2739.6</v>
      </c>
      <c r="T740" t="s">
        <v>1874</v>
      </c>
      <c r="U740" s="1">
        <f t="shared" si="56"/>
        <v>-17.29920000000002</v>
      </c>
    </row>
    <row r="741" spans="1:21" hidden="1" x14ac:dyDescent="0.25">
      <c r="A741" s="2">
        <v>38983</v>
      </c>
      <c r="B741" s="13" t="s">
        <v>1285</v>
      </c>
      <c r="C741" s="14" t="s">
        <v>39</v>
      </c>
      <c r="D741" s="15">
        <v>45306</v>
      </c>
      <c r="E741" s="2">
        <v>0</v>
      </c>
      <c r="F741" s="14" t="s">
        <v>212</v>
      </c>
      <c r="G741" t="s">
        <v>1286</v>
      </c>
      <c r="H741" s="14" t="s">
        <v>42</v>
      </c>
      <c r="I741" s="2">
        <v>12</v>
      </c>
      <c r="J741" s="2">
        <v>0</v>
      </c>
      <c r="K741" s="2">
        <v>0</v>
      </c>
      <c r="L741" s="2"/>
      <c r="M741" s="2">
        <v>0</v>
      </c>
      <c r="N741" s="14"/>
      <c r="O741" s="14"/>
      <c r="P741" s="2">
        <v>177.36</v>
      </c>
      <c r="Q741" s="2">
        <v>2128.3200000000002</v>
      </c>
      <c r="R741" s="2">
        <v>166.23</v>
      </c>
      <c r="S741">
        <f t="shared" si="53"/>
        <v>1994.7599999999998</v>
      </c>
      <c r="T741" t="s">
        <v>51</v>
      </c>
      <c r="U741" s="1">
        <f t="shared" si="56"/>
        <v>11.352600000000034</v>
      </c>
    </row>
    <row r="742" spans="1:21" hidden="1" x14ac:dyDescent="0.25">
      <c r="A742" s="2">
        <v>38991</v>
      </c>
      <c r="B742" s="13" t="s">
        <v>1287</v>
      </c>
      <c r="C742" s="14" t="s">
        <v>39</v>
      </c>
      <c r="D742" s="15">
        <v>45307</v>
      </c>
      <c r="E742" s="2">
        <v>0</v>
      </c>
      <c r="F742" s="14" t="s">
        <v>818</v>
      </c>
      <c r="G742" t="s">
        <v>819</v>
      </c>
      <c r="H742" s="14" t="s">
        <v>42</v>
      </c>
      <c r="I742" s="2">
        <v>3</v>
      </c>
      <c r="J742" s="2">
        <v>0</v>
      </c>
      <c r="K742" s="2">
        <v>0</v>
      </c>
      <c r="L742" s="2"/>
      <c r="M742" s="2">
        <v>0</v>
      </c>
      <c r="N742" s="14"/>
      <c r="O742" s="14"/>
      <c r="P742" s="2">
        <v>1053.28</v>
      </c>
      <c r="Q742" s="2">
        <v>3159.84</v>
      </c>
      <c r="R742" s="2">
        <v>863.69</v>
      </c>
      <c r="S742">
        <f t="shared" si="53"/>
        <v>2591.0700000000002</v>
      </c>
      <c r="T742" t="s">
        <v>47</v>
      </c>
      <c r="U742" s="1">
        <f t="shared" si="56"/>
        <v>48.34545</v>
      </c>
    </row>
    <row r="743" spans="1:21" hidden="1" x14ac:dyDescent="0.25">
      <c r="A743" s="2">
        <v>38991</v>
      </c>
      <c r="B743" s="13" t="s">
        <v>1287</v>
      </c>
      <c r="C743" s="14" t="s">
        <v>39</v>
      </c>
      <c r="D743" s="15">
        <v>45307</v>
      </c>
      <c r="E743" s="2">
        <v>0</v>
      </c>
      <c r="F743" s="14" t="s">
        <v>1288</v>
      </c>
      <c r="G743" t="s">
        <v>1289</v>
      </c>
      <c r="H743" s="14" t="s">
        <v>42</v>
      </c>
      <c r="I743" s="2">
        <v>3</v>
      </c>
      <c r="J743" s="2">
        <v>0</v>
      </c>
      <c r="K743" s="2">
        <v>0</v>
      </c>
      <c r="L743" s="2"/>
      <c r="M743" s="2">
        <v>0</v>
      </c>
      <c r="N743" s="14"/>
      <c r="O743" s="14"/>
      <c r="P743" s="2">
        <v>101.39</v>
      </c>
      <c r="Q743" s="2">
        <v>304.17</v>
      </c>
      <c r="R743" s="2">
        <v>83.14</v>
      </c>
      <c r="S743">
        <f t="shared" si="53"/>
        <v>249.42000000000002</v>
      </c>
      <c r="T743" t="s">
        <v>47</v>
      </c>
      <c r="U743" s="1">
        <f t="shared" si="56"/>
        <v>4.6537500000000005</v>
      </c>
    </row>
    <row r="744" spans="1:21" hidden="1" x14ac:dyDescent="0.25">
      <c r="A744" s="2">
        <v>38993</v>
      </c>
      <c r="B744" s="13" t="s">
        <v>1290</v>
      </c>
      <c r="C744" s="14" t="s">
        <v>39</v>
      </c>
      <c r="D744" s="15">
        <v>45313</v>
      </c>
      <c r="E744" s="2">
        <v>0</v>
      </c>
      <c r="F744" s="14" t="s">
        <v>747</v>
      </c>
      <c r="G744" t="s">
        <v>746</v>
      </c>
      <c r="H744" s="14" t="s">
        <v>42</v>
      </c>
      <c r="I744" s="2">
        <v>2</v>
      </c>
      <c r="J744" s="2">
        <v>0</v>
      </c>
      <c r="K744" s="2">
        <v>0</v>
      </c>
      <c r="L744" s="2"/>
      <c r="M744" s="2">
        <v>0</v>
      </c>
      <c r="N744" s="14"/>
      <c r="O744" s="14"/>
      <c r="P744" s="2">
        <v>573</v>
      </c>
      <c r="Q744" s="2">
        <v>1146</v>
      </c>
      <c r="R744" s="2">
        <v>475.59</v>
      </c>
      <c r="S744">
        <f t="shared" si="53"/>
        <v>951.18</v>
      </c>
      <c r="T744" t="s">
        <v>184</v>
      </c>
      <c r="U744" s="1">
        <f t="shared" si="56"/>
        <v>0</v>
      </c>
    </row>
    <row r="745" spans="1:21" x14ac:dyDescent="0.25">
      <c r="A745" s="2">
        <v>38998</v>
      </c>
      <c r="B745" s="13" t="s">
        <v>1291</v>
      </c>
      <c r="C745" s="14" t="s">
        <v>39</v>
      </c>
      <c r="D745" s="15">
        <v>45321</v>
      </c>
      <c r="E745" s="2">
        <v>0</v>
      </c>
      <c r="F745" s="14" t="s">
        <v>533</v>
      </c>
      <c r="G745" t="s">
        <v>534</v>
      </c>
      <c r="H745" s="14" t="s">
        <v>93</v>
      </c>
      <c r="I745" s="2">
        <v>1</v>
      </c>
      <c r="J745" s="2">
        <v>0</v>
      </c>
      <c r="K745" s="2">
        <v>0</v>
      </c>
      <c r="L745" s="2"/>
      <c r="M745" s="2">
        <v>0</v>
      </c>
      <c r="N745" s="14"/>
      <c r="O745" s="14"/>
      <c r="P745" s="2">
        <v>149</v>
      </c>
      <c r="Q745" s="2">
        <v>149</v>
      </c>
      <c r="R745" s="2">
        <v>0</v>
      </c>
      <c r="S745">
        <f t="shared" si="53"/>
        <v>0</v>
      </c>
      <c r="T745" t="s">
        <v>1874</v>
      </c>
      <c r="U745">
        <f>_xlfn.XLOOKUP(T745,$Y$2:$Y$45,$AB$2:$AB$45)*(Q745)</f>
        <v>5.96</v>
      </c>
    </row>
    <row r="746" spans="1:21" hidden="1" x14ac:dyDescent="0.25">
      <c r="A746" s="2">
        <v>38998</v>
      </c>
      <c r="B746" s="13" t="s">
        <v>1291</v>
      </c>
      <c r="C746" s="14" t="s">
        <v>39</v>
      </c>
      <c r="D746" s="15">
        <v>45321</v>
      </c>
      <c r="E746" s="2">
        <v>0</v>
      </c>
      <c r="F746" s="14" t="s">
        <v>1292</v>
      </c>
      <c r="G746" t="s">
        <v>1293</v>
      </c>
      <c r="H746" s="14" t="s">
        <v>42</v>
      </c>
      <c r="I746" s="2">
        <v>1</v>
      </c>
      <c r="J746" s="2">
        <v>0</v>
      </c>
      <c r="K746" s="2">
        <v>0</v>
      </c>
      <c r="L746" s="2"/>
      <c r="M746" s="2">
        <v>0</v>
      </c>
      <c r="N746" s="14"/>
      <c r="O746" s="14"/>
      <c r="P746" s="2">
        <v>2059.6799999999998</v>
      </c>
      <c r="Q746" s="2">
        <v>2059.6799999999998</v>
      </c>
      <c r="R746" s="2">
        <v>1791.03</v>
      </c>
      <c r="S746">
        <f t="shared" si="53"/>
        <v>1791.03</v>
      </c>
      <c r="T746" t="s">
        <v>1874</v>
      </c>
      <c r="U746" s="1">
        <f t="shared" ref="U746:U752" si="57">_xlfn.XLOOKUP(T746,$Y$2:$Y$45,$AA$2:$AA$45)*(Q746-S746)</f>
        <v>21.49199999999999</v>
      </c>
    </row>
    <row r="747" spans="1:21" hidden="1" x14ac:dyDescent="0.25">
      <c r="A747" s="2">
        <v>38999</v>
      </c>
      <c r="B747" s="13" t="s">
        <v>1294</v>
      </c>
      <c r="C747" s="14" t="s">
        <v>39</v>
      </c>
      <c r="D747" s="15">
        <v>45307</v>
      </c>
      <c r="E747" s="2">
        <v>0</v>
      </c>
      <c r="F747" s="14" t="s">
        <v>1295</v>
      </c>
      <c r="G747" t="s">
        <v>1296</v>
      </c>
      <c r="H747" s="14" t="s">
        <v>42</v>
      </c>
      <c r="I747" s="2">
        <v>1</v>
      </c>
      <c r="J747" s="2">
        <v>0</v>
      </c>
      <c r="K747" s="2">
        <v>0</v>
      </c>
      <c r="L747" s="2"/>
      <c r="M747" s="2">
        <v>0</v>
      </c>
      <c r="N747" s="14"/>
      <c r="O747" s="14"/>
      <c r="P747" s="2">
        <v>4076.09</v>
      </c>
      <c r="Q747" s="2">
        <v>4076.09</v>
      </c>
      <c r="R747" s="2">
        <v>3260.87</v>
      </c>
      <c r="S747">
        <f t="shared" si="53"/>
        <v>3260.87</v>
      </c>
      <c r="T747" t="s">
        <v>140</v>
      </c>
      <c r="U747" s="1">
        <f t="shared" si="57"/>
        <v>65.217600000000019</v>
      </c>
    </row>
    <row r="748" spans="1:21" hidden="1" x14ac:dyDescent="0.25">
      <c r="A748" s="2">
        <v>38999</v>
      </c>
      <c r="B748" s="13" t="s">
        <v>1294</v>
      </c>
      <c r="C748" s="14" t="s">
        <v>39</v>
      </c>
      <c r="D748" s="15">
        <v>45307</v>
      </c>
      <c r="E748" s="2">
        <v>0</v>
      </c>
      <c r="F748" s="14" t="s">
        <v>1297</v>
      </c>
      <c r="G748" t="s">
        <v>1298</v>
      </c>
      <c r="H748" s="14" t="s">
        <v>42</v>
      </c>
      <c r="I748" s="2">
        <v>1</v>
      </c>
      <c r="J748" s="2">
        <v>0</v>
      </c>
      <c r="K748" s="2">
        <v>0</v>
      </c>
      <c r="L748" s="2"/>
      <c r="M748" s="2">
        <v>0</v>
      </c>
      <c r="N748" s="14"/>
      <c r="O748" s="14"/>
      <c r="P748" s="2">
        <v>2272.88</v>
      </c>
      <c r="Q748" s="2">
        <v>2272.88</v>
      </c>
      <c r="R748" s="2">
        <v>1818.3</v>
      </c>
      <c r="S748">
        <f t="shared" si="53"/>
        <v>1818.3</v>
      </c>
      <c r="T748" t="s">
        <v>140</v>
      </c>
      <c r="U748" s="1">
        <f t="shared" si="57"/>
        <v>36.366400000000013</v>
      </c>
    </row>
    <row r="749" spans="1:21" hidden="1" x14ac:dyDescent="0.25">
      <c r="A749" s="2">
        <v>38999</v>
      </c>
      <c r="B749" s="13" t="s">
        <v>1294</v>
      </c>
      <c r="C749" s="14" t="s">
        <v>39</v>
      </c>
      <c r="D749" s="15">
        <v>45307</v>
      </c>
      <c r="E749" s="2">
        <v>0</v>
      </c>
      <c r="F749" s="14" t="s">
        <v>1295</v>
      </c>
      <c r="G749" t="s">
        <v>1299</v>
      </c>
      <c r="H749" s="14" t="s">
        <v>42</v>
      </c>
      <c r="I749" s="2">
        <v>1</v>
      </c>
      <c r="J749" s="2">
        <v>0</v>
      </c>
      <c r="K749" s="2">
        <v>0</v>
      </c>
      <c r="L749" s="2"/>
      <c r="M749" s="2">
        <v>0</v>
      </c>
      <c r="N749" s="14"/>
      <c r="O749" s="14"/>
      <c r="P749" s="2">
        <v>1878.14</v>
      </c>
      <c r="Q749" s="2">
        <v>1878.14</v>
      </c>
      <c r="R749" s="2">
        <v>1502.51</v>
      </c>
      <c r="S749">
        <f t="shared" si="53"/>
        <v>1502.51</v>
      </c>
      <c r="T749" t="s">
        <v>140</v>
      </c>
      <c r="U749" s="1">
        <f t="shared" si="57"/>
        <v>30.05040000000001</v>
      </c>
    </row>
    <row r="750" spans="1:21" hidden="1" x14ac:dyDescent="0.25">
      <c r="A750" s="2">
        <v>38999</v>
      </c>
      <c r="B750" s="13" t="s">
        <v>1294</v>
      </c>
      <c r="C750" s="14" t="s">
        <v>39</v>
      </c>
      <c r="D750" s="15">
        <v>45307</v>
      </c>
      <c r="E750" s="2">
        <v>0</v>
      </c>
      <c r="F750" s="14" t="s">
        <v>1300</v>
      </c>
      <c r="G750" t="s">
        <v>1301</v>
      </c>
      <c r="H750" s="14" t="s">
        <v>42</v>
      </c>
      <c r="I750" s="2">
        <v>1</v>
      </c>
      <c r="J750" s="2">
        <v>0</v>
      </c>
      <c r="K750" s="2">
        <v>0</v>
      </c>
      <c r="L750" s="2"/>
      <c r="M750" s="2">
        <v>0</v>
      </c>
      <c r="N750" s="14"/>
      <c r="O750" s="14"/>
      <c r="P750" s="2">
        <v>950.48</v>
      </c>
      <c r="Q750" s="2">
        <v>950.48</v>
      </c>
      <c r="R750" s="2">
        <v>760.38</v>
      </c>
      <c r="S750">
        <f t="shared" si="53"/>
        <v>760.38</v>
      </c>
      <c r="T750" t="s">
        <v>140</v>
      </c>
      <c r="U750" s="1">
        <f t="shared" si="57"/>
        <v>15.208000000000002</v>
      </c>
    </row>
    <row r="751" spans="1:21" hidden="1" x14ac:dyDescent="0.25">
      <c r="A751" s="2">
        <v>38999</v>
      </c>
      <c r="B751" s="13" t="s">
        <v>1294</v>
      </c>
      <c r="C751" s="14" t="s">
        <v>39</v>
      </c>
      <c r="D751" s="15">
        <v>45307</v>
      </c>
      <c r="E751" s="2">
        <v>0</v>
      </c>
      <c r="F751" s="14" t="s">
        <v>1302</v>
      </c>
      <c r="G751" t="s">
        <v>1303</v>
      </c>
      <c r="H751" s="14" t="s">
        <v>42</v>
      </c>
      <c r="I751" s="2">
        <v>1</v>
      </c>
      <c r="J751" s="2">
        <v>0</v>
      </c>
      <c r="K751" s="2">
        <v>0</v>
      </c>
      <c r="L751" s="2"/>
      <c r="M751" s="2">
        <v>0</v>
      </c>
      <c r="N751" s="14"/>
      <c r="O751" s="14"/>
      <c r="P751" s="2">
        <v>237.62</v>
      </c>
      <c r="Q751" s="2">
        <v>237.62</v>
      </c>
      <c r="R751" s="2">
        <v>190.1</v>
      </c>
      <c r="S751">
        <f t="shared" si="53"/>
        <v>190.1</v>
      </c>
      <c r="T751" t="s">
        <v>140</v>
      </c>
      <c r="U751" s="1">
        <f t="shared" si="57"/>
        <v>3.801600000000001</v>
      </c>
    </row>
    <row r="752" spans="1:21" hidden="1" x14ac:dyDescent="0.25">
      <c r="A752" s="2">
        <v>39000</v>
      </c>
      <c r="B752" s="13" t="s">
        <v>1304</v>
      </c>
      <c r="C752" s="14" t="s">
        <v>39</v>
      </c>
      <c r="D752" s="15">
        <v>45308</v>
      </c>
      <c r="E752" s="2">
        <v>549</v>
      </c>
      <c r="F752" s="14" t="s">
        <v>1305</v>
      </c>
      <c r="G752" t="s">
        <v>1306</v>
      </c>
      <c r="H752" s="14" t="s">
        <v>42</v>
      </c>
      <c r="I752" s="2">
        <v>1</v>
      </c>
      <c r="J752" s="2">
        <v>0</v>
      </c>
      <c r="K752" s="2">
        <v>0</v>
      </c>
      <c r="L752" s="2"/>
      <c r="M752" s="2">
        <v>0</v>
      </c>
      <c r="N752" s="14"/>
      <c r="O752" s="14"/>
      <c r="P752" s="2">
        <v>1429.21</v>
      </c>
      <c r="Q752" s="2">
        <v>1429.21</v>
      </c>
      <c r="R752" s="2">
        <v>1171.95</v>
      </c>
      <c r="S752">
        <f t="shared" si="53"/>
        <v>1171.95</v>
      </c>
      <c r="T752" t="s">
        <v>147</v>
      </c>
      <c r="U752" s="1">
        <f t="shared" si="57"/>
        <v>20.5808</v>
      </c>
    </row>
    <row r="753" spans="1:21" hidden="1" x14ac:dyDescent="0.25">
      <c r="A753" s="2">
        <v>39000</v>
      </c>
      <c r="B753" s="13" t="s">
        <v>1304</v>
      </c>
      <c r="C753" s="14" t="s">
        <v>39</v>
      </c>
      <c r="D753" s="15">
        <v>45308</v>
      </c>
      <c r="E753" s="2">
        <v>549</v>
      </c>
      <c r="F753" s="14" t="s">
        <v>129</v>
      </c>
      <c r="G753" t="s">
        <v>130</v>
      </c>
      <c r="H753" s="14" t="s">
        <v>131</v>
      </c>
      <c r="I753" s="2">
        <v>1</v>
      </c>
      <c r="J753" s="2">
        <v>25</v>
      </c>
      <c r="K753" s="2">
        <v>0.97</v>
      </c>
      <c r="L753" s="2"/>
      <c r="M753" s="2">
        <v>25</v>
      </c>
      <c r="N753" s="14"/>
      <c r="O753" s="14"/>
      <c r="P753" s="2">
        <v>300</v>
      </c>
      <c r="Q753" s="2">
        <v>300</v>
      </c>
      <c r="R753" s="2">
        <v>375.2</v>
      </c>
      <c r="S753">
        <f t="shared" si="53"/>
        <v>375.2</v>
      </c>
      <c r="T753" t="s">
        <v>147</v>
      </c>
      <c r="U753">
        <f>_xlfn.XLOOKUP(T753,$Y$2:$Y$45,$AB$2:$AB$45)*(Q753)</f>
        <v>12</v>
      </c>
    </row>
    <row r="754" spans="1:21" hidden="1" x14ac:dyDescent="0.25">
      <c r="A754" s="2">
        <v>39000</v>
      </c>
      <c r="B754" s="13" t="s">
        <v>1304</v>
      </c>
      <c r="C754" s="14" t="s">
        <v>39</v>
      </c>
      <c r="D754" s="15">
        <v>45308</v>
      </c>
      <c r="E754" s="2">
        <v>549</v>
      </c>
      <c r="F754" s="14" t="s">
        <v>413</v>
      </c>
      <c r="G754" t="s">
        <v>414</v>
      </c>
      <c r="H754" s="14" t="s">
        <v>415</v>
      </c>
      <c r="I754" s="2">
        <v>1</v>
      </c>
      <c r="J754" s="2">
        <v>45</v>
      </c>
      <c r="K754" s="2">
        <v>0</v>
      </c>
      <c r="L754" s="2"/>
      <c r="M754" s="2">
        <v>45</v>
      </c>
      <c r="N754" s="14"/>
      <c r="O754" s="14"/>
      <c r="P754" s="2">
        <v>300</v>
      </c>
      <c r="Q754" s="2">
        <v>300</v>
      </c>
      <c r="R754" s="2">
        <v>1059.74</v>
      </c>
      <c r="S754">
        <f t="shared" si="53"/>
        <v>1059.74</v>
      </c>
      <c r="T754" t="s">
        <v>147</v>
      </c>
      <c r="U754">
        <f>_xlfn.XLOOKUP(T754,$Y$2:$Y$45,$AB$2:$AB$45)*(Q754)</f>
        <v>12</v>
      </c>
    </row>
    <row r="755" spans="1:21" hidden="1" x14ac:dyDescent="0.25">
      <c r="A755" s="2">
        <v>39000</v>
      </c>
      <c r="B755" s="13" t="s">
        <v>1304</v>
      </c>
      <c r="C755" s="14" t="s">
        <v>39</v>
      </c>
      <c r="D755" s="15">
        <v>45308</v>
      </c>
      <c r="E755" s="2">
        <v>549</v>
      </c>
      <c r="F755" s="14" t="s">
        <v>498</v>
      </c>
      <c r="G755" t="s">
        <v>499</v>
      </c>
      <c r="H755" s="14" t="s">
        <v>42</v>
      </c>
      <c r="I755" s="2">
        <v>1</v>
      </c>
      <c r="J755" s="2">
        <v>0</v>
      </c>
      <c r="K755" s="2">
        <v>0</v>
      </c>
      <c r="L755" s="2"/>
      <c r="M755" s="2">
        <v>0</v>
      </c>
      <c r="N755" s="14"/>
      <c r="O755" s="14"/>
      <c r="P755" s="2">
        <v>447.27</v>
      </c>
      <c r="Q755" s="2">
        <v>447.27</v>
      </c>
      <c r="R755" s="2">
        <v>366.76</v>
      </c>
      <c r="S755">
        <f t="shared" si="53"/>
        <v>366.76</v>
      </c>
      <c r="T755" t="s">
        <v>147</v>
      </c>
      <c r="U755" s="1">
        <f>_xlfn.XLOOKUP(T755,$Y$2:$Y$45,$AA$2:$AA$45)*(Q755-S755)</f>
        <v>6.4407999999999994</v>
      </c>
    </row>
    <row r="756" spans="1:21" hidden="1" x14ac:dyDescent="0.25">
      <c r="A756" s="2">
        <v>39000</v>
      </c>
      <c r="B756" s="13" t="s">
        <v>1304</v>
      </c>
      <c r="C756" s="14" t="s">
        <v>39</v>
      </c>
      <c r="D756" s="15">
        <v>45308</v>
      </c>
      <c r="E756" s="2">
        <v>549</v>
      </c>
      <c r="F756" s="14" t="s">
        <v>1087</v>
      </c>
      <c r="G756" t="s">
        <v>1088</v>
      </c>
      <c r="H756" s="14" t="s">
        <v>42</v>
      </c>
      <c r="I756" s="2">
        <v>1</v>
      </c>
      <c r="J756" s="2">
        <v>0</v>
      </c>
      <c r="K756" s="2">
        <v>0</v>
      </c>
      <c r="L756" s="2"/>
      <c r="M756" s="2">
        <v>0</v>
      </c>
      <c r="N756" s="14"/>
      <c r="O756" s="14"/>
      <c r="P756" s="2">
        <v>280.85000000000002</v>
      </c>
      <c r="Q756" s="2">
        <v>280.85000000000002</v>
      </c>
      <c r="R756" s="2">
        <v>230.3</v>
      </c>
      <c r="S756">
        <f t="shared" si="53"/>
        <v>230.3</v>
      </c>
      <c r="T756" t="s">
        <v>147</v>
      </c>
      <c r="U756" s="1">
        <f>_xlfn.XLOOKUP(T756,$Y$2:$Y$45,$AA$2:$AA$45)*(Q756-S756)</f>
        <v>4.0440000000000014</v>
      </c>
    </row>
    <row r="757" spans="1:21" hidden="1" x14ac:dyDescent="0.25">
      <c r="A757" s="2">
        <v>39000</v>
      </c>
      <c r="B757" s="13" t="s">
        <v>1304</v>
      </c>
      <c r="C757" s="14" t="s">
        <v>39</v>
      </c>
      <c r="D757" s="15">
        <v>45308</v>
      </c>
      <c r="E757" s="2">
        <v>549</v>
      </c>
      <c r="F757" s="14" t="s">
        <v>1307</v>
      </c>
      <c r="G757" t="s">
        <v>1308</v>
      </c>
      <c r="H757" s="14" t="s">
        <v>42</v>
      </c>
      <c r="I757" s="2">
        <v>1</v>
      </c>
      <c r="J757" s="2">
        <v>0</v>
      </c>
      <c r="K757" s="2">
        <v>0</v>
      </c>
      <c r="L757" s="2"/>
      <c r="M757" s="2">
        <v>0</v>
      </c>
      <c r="N757" s="14"/>
      <c r="O757" s="14"/>
      <c r="P757" s="2">
        <v>494.73</v>
      </c>
      <c r="Q757" s="2">
        <v>494.73</v>
      </c>
      <c r="R757" s="2">
        <v>405.68</v>
      </c>
      <c r="S757">
        <f t="shared" si="53"/>
        <v>405.68</v>
      </c>
      <c r="T757" t="s">
        <v>147</v>
      </c>
      <c r="U757" s="1">
        <f>_xlfn.XLOOKUP(T757,$Y$2:$Y$45,$AA$2:$AA$45)*(Q757-S757)</f>
        <v>7.1240000000000014</v>
      </c>
    </row>
    <row r="758" spans="1:21" x14ac:dyDescent="0.25">
      <c r="A758" s="2">
        <v>39000</v>
      </c>
      <c r="B758" s="13" t="s">
        <v>1304</v>
      </c>
      <c r="C758" s="14" t="s">
        <v>39</v>
      </c>
      <c r="D758" s="15">
        <v>45308</v>
      </c>
      <c r="E758" s="2">
        <v>549</v>
      </c>
      <c r="F758" s="14" t="s">
        <v>152</v>
      </c>
      <c r="G758" t="s">
        <v>153</v>
      </c>
      <c r="H758" s="14" t="s">
        <v>93</v>
      </c>
      <c r="I758" s="2">
        <v>5</v>
      </c>
      <c r="J758" s="2">
        <v>0</v>
      </c>
      <c r="K758" s="2">
        <v>0</v>
      </c>
      <c r="L758" s="2"/>
      <c r="M758" s="2">
        <v>0</v>
      </c>
      <c r="N758" s="14"/>
      <c r="O758" s="14"/>
      <c r="P758" s="2">
        <v>225</v>
      </c>
      <c r="Q758" s="2">
        <v>1125</v>
      </c>
      <c r="R758" s="2">
        <v>0</v>
      </c>
      <c r="S758">
        <f t="shared" si="53"/>
        <v>0</v>
      </c>
      <c r="T758" t="s">
        <v>147</v>
      </c>
      <c r="U758">
        <f>_xlfn.XLOOKUP(T758,$Y$2:$Y$45,$AB$2:$AB$45)*(Q758)</f>
        <v>45</v>
      </c>
    </row>
    <row r="759" spans="1:21" hidden="1" x14ac:dyDescent="0.25">
      <c r="A759" s="2">
        <v>39001</v>
      </c>
      <c r="B759" s="13" t="s">
        <v>1309</v>
      </c>
      <c r="C759" s="14" t="s">
        <v>39</v>
      </c>
      <c r="D759" s="15">
        <v>45307</v>
      </c>
      <c r="E759" s="2">
        <v>0</v>
      </c>
      <c r="F759" s="14" t="s">
        <v>1310</v>
      </c>
      <c r="G759" t="s">
        <v>1311</v>
      </c>
      <c r="H759" s="14" t="s">
        <v>42</v>
      </c>
      <c r="I759" s="2">
        <v>1</v>
      </c>
      <c r="J759" s="2">
        <v>0</v>
      </c>
      <c r="K759" s="2">
        <v>0</v>
      </c>
      <c r="L759" s="2"/>
      <c r="M759" s="2">
        <v>0</v>
      </c>
      <c r="N759" s="14"/>
      <c r="O759" s="14"/>
      <c r="P759" s="2">
        <v>1977.96</v>
      </c>
      <c r="Q759" s="2">
        <v>1977.96</v>
      </c>
      <c r="R759" s="2">
        <v>1621.93</v>
      </c>
      <c r="S759">
        <f t="shared" si="53"/>
        <v>1621.93</v>
      </c>
      <c r="T759" t="s">
        <v>47</v>
      </c>
      <c r="U759" s="1">
        <f>_xlfn.XLOOKUP(T759,$Y$2:$Y$45,$AA$2:$AA$45)*(Q759-S759)</f>
        <v>30.262550000000001</v>
      </c>
    </row>
    <row r="760" spans="1:21" hidden="1" x14ac:dyDescent="0.25">
      <c r="A760" s="2">
        <v>39001</v>
      </c>
      <c r="B760" s="13" t="s">
        <v>1309</v>
      </c>
      <c r="C760" s="14" t="s">
        <v>39</v>
      </c>
      <c r="D760" s="15">
        <v>45307</v>
      </c>
      <c r="E760" s="2">
        <v>0</v>
      </c>
      <c r="F760" s="14" t="s">
        <v>1310</v>
      </c>
      <c r="G760" t="s">
        <v>1311</v>
      </c>
      <c r="H760" s="14" t="s">
        <v>42</v>
      </c>
      <c r="I760" s="2">
        <v>1</v>
      </c>
      <c r="J760" s="2">
        <v>0</v>
      </c>
      <c r="K760" s="2">
        <v>0</v>
      </c>
      <c r="L760" s="2"/>
      <c r="M760" s="2">
        <v>0</v>
      </c>
      <c r="N760" s="14"/>
      <c r="O760" s="14"/>
      <c r="P760" s="2">
        <v>1977.96</v>
      </c>
      <c r="Q760" s="2">
        <v>1977.96</v>
      </c>
      <c r="R760" s="2">
        <v>1621.93</v>
      </c>
      <c r="S760">
        <f t="shared" si="53"/>
        <v>1621.93</v>
      </c>
      <c r="T760" t="s">
        <v>47</v>
      </c>
      <c r="U760" s="1">
        <f>_xlfn.XLOOKUP(T760,$Y$2:$Y$45,$AA$2:$AA$45)*(Q760-S760)</f>
        <v>30.262550000000001</v>
      </c>
    </row>
    <row r="761" spans="1:21" x14ac:dyDescent="0.25">
      <c r="A761" s="2">
        <v>39003</v>
      </c>
      <c r="B761" s="13" t="s">
        <v>1312</v>
      </c>
      <c r="C761" s="14" t="s">
        <v>39</v>
      </c>
      <c r="D761" s="15">
        <v>45316</v>
      </c>
      <c r="E761" s="2">
        <v>0</v>
      </c>
      <c r="F761" s="14" t="s">
        <v>417</v>
      </c>
      <c r="G761" t="s">
        <v>417</v>
      </c>
      <c r="H761" s="14" t="s">
        <v>93</v>
      </c>
      <c r="I761" s="2">
        <v>3</v>
      </c>
      <c r="J761" s="2">
        <v>0</v>
      </c>
      <c r="K761" s="2">
        <v>0</v>
      </c>
      <c r="L761" s="2"/>
      <c r="M761" s="2">
        <v>0</v>
      </c>
      <c r="N761" s="14"/>
      <c r="O761" s="14"/>
      <c r="P761" s="2">
        <v>250</v>
      </c>
      <c r="Q761" s="2">
        <v>750</v>
      </c>
      <c r="R761" s="2">
        <v>0</v>
      </c>
      <c r="S761">
        <f t="shared" si="53"/>
        <v>0</v>
      </c>
      <c r="T761" t="s">
        <v>132</v>
      </c>
      <c r="U761">
        <f>_xlfn.XLOOKUP(T761,$Y$2:$Y$45,$AB$2:$AB$45)*(Q761)</f>
        <v>30</v>
      </c>
    </row>
    <row r="762" spans="1:21" hidden="1" x14ac:dyDescent="0.25">
      <c r="A762" s="2">
        <v>39003</v>
      </c>
      <c r="B762" s="13" t="s">
        <v>1312</v>
      </c>
      <c r="C762" s="14" t="s">
        <v>39</v>
      </c>
      <c r="D762" s="15">
        <v>45316</v>
      </c>
      <c r="E762" s="2">
        <v>0</v>
      </c>
      <c r="F762" s="14" t="s">
        <v>1313</v>
      </c>
      <c r="G762" t="s">
        <v>1314</v>
      </c>
      <c r="H762" s="14" t="s">
        <v>42</v>
      </c>
      <c r="I762" s="2">
        <v>3</v>
      </c>
      <c r="J762" s="2">
        <v>0</v>
      </c>
      <c r="K762" s="2">
        <v>0</v>
      </c>
      <c r="L762" s="2"/>
      <c r="M762" s="2">
        <v>0</v>
      </c>
      <c r="N762" s="14"/>
      <c r="O762" s="14"/>
      <c r="P762" s="2">
        <v>1354.48</v>
      </c>
      <c r="Q762" s="2">
        <v>4063.44</v>
      </c>
      <c r="R762" s="2">
        <v>1058.19</v>
      </c>
      <c r="S762">
        <f t="shared" si="53"/>
        <v>3174.57</v>
      </c>
      <c r="T762" t="s">
        <v>132</v>
      </c>
      <c r="U762" s="1">
        <f t="shared" ref="U762:U767" si="58">_xlfn.XLOOKUP(T762,$Y$2:$Y$45,$AA$2:$AA$45)*(Q762-S762)</f>
        <v>71.109599999999986</v>
      </c>
    </row>
    <row r="763" spans="1:21" hidden="1" x14ac:dyDescent="0.25">
      <c r="A763" s="2">
        <v>39007</v>
      </c>
      <c r="B763" s="13" t="s">
        <v>1315</v>
      </c>
      <c r="C763" s="14" t="s">
        <v>39</v>
      </c>
      <c r="D763" s="15">
        <v>45307</v>
      </c>
      <c r="E763" s="2">
        <v>0</v>
      </c>
      <c r="F763" s="14" t="s">
        <v>1316</v>
      </c>
      <c r="G763" t="s">
        <v>1317</v>
      </c>
      <c r="H763" s="14" t="s">
        <v>42</v>
      </c>
      <c r="I763" s="2">
        <v>25</v>
      </c>
      <c r="J763" s="2">
        <v>0</v>
      </c>
      <c r="K763" s="2">
        <v>0</v>
      </c>
      <c r="L763" s="2"/>
      <c r="M763" s="2">
        <v>0</v>
      </c>
      <c r="N763" s="14"/>
      <c r="O763" s="14"/>
      <c r="P763" s="2">
        <v>205.88</v>
      </c>
      <c r="Q763" s="2">
        <v>5147</v>
      </c>
      <c r="R763" s="2">
        <v>157.5</v>
      </c>
      <c r="S763">
        <f t="shared" si="53"/>
        <v>3937.5</v>
      </c>
      <c r="T763" t="s">
        <v>188</v>
      </c>
      <c r="U763" s="1">
        <f t="shared" si="58"/>
        <v>0</v>
      </c>
    </row>
    <row r="764" spans="1:21" hidden="1" x14ac:dyDescent="0.25">
      <c r="A764" s="2">
        <v>39007</v>
      </c>
      <c r="B764" s="13" t="s">
        <v>1315</v>
      </c>
      <c r="C764" s="14" t="s">
        <v>39</v>
      </c>
      <c r="D764" s="15">
        <v>45307</v>
      </c>
      <c r="E764" s="2">
        <v>0</v>
      </c>
      <c r="F764" s="14" t="s">
        <v>1318</v>
      </c>
      <c r="G764" t="s">
        <v>1319</v>
      </c>
      <c r="H764" s="14" t="s">
        <v>42</v>
      </c>
      <c r="I764" s="2">
        <v>200</v>
      </c>
      <c r="J764" s="2">
        <v>0</v>
      </c>
      <c r="K764" s="2">
        <v>0</v>
      </c>
      <c r="L764" s="2"/>
      <c r="M764" s="2">
        <v>0</v>
      </c>
      <c r="N764" s="14"/>
      <c r="O764" s="14"/>
      <c r="P764" s="2">
        <v>119.43</v>
      </c>
      <c r="Q764" s="2">
        <v>23886</v>
      </c>
      <c r="R764" s="2">
        <v>91.37</v>
      </c>
      <c r="S764">
        <f t="shared" si="53"/>
        <v>18274</v>
      </c>
      <c r="T764" t="s">
        <v>188</v>
      </c>
      <c r="U764" s="1">
        <f t="shared" si="58"/>
        <v>0</v>
      </c>
    </row>
    <row r="765" spans="1:21" hidden="1" x14ac:dyDescent="0.25">
      <c r="A765" s="2">
        <v>39011</v>
      </c>
      <c r="B765" s="13" t="s">
        <v>1320</v>
      </c>
      <c r="C765" s="14" t="s">
        <v>39</v>
      </c>
      <c r="D765" s="15">
        <v>45313</v>
      </c>
      <c r="E765" s="2">
        <v>0</v>
      </c>
      <c r="F765" s="14" t="s">
        <v>1321</v>
      </c>
      <c r="G765" t="s">
        <v>1322</v>
      </c>
      <c r="H765" s="14" t="s">
        <v>42</v>
      </c>
      <c r="I765" s="2">
        <v>1</v>
      </c>
      <c r="J765" s="2">
        <v>0</v>
      </c>
      <c r="K765" s="2">
        <v>0</v>
      </c>
      <c r="L765" s="2"/>
      <c r="M765" s="2">
        <v>0</v>
      </c>
      <c r="N765" s="14"/>
      <c r="O765" s="14"/>
      <c r="P765" s="2">
        <v>2133</v>
      </c>
      <c r="Q765" s="2">
        <v>2133</v>
      </c>
      <c r="R765" s="2">
        <v>1793.37</v>
      </c>
      <c r="S765">
        <f t="shared" si="53"/>
        <v>1793.37</v>
      </c>
      <c r="T765" t="s">
        <v>107</v>
      </c>
      <c r="U765" s="1">
        <f t="shared" si="58"/>
        <v>13.585200000000004</v>
      </c>
    </row>
    <row r="766" spans="1:21" hidden="1" x14ac:dyDescent="0.25">
      <c r="A766" s="2">
        <v>39011</v>
      </c>
      <c r="B766" s="13" t="s">
        <v>1320</v>
      </c>
      <c r="C766" s="14" t="s">
        <v>39</v>
      </c>
      <c r="D766" s="15">
        <v>45313</v>
      </c>
      <c r="E766" s="2">
        <v>0</v>
      </c>
      <c r="F766" s="14" t="s">
        <v>1182</v>
      </c>
      <c r="G766" t="s">
        <v>1323</v>
      </c>
      <c r="H766" s="14" t="s">
        <v>42</v>
      </c>
      <c r="I766" s="2">
        <v>-1</v>
      </c>
      <c r="J766" s="2">
        <v>0</v>
      </c>
      <c r="K766" s="2">
        <v>0</v>
      </c>
      <c r="L766" s="2"/>
      <c r="M766" s="2">
        <v>0</v>
      </c>
      <c r="N766" s="14"/>
      <c r="O766" s="14"/>
      <c r="P766" s="2">
        <v>1599</v>
      </c>
      <c r="Q766" s="2">
        <v>-1599</v>
      </c>
      <c r="R766" s="2">
        <v>1243.1500000000001</v>
      </c>
      <c r="S766">
        <f t="shared" si="53"/>
        <v>-1243.1500000000001</v>
      </c>
      <c r="T766" t="s">
        <v>107</v>
      </c>
      <c r="U766" s="1">
        <f t="shared" si="58"/>
        <v>-14.233999999999996</v>
      </c>
    </row>
    <row r="767" spans="1:21" hidden="1" x14ac:dyDescent="0.25">
      <c r="A767" s="2">
        <v>39016</v>
      </c>
      <c r="B767" s="13" t="s">
        <v>1324</v>
      </c>
      <c r="C767" s="14" t="s">
        <v>39</v>
      </c>
      <c r="D767" s="15">
        <v>45307</v>
      </c>
      <c r="E767" s="2">
        <v>0</v>
      </c>
      <c r="F767" s="14" t="s">
        <v>1325</v>
      </c>
      <c r="G767" t="s">
        <v>1326</v>
      </c>
      <c r="H767" s="14" t="s">
        <v>42</v>
      </c>
      <c r="I767" s="2">
        <v>25</v>
      </c>
      <c r="J767" s="2">
        <v>0</v>
      </c>
      <c r="K767" s="2">
        <v>0</v>
      </c>
      <c r="L767" s="2"/>
      <c r="M767" s="2">
        <v>0</v>
      </c>
      <c r="N767" s="14"/>
      <c r="O767" s="14"/>
      <c r="P767" s="2">
        <v>6</v>
      </c>
      <c r="Q767" s="2">
        <v>150</v>
      </c>
      <c r="R767" s="2">
        <v>3.31</v>
      </c>
      <c r="S767">
        <f t="shared" si="53"/>
        <v>82.75</v>
      </c>
      <c r="T767" t="s">
        <v>51</v>
      </c>
      <c r="U767" s="1">
        <f t="shared" si="58"/>
        <v>5.7162500000000005</v>
      </c>
    </row>
    <row r="768" spans="1:21" x14ac:dyDescent="0.25">
      <c r="A768" s="2">
        <v>39017</v>
      </c>
      <c r="B768" s="13" t="s">
        <v>1327</v>
      </c>
      <c r="C768" s="14" t="s">
        <v>39</v>
      </c>
      <c r="D768" s="15">
        <v>45309</v>
      </c>
      <c r="E768" s="2">
        <v>0</v>
      </c>
      <c r="F768" s="14" t="s">
        <v>152</v>
      </c>
      <c r="G768" t="s">
        <v>1328</v>
      </c>
      <c r="H768" s="14" t="s">
        <v>93</v>
      </c>
      <c r="I768" s="2">
        <v>8</v>
      </c>
      <c r="J768" s="2">
        <v>0</v>
      </c>
      <c r="K768" s="2">
        <v>0</v>
      </c>
      <c r="L768" s="2"/>
      <c r="M768" s="2">
        <v>0</v>
      </c>
      <c r="N768" s="14"/>
      <c r="O768" s="14"/>
      <c r="P768" s="2">
        <v>200</v>
      </c>
      <c r="Q768" s="2">
        <v>1600</v>
      </c>
      <c r="R768" s="2">
        <v>0</v>
      </c>
      <c r="S768">
        <f t="shared" si="53"/>
        <v>0</v>
      </c>
      <c r="T768" t="s">
        <v>132</v>
      </c>
      <c r="U768">
        <f>_xlfn.XLOOKUP(T768,$Y$2:$Y$45,$AB$2:$AB$45)*(Q768)</f>
        <v>64</v>
      </c>
    </row>
    <row r="769" spans="1:21" hidden="1" x14ac:dyDescent="0.25">
      <c r="A769" s="2">
        <v>39017</v>
      </c>
      <c r="B769" s="13" t="s">
        <v>1327</v>
      </c>
      <c r="C769" s="14" t="s">
        <v>39</v>
      </c>
      <c r="D769" s="15">
        <v>45309</v>
      </c>
      <c r="E769" s="2">
        <v>0</v>
      </c>
      <c r="F769" s="14" t="s">
        <v>1329</v>
      </c>
      <c r="G769" t="s">
        <v>1330</v>
      </c>
      <c r="H769" s="14" t="s">
        <v>42</v>
      </c>
      <c r="I769" s="2">
        <v>8</v>
      </c>
      <c r="J769" s="2">
        <v>0</v>
      </c>
      <c r="K769" s="2">
        <v>0</v>
      </c>
      <c r="L769" s="2"/>
      <c r="M769" s="2">
        <v>0</v>
      </c>
      <c r="N769" s="14"/>
      <c r="O769" s="14"/>
      <c r="P769" s="2">
        <v>2398.9899999999998</v>
      </c>
      <c r="Q769" s="2">
        <v>19191.919999999998</v>
      </c>
      <c r="R769" s="2">
        <v>1654.08</v>
      </c>
      <c r="S769">
        <f t="shared" si="53"/>
        <v>13232.64</v>
      </c>
      <c r="T769" t="s">
        <v>132</v>
      </c>
      <c r="U769" s="1">
        <f>_xlfn.XLOOKUP(T769,$Y$2:$Y$45,$AA$2:$AA$45)*(Q769-S769)</f>
        <v>476.74239999999992</v>
      </c>
    </row>
    <row r="770" spans="1:21" hidden="1" x14ac:dyDescent="0.25">
      <c r="A770" s="2">
        <v>39025</v>
      </c>
      <c r="B770" s="13" t="s">
        <v>1331</v>
      </c>
      <c r="C770" s="14" t="s">
        <v>39</v>
      </c>
      <c r="D770" s="15">
        <v>45310</v>
      </c>
      <c r="E770" s="2">
        <v>41.1</v>
      </c>
      <c r="F770" s="14" t="s">
        <v>1332</v>
      </c>
      <c r="G770" t="s">
        <v>1333</v>
      </c>
      <c r="H770" s="14" t="s">
        <v>508</v>
      </c>
      <c r="I770" s="2">
        <v>3</v>
      </c>
      <c r="J770" s="2">
        <v>14</v>
      </c>
      <c r="K770" s="2">
        <v>5.38</v>
      </c>
      <c r="L770" s="2"/>
      <c r="M770" s="2">
        <v>42</v>
      </c>
      <c r="N770" s="14"/>
      <c r="O770" s="14"/>
      <c r="P770" s="2">
        <v>1</v>
      </c>
      <c r="Q770" s="2">
        <v>3</v>
      </c>
      <c r="R770" s="2">
        <v>0</v>
      </c>
      <c r="S770">
        <f t="shared" ref="S770:S833" si="59">R770*I770</f>
        <v>0</v>
      </c>
      <c r="T770" t="s">
        <v>147</v>
      </c>
      <c r="U770">
        <f>_xlfn.XLOOKUP(T770,$Y$2:$Y$45,$AB$2:$AB$45)*(Q770)</f>
        <v>0.12</v>
      </c>
    </row>
    <row r="771" spans="1:21" x14ac:dyDescent="0.25">
      <c r="A771" s="2">
        <v>39026</v>
      </c>
      <c r="B771" s="13" t="s">
        <v>1334</v>
      </c>
      <c r="C771" s="14" t="s">
        <v>39</v>
      </c>
      <c r="D771" s="15">
        <v>45311</v>
      </c>
      <c r="E771" s="2">
        <v>0</v>
      </c>
      <c r="F771" s="14" t="s">
        <v>219</v>
      </c>
      <c r="G771" t="s">
        <v>220</v>
      </c>
      <c r="H771" s="14" t="s">
        <v>93</v>
      </c>
      <c r="I771" s="2">
        <v>1</v>
      </c>
      <c r="J771" s="2">
        <v>0</v>
      </c>
      <c r="K771" s="2">
        <v>0</v>
      </c>
      <c r="L771" s="2"/>
      <c r="M771" s="2">
        <v>0</v>
      </c>
      <c r="N771" s="14"/>
      <c r="O771" s="14"/>
      <c r="P771" s="2">
        <v>149</v>
      </c>
      <c r="Q771" s="2">
        <v>149</v>
      </c>
      <c r="R771" s="2">
        <v>0</v>
      </c>
      <c r="S771">
        <f t="shared" si="59"/>
        <v>0</v>
      </c>
      <c r="T771" t="s">
        <v>132</v>
      </c>
      <c r="U771">
        <f>_xlfn.XLOOKUP(T771,$Y$2:$Y$45,$AB$2:$AB$45)*(Q771)</f>
        <v>5.96</v>
      </c>
    </row>
    <row r="772" spans="1:21" hidden="1" x14ac:dyDescent="0.25">
      <c r="A772" s="2">
        <v>39026</v>
      </c>
      <c r="B772" s="13" t="s">
        <v>1334</v>
      </c>
      <c r="C772" s="14" t="s">
        <v>39</v>
      </c>
      <c r="D772" s="15">
        <v>45311</v>
      </c>
      <c r="E772" s="2">
        <v>0</v>
      </c>
      <c r="F772" s="14" t="s">
        <v>217</v>
      </c>
      <c r="G772" t="s">
        <v>218</v>
      </c>
      <c r="H772" s="14" t="s">
        <v>173</v>
      </c>
      <c r="I772" s="2">
        <v>1</v>
      </c>
      <c r="J772" s="2">
        <v>0</v>
      </c>
      <c r="K772" s="2">
        <v>0</v>
      </c>
      <c r="L772" s="2"/>
      <c r="M772" s="2">
        <v>0</v>
      </c>
      <c r="N772" s="14"/>
      <c r="O772" s="14"/>
      <c r="P772" s="2">
        <v>83</v>
      </c>
      <c r="Q772" s="2">
        <v>83</v>
      </c>
      <c r="R772" s="2">
        <v>67.989999999999995</v>
      </c>
      <c r="S772">
        <f t="shared" si="59"/>
        <v>67.989999999999995</v>
      </c>
      <c r="T772" t="s">
        <v>132</v>
      </c>
      <c r="U772" s="1">
        <f>_xlfn.XLOOKUP(T772,$Y$2:$Y$45,$AA$2:$AA$45)*(Q772-S772)</f>
        <v>1.2008000000000005</v>
      </c>
    </row>
    <row r="773" spans="1:21" hidden="1" x14ac:dyDescent="0.25">
      <c r="A773" s="2">
        <v>39029</v>
      </c>
      <c r="B773" s="13" t="s">
        <v>1335</v>
      </c>
      <c r="C773" s="14" t="s">
        <v>39</v>
      </c>
      <c r="D773" s="15">
        <v>45310</v>
      </c>
      <c r="E773" s="2">
        <v>1511</v>
      </c>
      <c r="F773" s="14" t="s">
        <v>851</v>
      </c>
      <c r="G773" t="s">
        <v>852</v>
      </c>
      <c r="H773" s="14" t="s">
        <v>131</v>
      </c>
      <c r="I773" s="2">
        <v>1</v>
      </c>
      <c r="J773" s="2">
        <v>75</v>
      </c>
      <c r="K773" s="2">
        <v>0</v>
      </c>
      <c r="L773" s="2"/>
      <c r="M773" s="2">
        <v>75</v>
      </c>
      <c r="N773" s="14"/>
      <c r="O773" s="14"/>
      <c r="P773" s="2">
        <v>300</v>
      </c>
      <c r="Q773" s="2">
        <v>300</v>
      </c>
      <c r="R773" s="2">
        <v>757.1</v>
      </c>
      <c r="S773">
        <f t="shared" si="59"/>
        <v>757.1</v>
      </c>
      <c r="T773" t="s">
        <v>147</v>
      </c>
      <c r="U773">
        <f t="shared" ref="U773:U778" si="60">_xlfn.XLOOKUP(T773,$Y$2:$Y$45,$AB$2:$AB$45)*(Q773)</f>
        <v>12</v>
      </c>
    </row>
    <row r="774" spans="1:21" hidden="1" x14ac:dyDescent="0.25">
      <c r="A774" s="2">
        <v>39029</v>
      </c>
      <c r="B774" s="13" t="s">
        <v>1335</v>
      </c>
      <c r="C774" s="14" t="s">
        <v>39</v>
      </c>
      <c r="D774" s="15">
        <v>45310</v>
      </c>
      <c r="E774" s="2">
        <v>1511</v>
      </c>
      <c r="F774" s="14" t="s">
        <v>849</v>
      </c>
      <c r="G774" t="s">
        <v>850</v>
      </c>
      <c r="H774" s="14" t="s">
        <v>415</v>
      </c>
      <c r="I774" s="2">
        <v>1</v>
      </c>
      <c r="J774" s="2">
        <v>234</v>
      </c>
      <c r="K774" s="2">
        <v>139.94</v>
      </c>
      <c r="L774" s="2"/>
      <c r="M774" s="2">
        <v>234</v>
      </c>
      <c r="N774" s="14"/>
      <c r="O774" s="14"/>
      <c r="P774" s="2">
        <v>56.35</v>
      </c>
      <c r="Q774" s="2">
        <v>56.35</v>
      </c>
      <c r="R774" s="2">
        <v>49</v>
      </c>
      <c r="S774">
        <f t="shared" si="59"/>
        <v>49</v>
      </c>
      <c r="T774" t="s">
        <v>147</v>
      </c>
      <c r="U774">
        <f t="shared" si="60"/>
        <v>2.254</v>
      </c>
    </row>
    <row r="775" spans="1:21" hidden="1" x14ac:dyDescent="0.25">
      <c r="A775" s="2">
        <v>39029</v>
      </c>
      <c r="B775" s="13" t="s">
        <v>1335</v>
      </c>
      <c r="C775" s="14" t="s">
        <v>39</v>
      </c>
      <c r="D775" s="15">
        <v>45310</v>
      </c>
      <c r="E775" s="2">
        <v>1511</v>
      </c>
      <c r="F775" s="14" t="s">
        <v>1336</v>
      </c>
      <c r="G775" t="s">
        <v>1337</v>
      </c>
      <c r="H775" s="14" t="s">
        <v>505</v>
      </c>
      <c r="I775" s="2">
        <v>1</v>
      </c>
      <c r="J775" s="2">
        <v>18</v>
      </c>
      <c r="K775" s="2">
        <v>4.3</v>
      </c>
      <c r="L775" s="2"/>
      <c r="M775" s="2">
        <v>18</v>
      </c>
      <c r="N775" s="14"/>
      <c r="O775" s="14"/>
      <c r="P775" s="2">
        <v>11</v>
      </c>
      <c r="Q775" s="2">
        <v>11</v>
      </c>
      <c r="R775" s="2">
        <v>11</v>
      </c>
      <c r="S775">
        <f t="shared" si="59"/>
        <v>11</v>
      </c>
      <c r="T775" t="s">
        <v>147</v>
      </c>
      <c r="U775">
        <f t="shared" si="60"/>
        <v>0.44</v>
      </c>
    </row>
    <row r="776" spans="1:21" x14ac:dyDescent="0.25">
      <c r="A776" s="2">
        <v>39029</v>
      </c>
      <c r="B776" s="13" t="s">
        <v>1335</v>
      </c>
      <c r="C776" s="14" t="s">
        <v>39</v>
      </c>
      <c r="D776" s="15">
        <v>45310</v>
      </c>
      <c r="E776" s="2">
        <v>1511</v>
      </c>
      <c r="F776" s="14" t="s">
        <v>1338</v>
      </c>
      <c r="G776" t="s">
        <v>1339</v>
      </c>
      <c r="H776" s="14" t="s">
        <v>93</v>
      </c>
      <c r="I776" s="2">
        <v>1</v>
      </c>
      <c r="J776" s="2">
        <v>0</v>
      </c>
      <c r="K776" s="2">
        <v>0</v>
      </c>
      <c r="L776" s="2"/>
      <c r="M776" s="2">
        <v>0</v>
      </c>
      <c r="N776" s="14"/>
      <c r="O776" s="14"/>
      <c r="P776" s="2">
        <v>3000</v>
      </c>
      <c r="Q776" s="2">
        <v>3000</v>
      </c>
      <c r="R776" s="2">
        <v>0</v>
      </c>
      <c r="S776">
        <f t="shared" si="59"/>
        <v>0</v>
      </c>
      <c r="T776" t="s">
        <v>147</v>
      </c>
      <c r="U776">
        <f t="shared" si="60"/>
        <v>120</v>
      </c>
    </row>
    <row r="777" spans="1:21" hidden="1" x14ac:dyDescent="0.25">
      <c r="A777" s="2">
        <v>39029</v>
      </c>
      <c r="B777" s="13" t="s">
        <v>1335</v>
      </c>
      <c r="C777" s="14" t="s">
        <v>39</v>
      </c>
      <c r="D777" s="15">
        <v>45310</v>
      </c>
      <c r="E777" s="2">
        <v>1511</v>
      </c>
      <c r="F777" s="14" t="s">
        <v>1340</v>
      </c>
      <c r="G777" t="s">
        <v>1341</v>
      </c>
      <c r="H777" s="14" t="s">
        <v>505</v>
      </c>
      <c r="I777" s="2">
        <v>8</v>
      </c>
      <c r="J777" s="2">
        <v>20</v>
      </c>
      <c r="K777" s="2">
        <v>4.17</v>
      </c>
      <c r="L777" s="2"/>
      <c r="M777" s="2">
        <v>160</v>
      </c>
      <c r="N777" s="14"/>
      <c r="O777" s="14"/>
      <c r="P777" s="2">
        <v>8</v>
      </c>
      <c r="Q777" s="2">
        <v>64</v>
      </c>
      <c r="R777" s="2">
        <v>14</v>
      </c>
      <c r="S777">
        <f t="shared" si="59"/>
        <v>112</v>
      </c>
      <c r="T777" t="s">
        <v>147</v>
      </c>
      <c r="U777">
        <f t="shared" si="60"/>
        <v>2.56</v>
      </c>
    </row>
    <row r="778" spans="1:21" x14ac:dyDescent="0.25">
      <c r="A778" s="2">
        <v>39033</v>
      </c>
      <c r="B778" s="13" t="s">
        <v>1342</v>
      </c>
      <c r="C778" s="14" t="s">
        <v>39</v>
      </c>
      <c r="D778" s="15">
        <v>45322</v>
      </c>
      <c r="E778" s="2">
        <v>0</v>
      </c>
      <c r="F778" s="14" t="s">
        <v>197</v>
      </c>
      <c r="G778" t="s">
        <v>198</v>
      </c>
      <c r="H778" s="14" t="s">
        <v>93</v>
      </c>
      <c r="I778" s="2">
        <v>3.5</v>
      </c>
      <c r="J778" s="2">
        <v>0</v>
      </c>
      <c r="K778" s="2">
        <v>0</v>
      </c>
      <c r="L778" s="2"/>
      <c r="M778" s="2">
        <v>0</v>
      </c>
      <c r="N778" s="14"/>
      <c r="O778" s="14"/>
      <c r="P778" s="2">
        <v>120</v>
      </c>
      <c r="Q778" s="2">
        <v>420</v>
      </c>
      <c r="R778" s="2">
        <v>0</v>
      </c>
      <c r="S778">
        <f t="shared" si="59"/>
        <v>0</v>
      </c>
      <c r="T778" t="s">
        <v>132</v>
      </c>
      <c r="U778">
        <f t="shared" si="60"/>
        <v>16.8</v>
      </c>
    </row>
    <row r="779" spans="1:21" hidden="1" x14ac:dyDescent="0.25">
      <c r="A779" s="2">
        <v>39033</v>
      </c>
      <c r="B779" s="13" t="s">
        <v>1342</v>
      </c>
      <c r="C779" s="14" t="s">
        <v>39</v>
      </c>
      <c r="D779" s="15">
        <v>45322</v>
      </c>
      <c r="E779" s="2">
        <v>0</v>
      </c>
      <c r="F779" s="14" t="s">
        <v>1343</v>
      </c>
      <c r="G779" t="s">
        <v>1344</v>
      </c>
      <c r="H779" s="14" t="s">
        <v>42</v>
      </c>
      <c r="I779" s="2">
        <v>1</v>
      </c>
      <c r="J779" s="2">
        <v>0</v>
      </c>
      <c r="K779" s="2">
        <v>0</v>
      </c>
      <c r="L779" s="2"/>
      <c r="M779" s="2">
        <v>0</v>
      </c>
      <c r="N779" s="14"/>
      <c r="O779" s="14"/>
      <c r="P779" s="2">
        <v>616</v>
      </c>
      <c r="Q779" s="2">
        <v>616</v>
      </c>
      <c r="R779" s="2">
        <v>504.61</v>
      </c>
      <c r="S779">
        <f t="shared" si="59"/>
        <v>504.61</v>
      </c>
      <c r="T779" t="s">
        <v>132</v>
      </c>
      <c r="U779" s="1">
        <f>_xlfn.XLOOKUP(T779,$Y$2:$Y$45,$AA$2:$AA$45)*(Q779-S779)</f>
        <v>8.9111999999999991</v>
      </c>
    </row>
    <row r="780" spans="1:21" hidden="1" x14ac:dyDescent="0.25">
      <c r="A780" s="2">
        <v>39033</v>
      </c>
      <c r="B780" s="13" t="s">
        <v>1342</v>
      </c>
      <c r="C780" s="14" t="s">
        <v>39</v>
      </c>
      <c r="D780" s="15">
        <v>45322</v>
      </c>
      <c r="E780" s="2">
        <v>0</v>
      </c>
      <c r="F780" s="14" t="s">
        <v>482</v>
      </c>
      <c r="G780" t="s">
        <v>483</v>
      </c>
      <c r="H780" s="14" t="s">
        <v>42</v>
      </c>
      <c r="I780" s="2">
        <v>1</v>
      </c>
      <c r="J780" s="2">
        <v>0</v>
      </c>
      <c r="K780" s="2">
        <v>0</v>
      </c>
      <c r="L780" s="2"/>
      <c r="M780" s="2">
        <v>0</v>
      </c>
      <c r="N780" s="14"/>
      <c r="O780" s="14"/>
      <c r="P780" s="2">
        <v>149</v>
      </c>
      <c r="Q780" s="2">
        <v>149</v>
      </c>
      <c r="R780" s="2">
        <v>121.57</v>
      </c>
      <c r="S780">
        <f t="shared" si="59"/>
        <v>121.57</v>
      </c>
      <c r="T780" t="s">
        <v>132</v>
      </c>
      <c r="U780" s="1">
        <f>_xlfn.XLOOKUP(T780,$Y$2:$Y$45,$AA$2:$AA$45)*(Q780-S780)</f>
        <v>2.1944000000000008</v>
      </c>
    </row>
    <row r="781" spans="1:21" x14ac:dyDescent="0.25">
      <c r="A781" s="2">
        <v>39033</v>
      </c>
      <c r="B781" s="13" t="s">
        <v>1342</v>
      </c>
      <c r="C781" s="14" t="s">
        <v>39</v>
      </c>
      <c r="D781" s="15">
        <v>45322</v>
      </c>
      <c r="E781" s="2">
        <v>0</v>
      </c>
      <c r="F781" s="14" t="s">
        <v>455</v>
      </c>
      <c r="G781" t="s">
        <v>598</v>
      </c>
      <c r="H781" s="14" t="s">
        <v>93</v>
      </c>
      <c r="I781" s="2">
        <v>2.25</v>
      </c>
      <c r="J781" s="2">
        <v>0</v>
      </c>
      <c r="K781" s="2">
        <v>0</v>
      </c>
      <c r="L781" s="2"/>
      <c r="M781" s="2">
        <v>0</v>
      </c>
      <c r="N781" s="14"/>
      <c r="O781" s="14"/>
      <c r="P781" s="2">
        <v>120</v>
      </c>
      <c r="Q781" s="2">
        <v>270</v>
      </c>
      <c r="R781" s="2">
        <v>0</v>
      </c>
      <c r="S781">
        <f t="shared" si="59"/>
        <v>0</v>
      </c>
      <c r="T781" t="s">
        <v>132</v>
      </c>
      <c r="U781">
        <f>_xlfn.XLOOKUP(T781,$Y$2:$Y$45,$AB$2:$AB$45)*(Q781)</f>
        <v>10.8</v>
      </c>
    </row>
    <row r="782" spans="1:21" x14ac:dyDescent="0.25">
      <c r="A782" s="2">
        <v>39033</v>
      </c>
      <c r="B782" s="13" t="s">
        <v>1342</v>
      </c>
      <c r="C782" s="14" t="s">
        <v>39</v>
      </c>
      <c r="D782" s="15">
        <v>45322</v>
      </c>
      <c r="E782" s="2">
        <v>0</v>
      </c>
      <c r="F782" s="14" t="s">
        <v>154</v>
      </c>
      <c r="G782" t="s">
        <v>155</v>
      </c>
      <c r="H782" s="14" t="s">
        <v>93</v>
      </c>
      <c r="I782" s="2">
        <v>1</v>
      </c>
      <c r="J782" s="2">
        <v>0</v>
      </c>
      <c r="K782" s="2">
        <v>0</v>
      </c>
      <c r="L782" s="2"/>
      <c r="M782" s="2">
        <v>0</v>
      </c>
      <c r="N782" s="14"/>
      <c r="O782" s="14"/>
      <c r="P782" s="2">
        <v>150</v>
      </c>
      <c r="Q782" s="2">
        <v>150</v>
      </c>
      <c r="R782" s="2">
        <v>0</v>
      </c>
      <c r="S782">
        <f t="shared" si="59"/>
        <v>0</v>
      </c>
      <c r="T782" t="s">
        <v>132</v>
      </c>
      <c r="U782">
        <f>_xlfn.XLOOKUP(T782,$Y$2:$Y$45,$AB$2:$AB$45)*(Q782)</f>
        <v>6</v>
      </c>
    </row>
    <row r="783" spans="1:21" hidden="1" x14ac:dyDescent="0.25">
      <c r="A783" s="2">
        <v>39035</v>
      </c>
      <c r="B783" s="13" t="s">
        <v>1345</v>
      </c>
      <c r="C783" s="14" t="s">
        <v>39</v>
      </c>
      <c r="D783" s="15">
        <v>45314</v>
      </c>
      <c r="E783" s="2">
        <v>0</v>
      </c>
      <c r="F783" s="14" t="s">
        <v>1346</v>
      </c>
      <c r="G783" t="s">
        <v>1347</v>
      </c>
      <c r="H783" s="14" t="s">
        <v>42</v>
      </c>
      <c r="I783" s="2">
        <v>1</v>
      </c>
      <c r="J783" s="2">
        <v>0</v>
      </c>
      <c r="K783" s="2">
        <v>0</v>
      </c>
      <c r="L783" s="2"/>
      <c r="M783" s="2">
        <v>0</v>
      </c>
      <c r="N783" s="14"/>
      <c r="O783" s="14"/>
      <c r="P783" s="2">
        <v>1426.91</v>
      </c>
      <c r="Q783" s="2">
        <v>1426.91</v>
      </c>
      <c r="R783" s="2">
        <v>1189.0899999999999</v>
      </c>
      <c r="S783">
        <f t="shared" si="59"/>
        <v>1189.0899999999999</v>
      </c>
      <c r="T783" t="s">
        <v>132</v>
      </c>
      <c r="U783" s="1">
        <f>_xlfn.XLOOKUP(T783,$Y$2:$Y$45,$AA$2:$AA$45)*(Q783-S783)</f>
        <v>19.025600000000015</v>
      </c>
    </row>
    <row r="784" spans="1:21" hidden="1" x14ac:dyDescent="0.25">
      <c r="A784" s="2">
        <v>39037</v>
      </c>
      <c r="B784" s="13" t="s">
        <v>1348</v>
      </c>
      <c r="C784" s="14" t="s">
        <v>39</v>
      </c>
      <c r="D784" s="15">
        <v>45310</v>
      </c>
      <c r="E784" s="2">
        <v>0</v>
      </c>
      <c r="F784" s="14" t="s">
        <v>1349</v>
      </c>
      <c r="G784" t="s">
        <v>1350</v>
      </c>
      <c r="H784" s="14" t="s">
        <v>104</v>
      </c>
      <c r="I784" s="2">
        <v>51</v>
      </c>
      <c r="J784" s="2">
        <v>0</v>
      </c>
      <c r="K784" s="2">
        <v>0</v>
      </c>
      <c r="L784" s="2"/>
      <c r="M784" s="2">
        <v>0</v>
      </c>
      <c r="N784" s="14"/>
      <c r="O784" s="14"/>
      <c r="P784" s="2">
        <v>176</v>
      </c>
      <c r="Q784" s="2">
        <v>8976</v>
      </c>
      <c r="R784" s="2">
        <v>0</v>
      </c>
      <c r="S784">
        <f t="shared" si="59"/>
        <v>0</v>
      </c>
      <c r="T784" t="s">
        <v>140</v>
      </c>
      <c r="U784">
        <f>_xlfn.XLOOKUP(T784,$Y$2:$Y$45,$AB$2:$AB$45)*(Q784)</f>
        <v>359.04</v>
      </c>
    </row>
    <row r="785" spans="1:21" hidden="1" x14ac:dyDescent="0.25">
      <c r="A785" s="2">
        <v>39039</v>
      </c>
      <c r="B785" s="13" t="s">
        <v>1351</v>
      </c>
      <c r="C785" s="14" t="s">
        <v>39</v>
      </c>
      <c r="D785" s="15">
        <v>45310</v>
      </c>
      <c r="E785" s="2">
        <v>0</v>
      </c>
      <c r="F785" s="14" t="s">
        <v>1352</v>
      </c>
      <c r="G785" t="s">
        <v>1353</v>
      </c>
      <c r="H785" s="14" t="s">
        <v>42</v>
      </c>
      <c r="I785" s="2">
        <v>2</v>
      </c>
      <c r="J785" s="2">
        <v>0</v>
      </c>
      <c r="K785" s="2">
        <v>0</v>
      </c>
      <c r="L785" s="2"/>
      <c r="M785" s="2">
        <v>0</v>
      </c>
      <c r="N785" s="14"/>
      <c r="O785" s="14"/>
      <c r="P785" s="2">
        <v>1287</v>
      </c>
      <c r="Q785" s="2">
        <v>2574</v>
      </c>
      <c r="R785" s="2">
        <v>1167.49</v>
      </c>
      <c r="S785">
        <f t="shared" si="59"/>
        <v>2334.98</v>
      </c>
      <c r="T785" t="s">
        <v>140</v>
      </c>
      <c r="U785" s="1">
        <f t="shared" ref="U785:U794" si="61">_xlfn.XLOOKUP(T785,$Y$2:$Y$45,$AA$2:$AA$45)*(Q785-S785)</f>
        <v>19.121599999999997</v>
      </c>
    </row>
    <row r="786" spans="1:21" hidden="1" x14ac:dyDescent="0.25">
      <c r="A786" s="2">
        <v>39039</v>
      </c>
      <c r="B786" s="13" t="s">
        <v>1351</v>
      </c>
      <c r="C786" s="14" t="s">
        <v>39</v>
      </c>
      <c r="D786" s="15">
        <v>45310</v>
      </c>
      <c r="E786" s="2">
        <v>0</v>
      </c>
      <c r="F786" s="14" t="s">
        <v>1354</v>
      </c>
      <c r="G786" t="s">
        <v>1355</v>
      </c>
      <c r="H786" s="14" t="s">
        <v>42</v>
      </c>
      <c r="I786" s="2">
        <v>1</v>
      </c>
      <c r="J786" s="2">
        <v>0</v>
      </c>
      <c r="K786" s="2">
        <v>0</v>
      </c>
      <c r="L786" s="2"/>
      <c r="M786" s="2">
        <v>0</v>
      </c>
      <c r="N786" s="14"/>
      <c r="O786" s="14"/>
      <c r="P786" s="2">
        <v>1463</v>
      </c>
      <c r="Q786" s="2">
        <v>1463</v>
      </c>
      <c r="R786" s="2">
        <v>1325</v>
      </c>
      <c r="S786">
        <f t="shared" si="59"/>
        <v>1325</v>
      </c>
      <c r="T786" t="s">
        <v>140</v>
      </c>
      <c r="U786" s="1">
        <f t="shared" si="61"/>
        <v>11.040000000000001</v>
      </c>
    </row>
    <row r="787" spans="1:21" hidden="1" x14ac:dyDescent="0.25">
      <c r="A787" s="2">
        <v>39039</v>
      </c>
      <c r="B787" s="13" t="s">
        <v>1351</v>
      </c>
      <c r="C787" s="14" t="s">
        <v>39</v>
      </c>
      <c r="D787" s="15">
        <v>45310</v>
      </c>
      <c r="E787" s="2">
        <v>0</v>
      </c>
      <c r="F787" s="14" t="s">
        <v>1356</v>
      </c>
      <c r="G787" t="s">
        <v>1357</v>
      </c>
      <c r="H787" s="14" t="s">
        <v>42</v>
      </c>
      <c r="I787" s="2">
        <v>1</v>
      </c>
      <c r="J787" s="2">
        <v>0</v>
      </c>
      <c r="K787" s="2">
        <v>0</v>
      </c>
      <c r="L787" s="2"/>
      <c r="M787" s="2">
        <v>0</v>
      </c>
      <c r="N787" s="14"/>
      <c r="O787" s="14"/>
      <c r="P787" s="2">
        <v>332</v>
      </c>
      <c r="Q787" s="2">
        <v>332</v>
      </c>
      <c r="R787" s="2">
        <v>266</v>
      </c>
      <c r="S787">
        <f t="shared" si="59"/>
        <v>266</v>
      </c>
      <c r="T787" t="s">
        <v>140</v>
      </c>
      <c r="U787" s="1">
        <f t="shared" si="61"/>
        <v>5.28</v>
      </c>
    </row>
    <row r="788" spans="1:21" hidden="1" x14ac:dyDescent="0.25">
      <c r="A788" s="2">
        <v>39039</v>
      </c>
      <c r="B788" s="13" t="s">
        <v>1351</v>
      </c>
      <c r="C788" s="14" t="s">
        <v>39</v>
      </c>
      <c r="D788" s="15">
        <v>45310</v>
      </c>
      <c r="E788" s="2">
        <v>0</v>
      </c>
      <c r="F788" s="14" t="s">
        <v>1358</v>
      </c>
      <c r="G788" t="s">
        <v>1359</v>
      </c>
      <c r="H788" s="14" t="s">
        <v>42</v>
      </c>
      <c r="I788" s="2">
        <v>2</v>
      </c>
      <c r="J788" s="2">
        <v>0</v>
      </c>
      <c r="K788" s="2">
        <v>0</v>
      </c>
      <c r="L788" s="2"/>
      <c r="M788" s="2">
        <v>0</v>
      </c>
      <c r="N788" s="14"/>
      <c r="O788" s="14"/>
      <c r="P788" s="2">
        <v>1365</v>
      </c>
      <c r="Q788" s="2">
        <v>2730</v>
      </c>
      <c r="R788" s="2">
        <v>1196.0999999999999</v>
      </c>
      <c r="S788">
        <f t="shared" si="59"/>
        <v>2392.1999999999998</v>
      </c>
      <c r="T788" t="s">
        <v>140</v>
      </c>
      <c r="U788" s="1">
        <f t="shared" si="61"/>
        <v>27.024000000000015</v>
      </c>
    </row>
    <row r="789" spans="1:21" hidden="1" x14ac:dyDescent="0.25">
      <c r="A789" s="2">
        <v>39039</v>
      </c>
      <c r="B789" s="13" t="s">
        <v>1351</v>
      </c>
      <c r="C789" s="14" t="s">
        <v>39</v>
      </c>
      <c r="D789" s="15">
        <v>45310</v>
      </c>
      <c r="E789" s="2">
        <v>0</v>
      </c>
      <c r="F789" s="14" t="s">
        <v>821</v>
      </c>
      <c r="G789" t="s">
        <v>822</v>
      </c>
      <c r="H789" s="14" t="s">
        <v>42</v>
      </c>
      <c r="I789" s="2">
        <v>2</v>
      </c>
      <c r="J789" s="2">
        <v>0</v>
      </c>
      <c r="K789" s="2">
        <v>0</v>
      </c>
      <c r="L789" s="2"/>
      <c r="M789" s="2">
        <v>0</v>
      </c>
      <c r="N789" s="14"/>
      <c r="O789" s="14"/>
      <c r="P789" s="2">
        <v>5</v>
      </c>
      <c r="Q789" s="2">
        <v>10</v>
      </c>
      <c r="R789" s="2">
        <v>0</v>
      </c>
      <c r="S789">
        <f t="shared" si="59"/>
        <v>0</v>
      </c>
      <c r="T789" t="s">
        <v>140</v>
      </c>
      <c r="U789" s="1">
        <f t="shared" si="61"/>
        <v>0.8</v>
      </c>
    </row>
    <row r="790" spans="1:21" hidden="1" x14ac:dyDescent="0.25">
      <c r="A790" s="2">
        <v>39039</v>
      </c>
      <c r="B790" s="13" t="s">
        <v>1351</v>
      </c>
      <c r="C790" s="14" t="s">
        <v>39</v>
      </c>
      <c r="D790" s="15">
        <v>45310</v>
      </c>
      <c r="E790" s="2">
        <v>0</v>
      </c>
      <c r="F790" s="14" t="s">
        <v>1360</v>
      </c>
      <c r="G790" t="s">
        <v>1361</v>
      </c>
      <c r="H790" s="14" t="s">
        <v>42</v>
      </c>
      <c r="I790" s="2">
        <v>1</v>
      </c>
      <c r="J790" s="2">
        <v>0</v>
      </c>
      <c r="K790" s="2">
        <v>0</v>
      </c>
      <c r="L790" s="2"/>
      <c r="M790" s="2">
        <v>0</v>
      </c>
      <c r="N790" s="14"/>
      <c r="O790" s="14"/>
      <c r="P790" s="2">
        <v>310</v>
      </c>
      <c r="Q790" s="2">
        <v>310</v>
      </c>
      <c r="R790" s="2">
        <v>248</v>
      </c>
      <c r="S790">
        <f t="shared" si="59"/>
        <v>248</v>
      </c>
      <c r="T790" t="s">
        <v>140</v>
      </c>
      <c r="U790" s="1">
        <f t="shared" si="61"/>
        <v>4.96</v>
      </c>
    </row>
    <row r="791" spans="1:21" hidden="1" x14ac:dyDescent="0.25">
      <c r="A791" s="2">
        <v>39039</v>
      </c>
      <c r="B791" s="13" t="s">
        <v>1351</v>
      </c>
      <c r="C791" s="14" t="s">
        <v>39</v>
      </c>
      <c r="D791" s="15">
        <v>45310</v>
      </c>
      <c r="E791" s="2">
        <v>0</v>
      </c>
      <c r="F791" s="14" t="s">
        <v>1362</v>
      </c>
      <c r="G791" t="s">
        <v>1363</v>
      </c>
      <c r="H791" s="14" t="s">
        <v>1364</v>
      </c>
      <c r="I791" s="2">
        <v>2</v>
      </c>
      <c r="J791" s="2">
        <v>0</v>
      </c>
      <c r="K791" s="2">
        <v>0</v>
      </c>
      <c r="L791" s="2"/>
      <c r="M791" s="2">
        <v>0</v>
      </c>
      <c r="N791" s="14"/>
      <c r="O791" s="14"/>
      <c r="P791" s="2">
        <v>18</v>
      </c>
      <c r="Q791" s="2">
        <v>36</v>
      </c>
      <c r="R791" s="2">
        <v>12.33</v>
      </c>
      <c r="S791">
        <f t="shared" si="59"/>
        <v>24.66</v>
      </c>
      <c r="T791" t="s">
        <v>140</v>
      </c>
      <c r="U791" s="1">
        <f t="shared" si="61"/>
        <v>0.90720000000000001</v>
      </c>
    </row>
    <row r="792" spans="1:21" hidden="1" x14ac:dyDescent="0.25">
      <c r="A792" s="2">
        <v>39039</v>
      </c>
      <c r="B792" s="13" t="s">
        <v>1351</v>
      </c>
      <c r="C792" s="14" t="s">
        <v>39</v>
      </c>
      <c r="D792" s="15">
        <v>45310</v>
      </c>
      <c r="E792" s="2">
        <v>0</v>
      </c>
      <c r="F792" s="14" t="s">
        <v>663</v>
      </c>
      <c r="G792" t="s">
        <v>664</v>
      </c>
      <c r="H792" s="14" t="s">
        <v>42</v>
      </c>
      <c r="I792" s="2">
        <v>2</v>
      </c>
      <c r="J792" s="2">
        <v>0</v>
      </c>
      <c r="K792" s="2">
        <v>0</v>
      </c>
      <c r="L792" s="2"/>
      <c r="M792" s="2">
        <v>0</v>
      </c>
      <c r="N792" s="14"/>
      <c r="O792" s="14"/>
      <c r="P792" s="2">
        <v>216</v>
      </c>
      <c r="Q792" s="2">
        <v>432</v>
      </c>
      <c r="R792" s="2">
        <v>171</v>
      </c>
      <c r="S792">
        <f t="shared" si="59"/>
        <v>342</v>
      </c>
      <c r="T792" t="s">
        <v>140</v>
      </c>
      <c r="U792" s="1">
        <f t="shared" si="61"/>
        <v>7.2</v>
      </c>
    </row>
    <row r="793" spans="1:21" hidden="1" x14ac:dyDescent="0.25">
      <c r="A793" s="2">
        <v>39039</v>
      </c>
      <c r="B793" s="13" t="s">
        <v>1351</v>
      </c>
      <c r="C793" s="14" t="s">
        <v>39</v>
      </c>
      <c r="D793" s="15">
        <v>45310</v>
      </c>
      <c r="E793" s="2">
        <v>0</v>
      </c>
      <c r="F793" s="14" t="s">
        <v>821</v>
      </c>
      <c r="G793" t="s">
        <v>822</v>
      </c>
      <c r="H793" s="14" t="s">
        <v>42</v>
      </c>
      <c r="I793" s="2">
        <v>2</v>
      </c>
      <c r="J793" s="2">
        <v>0</v>
      </c>
      <c r="K793" s="2">
        <v>0</v>
      </c>
      <c r="L793" s="2"/>
      <c r="M793" s="2">
        <v>0</v>
      </c>
      <c r="N793" s="14"/>
      <c r="O793" s="14"/>
      <c r="P793" s="2">
        <v>5</v>
      </c>
      <c r="Q793" s="2">
        <v>10</v>
      </c>
      <c r="R793" s="2">
        <v>0</v>
      </c>
      <c r="S793">
        <f t="shared" si="59"/>
        <v>0</v>
      </c>
      <c r="T793" t="s">
        <v>140</v>
      </c>
      <c r="U793" s="1">
        <f t="shared" si="61"/>
        <v>0.8</v>
      </c>
    </row>
    <row r="794" spans="1:21" hidden="1" x14ac:dyDescent="0.25">
      <c r="A794" s="2">
        <v>39039</v>
      </c>
      <c r="B794" s="13" t="s">
        <v>1351</v>
      </c>
      <c r="C794" s="14" t="s">
        <v>39</v>
      </c>
      <c r="D794" s="15">
        <v>45310</v>
      </c>
      <c r="E794" s="2">
        <v>0</v>
      </c>
      <c r="F794" s="14" t="s">
        <v>429</v>
      </c>
      <c r="G794" t="s">
        <v>430</v>
      </c>
      <c r="H794" s="14" t="s">
        <v>42</v>
      </c>
      <c r="I794" s="2">
        <v>1</v>
      </c>
      <c r="J794" s="2">
        <v>0</v>
      </c>
      <c r="K794" s="2">
        <v>0</v>
      </c>
      <c r="L794" s="2"/>
      <c r="M794" s="2">
        <v>0</v>
      </c>
      <c r="N794" s="14"/>
      <c r="O794" s="14"/>
      <c r="P794" s="2">
        <v>67</v>
      </c>
      <c r="Q794" s="2">
        <v>67</v>
      </c>
      <c r="R794" s="2">
        <v>0</v>
      </c>
      <c r="S794">
        <f t="shared" si="59"/>
        <v>0</v>
      </c>
      <c r="T794" t="s">
        <v>140</v>
      </c>
      <c r="U794" s="1">
        <f t="shared" si="61"/>
        <v>5.36</v>
      </c>
    </row>
    <row r="795" spans="1:21" x14ac:dyDescent="0.25">
      <c r="A795" s="2">
        <v>39040</v>
      </c>
      <c r="B795" s="13" t="s">
        <v>1365</v>
      </c>
      <c r="C795" s="14" t="s">
        <v>39</v>
      </c>
      <c r="D795" s="15">
        <v>45313</v>
      </c>
      <c r="E795" s="2">
        <v>0</v>
      </c>
      <c r="F795" s="14" t="s">
        <v>455</v>
      </c>
      <c r="G795" t="s">
        <v>598</v>
      </c>
      <c r="H795" s="14" t="s">
        <v>93</v>
      </c>
      <c r="I795" s="2">
        <v>2</v>
      </c>
      <c r="J795" s="2">
        <v>0</v>
      </c>
      <c r="K795" s="2">
        <v>0</v>
      </c>
      <c r="L795" s="2"/>
      <c r="M795" s="2">
        <v>0</v>
      </c>
      <c r="N795" s="14"/>
      <c r="O795" s="14"/>
      <c r="P795" s="2">
        <v>120</v>
      </c>
      <c r="Q795" s="2">
        <v>240</v>
      </c>
      <c r="R795" s="2">
        <v>0</v>
      </c>
      <c r="S795">
        <f t="shared" si="59"/>
        <v>0</v>
      </c>
      <c r="T795" t="s">
        <v>132</v>
      </c>
      <c r="U795">
        <f>_xlfn.XLOOKUP(T795,$Y$2:$Y$45,$AB$2:$AB$45)*(Q795)</f>
        <v>9.6</v>
      </c>
    </row>
    <row r="796" spans="1:21" hidden="1" x14ac:dyDescent="0.25">
      <c r="A796" s="2">
        <v>39040</v>
      </c>
      <c r="B796" s="13" t="s">
        <v>1365</v>
      </c>
      <c r="C796" s="14" t="s">
        <v>39</v>
      </c>
      <c r="D796" s="15">
        <v>45313</v>
      </c>
      <c r="E796" s="2">
        <v>0</v>
      </c>
      <c r="F796" s="14" t="s">
        <v>1366</v>
      </c>
      <c r="G796" t="s">
        <v>1367</v>
      </c>
      <c r="H796" s="14" t="s">
        <v>42</v>
      </c>
      <c r="I796" s="2">
        <v>1</v>
      </c>
      <c r="J796" s="2">
        <v>0</v>
      </c>
      <c r="K796" s="2">
        <v>0</v>
      </c>
      <c r="L796" s="2"/>
      <c r="M796" s="2">
        <v>0</v>
      </c>
      <c r="N796" s="14"/>
      <c r="O796" s="14"/>
      <c r="P796" s="2">
        <v>2229</v>
      </c>
      <c r="Q796" s="2">
        <v>2229</v>
      </c>
      <c r="R796" s="2">
        <v>1827.4</v>
      </c>
      <c r="S796">
        <f t="shared" si="59"/>
        <v>1827.4</v>
      </c>
      <c r="T796" t="s">
        <v>132</v>
      </c>
      <c r="U796" s="1">
        <f>_xlfn.XLOOKUP(T796,$Y$2:$Y$45,$AA$2:$AA$45)*(Q796-S796)</f>
        <v>32.127999999999993</v>
      </c>
    </row>
    <row r="797" spans="1:21" hidden="1" x14ac:dyDescent="0.25">
      <c r="A797" s="2">
        <v>39040</v>
      </c>
      <c r="B797" s="13" t="s">
        <v>1365</v>
      </c>
      <c r="C797" s="14" t="s">
        <v>39</v>
      </c>
      <c r="D797" s="15">
        <v>45313</v>
      </c>
      <c r="E797" s="2">
        <v>0</v>
      </c>
      <c r="F797" s="14" t="s">
        <v>1368</v>
      </c>
      <c r="G797" t="s">
        <v>863</v>
      </c>
      <c r="H797" s="14" t="s">
        <v>42</v>
      </c>
      <c r="I797" s="2">
        <v>1</v>
      </c>
      <c r="J797" s="2">
        <v>0</v>
      </c>
      <c r="K797" s="2">
        <v>0</v>
      </c>
      <c r="L797" s="2"/>
      <c r="M797" s="2">
        <v>0</v>
      </c>
      <c r="N797" s="14"/>
      <c r="O797" s="14"/>
      <c r="P797" s="2">
        <v>92</v>
      </c>
      <c r="Q797" s="2">
        <v>92</v>
      </c>
      <c r="R797" s="2">
        <v>74.69</v>
      </c>
      <c r="S797">
        <f t="shared" si="59"/>
        <v>74.69</v>
      </c>
      <c r="T797" t="s">
        <v>132</v>
      </c>
      <c r="U797" s="1">
        <f>_xlfn.XLOOKUP(T797,$Y$2:$Y$45,$AA$2:$AA$45)*(Q797-S797)</f>
        <v>1.3848000000000003</v>
      </c>
    </row>
    <row r="798" spans="1:21" hidden="1" x14ac:dyDescent="0.25">
      <c r="A798" s="2">
        <v>39044</v>
      </c>
      <c r="B798" s="13" t="s">
        <v>1369</v>
      </c>
      <c r="C798" s="14" t="s">
        <v>39</v>
      </c>
      <c r="D798" s="15">
        <v>45308</v>
      </c>
      <c r="E798" s="2">
        <v>0</v>
      </c>
      <c r="F798" s="14" t="s">
        <v>1370</v>
      </c>
      <c r="G798" t="s">
        <v>1371</v>
      </c>
      <c r="H798" s="14" t="s">
        <v>42</v>
      </c>
      <c r="I798" s="2">
        <v>1</v>
      </c>
      <c r="J798" s="2">
        <v>0</v>
      </c>
      <c r="K798" s="2">
        <v>0</v>
      </c>
      <c r="L798" s="2"/>
      <c r="M798" s="2">
        <v>0</v>
      </c>
      <c r="N798" s="14"/>
      <c r="O798" s="14"/>
      <c r="P798" s="2">
        <v>2089.75</v>
      </c>
      <c r="Q798" s="2">
        <v>2089.75</v>
      </c>
      <c r="R798" s="2">
        <v>1756.09</v>
      </c>
      <c r="S798">
        <f t="shared" si="59"/>
        <v>1756.09</v>
      </c>
      <c r="T798" t="s">
        <v>132</v>
      </c>
      <c r="U798" s="1">
        <f>_xlfn.XLOOKUP(T798,$Y$2:$Y$45,$AA$2:$AA$45)*(Q798-S798)</f>
        <v>26.692800000000005</v>
      </c>
    </row>
    <row r="799" spans="1:21" x14ac:dyDescent="0.25">
      <c r="A799" s="2">
        <v>39044</v>
      </c>
      <c r="B799" s="13" t="s">
        <v>1369</v>
      </c>
      <c r="C799" s="14" t="s">
        <v>39</v>
      </c>
      <c r="D799" s="15">
        <v>45308</v>
      </c>
      <c r="E799" s="2">
        <v>0</v>
      </c>
      <c r="F799" s="14" t="s">
        <v>417</v>
      </c>
      <c r="G799" t="s">
        <v>417</v>
      </c>
      <c r="H799" s="14" t="s">
        <v>93</v>
      </c>
      <c r="I799" s="2">
        <v>1</v>
      </c>
      <c r="J799" s="2">
        <v>0</v>
      </c>
      <c r="K799" s="2">
        <v>0</v>
      </c>
      <c r="L799" s="2"/>
      <c r="M799" s="2">
        <v>0</v>
      </c>
      <c r="N799" s="14"/>
      <c r="O799" s="14"/>
      <c r="P799" s="2">
        <v>250</v>
      </c>
      <c r="Q799" s="2">
        <v>250</v>
      </c>
      <c r="R799" s="2">
        <v>0</v>
      </c>
      <c r="S799">
        <f t="shared" si="59"/>
        <v>0</v>
      </c>
      <c r="T799" t="s">
        <v>132</v>
      </c>
      <c r="U799">
        <f>_xlfn.XLOOKUP(T799,$Y$2:$Y$45,$AB$2:$AB$45)*(Q799)</f>
        <v>10</v>
      </c>
    </row>
    <row r="800" spans="1:21" hidden="1" x14ac:dyDescent="0.25">
      <c r="A800" s="2">
        <v>39048</v>
      </c>
      <c r="B800" s="13" t="s">
        <v>1372</v>
      </c>
      <c r="C800" s="14" t="s">
        <v>39</v>
      </c>
      <c r="D800" s="15">
        <v>45317</v>
      </c>
      <c r="E800" s="2">
        <v>0</v>
      </c>
      <c r="F800" s="14" t="s">
        <v>1373</v>
      </c>
      <c r="G800" t="s">
        <v>1374</v>
      </c>
      <c r="H800" s="14" t="s">
        <v>146</v>
      </c>
      <c r="I800" s="2">
        <v>12</v>
      </c>
      <c r="J800" s="2">
        <v>0</v>
      </c>
      <c r="K800" s="2">
        <v>0</v>
      </c>
      <c r="L800" s="2"/>
      <c r="M800" s="2">
        <v>0</v>
      </c>
      <c r="N800" s="14"/>
      <c r="O800" s="14"/>
      <c r="P800" s="2">
        <v>140</v>
      </c>
      <c r="Q800" s="2">
        <v>1680</v>
      </c>
      <c r="R800" s="2">
        <v>120.88</v>
      </c>
      <c r="S800">
        <f t="shared" si="59"/>
        <v>1450.56</v>
      </c>
      <c r="T800" t="s">
        <v>132</v>
      </c>
      <c r="U800" s="1">
        <f>_xlfn.XLOOKUP(T800,$Y$2:$Y$45,$AA$2:$AA$45)*(Q800-S800)</f>
        <v>18.355200000000004</v>
      </c>
    </row>
    <row r="801" spans="1:21" hidden="1" x14ac:dyDescent="0.25">
      <c r="A801" s="2">
        <v>39048</v>
      </c>
      <c r="B801" s="13" t="s">
        <v>1372</v>
      </c>
      <c r="C801" s="14" t="s">
        <v>39</v>
      </c>
      <c r="D801" s="15">
        <v>45317</v>
      </c>
      <c r="E801" s="2">
        <v>0</v>
      </c>
      <c r="F801" s="14" t="s">
        <v>1375</v>
      </c>
      <c r="G801" t="s">
        <v>1376</v>
      </c>
      <c r="H801" s="14" t="s">
        <v>146</v>
      </c>
      <c r="I801" s="2">
        <v>12</v>
      </c>
      <c r="J801" s="2">
        <v>0</v>
      </c>
      <c r="K801" s="2">
        <v>0</v>
      </c>
      <c r="L801" s="2"/>
      <c r="M801" s="2">
        <v>0</v>
      </c>
      <c r="N801" s="14"/>
      <c r="O801" s="14"/>
      <c r="P801" s="2">
        <v>79</v>
      </c>
      <c r="Q801" s="2">
        <v>948</v>
      </c>
      <c r="R801" s="2">
        <v>68.209999999999994</v>
      </c>
      <c r="S801">
        <f t="shared" si="59"/>
        <v>818.52</v>
      </c>
      <c r="T801" t="s">
        <v>132</v>
      </c>
      <c r="U801" s="1">
        <f>_xlfn.XLOOKUP(T801,$Y$2:$Y$45,$AA$2:$AA$45)*(Q801-S801)</f>
        <v>10.358400000000001</v>
      </c>
    </row>
    <row r="802" spans="1:21" x14ac:dyDescent="0.25">
      <c r="A802" s="2">
        <v>39053</v>
      </c>
      <c r="B802" s="13" t="s">
        <v>1377</v>
      </c>
      <c r="C802" s="14" t="s">
        <v>39</v>
      </c>
      <c r="D802" s="15">
        <v>45313</v>
      </c>
      <c r="E802" s="2">
        <v>595</v>
      </c>
      <c r="F802" s="14" t="s">
        <v>152</v>
      </c>
      <c r="G802" t="s">
        <v>153</v>
      </c>
      <c r="H802" s="14" t="s">
        <v>93</v>
      </c>
      <c r="I802" s="2">
        <v>2</v>
      </c>
      <c r="J802" s="2">
        <v>0</v>
      </c>
      <c r="K802" s="2">
        <v>0</v>
      </c>
      <c r="L802" s="2"/>
      <c r="M802" s="2">
        <v>0</v>
      </c>
      <c r="N802" s="14"/>
      <c r="O802" s="14"/>
      <c r="P802" s="2">
        <v>225</v>
      </c>
      <c r="Q802" s="2">
        <v>450</v>
      </c>
      <c r="R802" s="2">
        <v>0</v>
      </c>
      <c r="S802">
        <f t="shared" si="59"/>
        <v>0</v>
      </c>
      <c r="T802" t="s">
        <v>132</v>
      </c>
      <c r="U802">
        <f>_xlfn.XLOOKUP(T802,$Y$2:$Y$45,$AB$2:$AB$45)*(Q802)</f>
        <v>18</v>
      </c>
    </row>
    <row r="803" spans="1:21" hidden="1" x14ac:dyDescent="0.25">
      <c r="A803" s="2">
        <v>39054</v>
      </c>
      <c r="B803" s="13" t="s">
        <v>1378</v>
      </c>
      <c r="C803" s="14" t="s">
        <v>39</v>
      </c>
      <c r="D803" s="15">
        <v>45308</v>
      </c>
      <c r="E803" s="2">
        <v>0</v>
      </c>
      <c r="F803" s="14" t="s">
        <v>1158</v>
      </c>
      <c r="G803" t="s">
        <v>1159</v>
      </c>
      <c r="H803" s="14" t="s">
        <v>42</v>
      </c>
      <c r="I803" s="2">
        <v>1</v>
      </c>
      <c r="J803" s="2">
        <v>0</v>
      </c>
      <c r="K803" s="2">
        <v>0</v>
      </c>
      <c r="L803" s="2"/>
      <c r="M803" s="2">
        <v>0</v>
      </c>
      <c r="N803" s="14"/>
      <c r="O803" s="14"/>
      <c r="P803" s="2">
        <v>496.26</v>
      </c>
      <c r="Q803" s="2">
        <v>496.26</v>
      </c>
      <c r="R803" s="2">
        <v>421.82</v>
      </c>
      <c r="S803">
        <f t="shared" si="59"/>
        <v>421.82</v>
      </c>
      <c r="T803" t="s">
        <v>132</v>
      </c>
      <c r="U803" s="1">
        <f>_xlfn.XLOOKUP(T803,$Y$2:$Y$45,$AA$2:$AA$45)*(Q803-S803)</f>
        <v>5.9551999999999996</v>
      </c>
    </row>
    <row r="804" spans="1:21" hidden="1" x14ac:dyDescent="0.25">
      <c r="A804" s="2">
        <v>39058</v>
      </c>
      <c r="B804" s="13" t="s">
        <v>1379</v>
      </c>
      <c r="C804" s="14" t="s">
        <v>39</v>
      </c>
      <c r="D804" s="15">
        <v>45317</v>
      </c>
      <c r="E804" s="2">
        <v>0</v>
      </c>
      <c r="F804" s="14" t="s">
        <v>1380</v>
      </c>
      <c r="G804" t="s">
        <v>1381</v>
      </c>
      <c r="H804" s="14" t="s">
        <v>42</v>
      </c>
      <c r="I804" s="2">
        <v>1</v>
      </c>
      <c r="J804" s="2">
        <v>0</v>
      </c>
      <c r="K804" s="2">
        <v>0</v>
      </c>
      <c r="L804" s="2"/>
      <c r="M804" s="2">
        <v>0</v>
      </c>
      <c r="N804" s="14"/>
      <c r="O804" s="14"/>
      <c r="P804" s="2">
        <v>5613.3</v>
      </c>
      <c r="Q804" s="2">
        <v>5613.3</v>
      </c>
      <c r="R804" s="2">
        <v>4490.6400000000003</v>
      </c>
      <c r="S804">
        <f t="shared" si="59"/>
        <v>4490.6400000000003</v>
      </c>
      <c r="T804" t="s">
        <v>56</v>
      </c>
      <c r="U804" s="1">
        <f>_xlfn.XLOOKUP(T804,$Y$2:$Y$45,$AA$2:$AA$45)*(Q804-S804)</f>
        <v>95.426099999999991</v>
      </c>
    </row>
    <row r="805" spans="1:21" hidden="1" x14ac:dyDescent="0.25">
      <c r="A805" s="2">
        <v>39060</v>
      </c>
      <c r="B805" s="13" t="s">
        <v>1382</v>
      </c>
      <c r="C805" s="14" t="s">
        <v>39</v>
      </c>
      <c r="D805" s="15">
        <v>45308</v>
      </c>
      <c r="E805" s="2">
        <v>0</v>
      </c>
      <c r="F805" s="14" t="s">
        <v>1177</v>
      </c>
      <c r="G805" t="s">
        <v>1178</v>
      </c>
      <c r="H805" s="14" t="s">
        <v>42</v>
      </c>
      <c r="I805" s="2">
        <v>1</v>
      </c>
      <c r="J805" s="2">
        <v>0</v>
      </c>
      <c r="K805" s="2">
        <v>0</v>
      </c>
      <c r="L805" s="2"/>
      <c r="M805" s="2">
        <v>0</v>
      </c>
      <c r="N805" s="14"/>
      <c r="O805" s="14"/>
      <c r="P805" s="2">
        <v>189</v>
      </c>
      <c r="Q805" s="2">
        <v>189</v>
      </c>
      <c r="R805" s="2">
        <v>107.74</v>
      </c>
      <c r="S805">
        <f t="shared" si="59"/>
        <v>107.74</v>
      </c>
      <c r="T805" t="s">
        <v>61</v>
      </c>
      <c r="U805" s="1">
        <f>_xlfn.XLOOKUP(T805,$Y$2:$Y$45,$AA$2:$AA$45)*(Q805-S805)</f>
        <v>0</v>
      </c>
    </row>
    <row r="806" spans="1:21" hidden="1" x14ac:dyDescent="0.25">
      <c r="A806" s="2">
        <v>39061</v>
      </c>
      <c r="B806" s="13" t="s">
        <v>1383</v>
      </c>
      <c r="C806" s="14" t="s">
        <v>39</v>
      </c>
      <c r="D806" s="15">
        <v>45320</v>
      </c>
      <c r="E806" s="2">
        <v>0</v>
      </c>
      <c r="F806" s="14" t="s">
        <v>1384</v>
      </c>
      <c r="G806" t="s">
        <v>1385</v>
      </c>
      <c r="H806" s="14" t="s">
        <v>42</v>
      </c>
      <c r="I806" s="2">
        <v>1</v>
      </c>
      <c r="J806" s="2">
        <v>0</v>
      </c>
      <c r="K806" s="2">
        <v>0</v>
      </c>
      <c r="L806" s="2"/>
      <c r="M806" s="2">
        <v>0</v>
      </c>
      <c r="N806" s="14"/>
      <c r="O806" s="14"/>
      <c r="P806" s="2">
        <v>991</v>
      </c>
      <c r="Q806" s="2">
        <v>991</v>
      </c>
      <c r="R806" s="2">
        <v>812.58</v>
      </c>
      <c r="S806">
        <f t="shared" si="59"/>
        <v>812.58</v>
      </c>
      <c r="T806" t="s">
        <v>132</v>
      </c>
      <c r="U806" s="1">
        <f>_xlfn.XLOOKUP(T806,$Y$2:$Y$45,$AA$2:$AA$45)*(Q806-S806)</f>
        <v>14.273599999999997</v>
      </c>
    </row>
    <row r="807" spans="1:21" hidden="1" x14ac:dyDescent="0.25">
      <c r="A807" s="2">
        <v>39061</v>
      </c>
      <c r="B807" s="13" t="s">
        <v>1383</v>
      </c>
      <c r="C807" s="14" t="s">
        <v>39</v>
      </c>
      <c r="D807" s="15">
        <v>45320</v>
      </c>
      <c r="E807" s="2">
        <v>0</v>
      </c>
      <c r="F807" s="14" t="s">
        <v>725</v>
      </c>
      <c r="G807" t="s">
        <v>726</v>
      </c>
      <c r="H807" s="14" t="s">
        <v>42</v>
      </c>
      <c r="I807" s="2">
        <v>1</v>
      </c>
      <c r="J807" s="2">
        <v>0</v>
      </c>
      <c r="K807" s="2">
        <v>0</v>
      </c>
      <c r="L807" s="2"/>
      <c r="M807" s="2">
        <v>0</v>
      </c>
      <c r="N807" s="14"/>
      <c r="O807" s="14"/>
      <c r="P807" s="2">
        <v>152</v>
      </c>
      <c r="Q807" s="2">
        <v>152</v>
      </c>
      <c r="R807" s="2">
        <v>124.49</v>
      </c>
      <c r="S807">
        <f t="shared" si="59"/>
        <v>124.49</v>
      </c>
      <c r="T807" t="s">
        <v>132</v>
      </c>
      <c r="U807" s="1">
        <f>_xlfn.XLOOKUP(T807,$Y$2:$Y$45,$AA$2:$AA$45)*(Q807-S807)</f>
        <v>2.2008000000000005</v>
      </c>
    </row>
    <row r="808" spans="1:21" x14ac:dyDescent="0.25">
      <c r="A808" s="2">
        <v>39061</v>
      </c>
      <c r="B808" s="13" t="s">
        <v>1383</v>
      </c>
      <c r="C808" s="14" t="s">
        <v>39</v>
      </c>
      <c r="D808" s="15">
        <v>45320</v>
      </c>
      <c r="E808" s="2">
        <v>0</v>
      </c>
      <c r="F808" s="14" t="s">
        <v>455</v>
      </c>
      <c r="G808" t="s">
        <v>598</v>
      </c>
      <c r="H808" s="14" t="s">
        <v>93</v>
      </c>
      <c r="I808" s="2">
        <v>2</v>
      </c>
      <c r="J808" s="2">
        <v>0</v>
      </c>
      <c r="K808" s="2">
        <v>0</v>
      </c>
      <c r="L808" s="2"/>
      <c r="M808" s="2">
        <v>0</v>
      </c>
      <c r="N808" s="14"/>
      <c r="O808" s="14"/>
      <c r="P808" s="2">
        <v>120</v>
      </c>
      <c r="Q808" s="2">
        <v>240</v>
      </c>
      <c r="R808" s="2">
        <v>0</v>
      </c>
      <c r="S808">
        <f t="shared" si="59"/>
        <v>0</v>
      </c>
      <c r="T808" t="s">
        <v>132</v>
      </c>
      <c r="U808">
        <f>_xlfn.XLOOKUP(T808,$Y$2:$Y$45,$AB$2:$AB$45)*(Q808)</f>
        <v>9.6</v>
      </c>
    </row>
    <row r="809" spans="1:21" hidden="1" x14ac:dyDescent="0.25">
      <c r="A809" s="2">
        <v>39063</v>
      </c>
      <c r="B809" s="13" t="s">
        <v>1386</v>
      </c>
      <c r="C809" s="14" t="s">
        <v>39</v>
      </c>
      <c r="D809" s="15">
        <v>45309</v>
      </c>
      <c r="E809" s="2">
        <v>0</v>
      </c>
      <c r="F809" s="14" t="s">
        <v>1387</v>
      </c>
      <c r="G809" t="s">
        <v>1388</v>
      </c>
      <c r="H809" s="14" t="s">
        <v>42</v>
      </c>
      <c r="I809" s="2">
        <v>1</v>
      </c>
      <c r="J809" s="2">
        <v>0</v>
      </c>
      <c r="K809" s="2">
        <v>0</v>
      </c>
      <c r="L809" s="2"/>
      <c r="M809" s="2">
        <v>0</v>
      </c>
      <c r="N809" s="14"/>
      <c r="O809" s="14"/>
      <c r="P809" s="2">
        <v>785</v>
      </c>
      <c r="Q809" s="2">
        <v>785</v>
      </c>
      <c r="R809" s="2">
        <v>644.14</v>
      </c>
      <c r="S809">
        <f t="shared" si="59"/>
        <v>644.14</v>
      </c>
      <c r="T809" t="s">
        <v>43</v>
      </c>
      <c r="U809" s="1">
        <f>_xlfn.XLOOKUP(T809,$Y$2:$Y$45,$AA$2:$AA$45)*(Q809-S809)</f>
        <v>11.973100000000002</v>
      </c>
    </row>
    <row r="810" spans="1:21" hidden="1" x14ac:dyDescent="0.25">
      <c r="A810" s="2">
        <v>39063</v>
      </c>
      <c r="B810" s="13" t="s">
        <v>1386</v>
      </c>
      <c r="C810" s="14" t="s">
        <v>39</v>
      </c>
      <c r="D810" s="15">
        <v>45309</v>
      </c>
      <c r="E810" s="2">
        <v>0</v>
      </c>
      <c r="F810" s="14" t="s">
        <v>1389</v>
      </c>
      <c r="G810" t="s">
        <v>1390</v>
      </c>
      <c r="H810" s="14" t="s">
        <v>42</v>
      </c>
      <c r="I810" s="2">
        <v>1</v>
      </c>
      <c r="J810" s="2">
        <v>0</v>
      </c>
      <c r="K810" s="2">
        <v>0</v>
      </c>
      <c r="L810" s="2"/>
      <c r="M810" s="2">
        <v>0</v>
      </c>
      <c r="N810" s="14"/>
      <c r="O810" s="14"/>
      <c r="P810" s="2">
        <v>1393</v>
      </c>
      <c r="Q810" s="2">
        <v>1393</v>
      </c>
      <c r="R810" s="2">
        <v>1142.94</v>
      </c>
      <c r="S810">
        <f t="shared" si="59"/>
        <v>1142.94</v>
      </c>
      <c r="T810" t="s">
        <v>43</v>
      </c>
      <c r="U810" s="1">
        <f>_xlfn.XLOOKUP(T810,$Y$2:$Y$45,$AA$2:$AA$45)*(Q810-S810)</f>
        <v>21.255099999999995</v>
      </c>
    </row>
    <row r="811" spans="1:21" hidden="1" x14ac:dyDescent="0.25">
      <c r="A811" s="2">
        <v>39063</v>
      </c>
      <c r="B811" s="13" t="s">
        <v>1386</v>
      </c>
      <c r="C811" s="14" t="s">
        <v>39</v>
      </c>
      <c r="D811" s="15">
        <v>45309</v>
      </c>
      <c r="E811" s="2">
        <v>0</v>
      </c>
      <c r="F811" s="14" t="s">
        <v>1391</v>
      </c>
      <c r="G811" t="s">
        <v>1392</v>
      </c>
      <c r="H811" s="14" t="s">
        <v>42</v>
      </c>
      <c r="I811" s="2">
        <v>1</v>
      </c>
      <c r="J811" s="2">
        <v>0</v>
      </c>
      <c r="K811" s="2">
        <v>0</v>
      </c>
      <c r="L811" s="2"/>
      <c r="M811" s="2">
        <v>0</v>
      </c>
      <c r="N811" s="14"/>
      <c r="O811" s="14"/>
      <c r="P811" s="2">
        <v>2443</v>
      </c>
      <c r="Q811" s="2">
        <v>2443</v>
      </c>
      <c r="R811" s="2">
        <v>2003.59</v>
      </c>
      <c r="S811">
        <f t="shared" si="59"/>
        <v>2003.59</v>
      </c>
      <c r="T811" t="s">
        <v>43</v>
      </c>
      <c r="U811" s="1">
        <f>_xlfn.XLOOKUP(T811,$Y$2:$Y$45,$AA$2:$AA$45)*(Q811-S811)</f>
        <v>37.349850000000011</v>
      </c>
    </row>
    <row r="812" spans="1:21" hidden="1" x14ac:dyDescent="0.25">
      <c r="A812" s="2">
        <v>39063</v>
      </c>
      <c r="B812" s="13" t="s">
        <v>1386</v>
      </c>
      <c r="C812" s="14" t="s">
        <v>39</v>
      </c>
      <c r="D812" s="15">
        <v>45309</v>
      </c>
      <c r="E812" s="2">
        <v>0</v>
      </c>
      <c r="F812" s="14" t="s">
        <v>1393</v>
      </c>
      <c r="G812" t="s">
        <v>1394</v>
      </c>
      <c r="H812" s="14" t="s">
        <v>42</v>
      </c>
      <c r="I812" s="2">
        <v>1</v>
      </c>
      <c r="J812" s="2">
        <v>0</v>
      </c>
      <c r="K812" s="2">
        <v>0</v>
      </c>
      <c r="L812" s="2"/>
      <c r="M812" s="2">
        <v>0</v>
      </c>
      <c r="N812" s="14"/>
      <c r="O812" s="14"/>
      <c r="P812" s="2">
        <v>3345</v>
      </c>
      <c r="Q812" s="2">
        <v>3345</v>
      </c>
      <c r="R812" s="2">
        <v>2743.59</v>
      </c>
      <c r="S812">
        <f t="shared" si="59"/>
        <v>2743.59</v>
      </c>
      <c r="T812" t="s">
        <v>43</v>
      </c>
      <c r="U812" s="1">
        <f>_xlfn.XLOOKUP(T812,$Y$2:$Y$45,$AA$2:$AA$45)*(Q812-S812)</f>
        <v>51.119849999999992</v>
      </c>
    </row>
    <row r="813" spans="1:21" hidden="1" x14ac:dyDescent="0.25">
      <c r="A813" s="2">
        <v>39063</v>
      </c>
      <c r="B813" s="13" t="s">
        <v>1386</v>
      </c>
      <c r="C813" s="14" t="s">
        <v>39</v>
      </c>
      <c r="D813" s="15">
        <v>45309</v>
      </c>
      <c r="E813" s="2">
        <v>0</v>
      </c>
      <c r="F813" s="14" t="s">
        <v>1395</v>
      </c>
      <c r="G813" t="s">
        <v>1396</v>
      </c>
      <c r="H813" s="14" t="s">
        <v>42</v>
      </c>
      <c r="I813" s="2">
        <v>1</v>
      </c>
      <c r="J813" s="2">
        <v>0</v>
      </c>
      <c r="K813" s="2">
        <v>0</v>
      </c>
      <c r="L813" s="2"/>
      <c r="M813" s="2">
        <v>0</v>
      </c>
      <c r="N813" s="14"/>
      <c r="O813" s="14"/>
      <c r="P813" s="2">
        <v>2100</v>
      </c>
      <c r="Q813" s="2">
        <v>2100</v>
      </c>
      <c r="R813" s="2">
        <v>1722.7</v>
      </c>
      <c r="S813">
        <f t="shared" si="59"/>
        <v>1722.7</v>
      </c>
      <c r="T813" t="s">
        <v>43</v>
      </c>
      <c r="U813" s="1">
        <f>_xlfn.XLOOKUP(T813,$Y$2:$Y$45,$AA$2:$AA$45)*(Q813-S813)</f>
        <v>32.070499999999996</v>
      </c>
    </row>
    <row r="814" spans="1:21" x14ac:dyDescent="0.25">
      <c r="A814" s="2">
        <v>39063</v>
      </c>
      <c r="B814" s="13" t="s">
        <v>1386</v>
      </c>
      <c r="C814" s="14" t="s">
        <v>39</v>
      </c>
      <c r="D814" s="15">
        <v>45309</v>
      </c>
      <c r="E814" s="2">
        <v>0</v>
      </c>
      <c r="F814" s="14" t="s">
        <v>152</v>
      </c>
      <c r="G814" t="s">
        <v>153</v>
      </c>
      <c r="H814" s="14" t="s">
        <v>93</v>
      </c>
      <c r="I814" s="2">
        <v>34</v>
      </c>
      <c r="J814" s="2">
        <v>0</v>
      </c>
      <c r="K814" s="2">
        <v>0</v>
      </c>
      <c r="L814" s="2"/>
      <c r="M814" s="2">
        <v>0</v>
      </c>
      <c r="N814" s="14"/>
      <c r="O814" s="14"/>
      <c r="P814" s="2">
        <v>225</v>
      </c>
      <c r="Q814" s="2">
        <v>7650</v>
      </c>
      <c r="R814" s="2">
        <v>34</v>
      </c>
      <c r="S814">
        <f t="shared" si="59"/>
        <v>1156</v>
      </c>
      <c r="T814" t="s">
        <v>43</v>
      </c>
      <c r="U814">
        <f>_xlfn.XLOOKUP(T814,$Y$2:$Y$45,$AB$2:$AB$45)*(Q814)</f>
        <v>306</v>
      </c>
    </row>
    <row r="815" spans="1:21" x14ac:dyDescent="0.25">
      <c r="A815" s="2">
        <v>39063</v>
      </c>
      <c r="B815" s="13" t="s">
        <v>1386</v>
      </c>
      <c r="C815" s="14" t="s">
        <v>39</v>
      </c>
      <c r="D815" s="15">
        <v>45309</v>
      </c>
      <c r="E815" s="2">
        <v>0</v>
      </c>
      <c r="F815" s="14" t="s">
        <v>297</v>
      </c>
      <c r="G815" t="s">
        <v>298</v>
      </c>
      <c r="H815" s="14" t="s">
        <v>93</v>
      </c>
      <c r="I815" s="2">
        <v>2</v>
      </c>
      <c r="J815" s="2">
        <v>0</v>
      </c>
      <c r="K815" s="2">
        <v>0</v>
      </c>
      <c r="L815" s="2"/>
      <c r="M815" s="2">
        <v>0</v>
      </c>
      <c r="N815" s="14"/>
      <c r="O815" s="14"/>
      <c r="P815" s="2">
        <v>155</v>
      </c>
      <c r="Q815" s="2">
        <v>310</v>
      </c>
      <c r="R815" s="2">
        <v>0</v>
      </c>
      <c r="S815">
        <f t="shared" si="59"/>
        <v>0</v>
      </c>
      <c r="T815" t="s">
        <v>43</v>
      </c>
      <c r="U815">
        <f>_xlfn.XLOOKUP(T815,$Y$2:$Y$45,$AB$2:$AB$45)*(Q815)</f>
        <v>12.4</v>
      </c>
    </row>
    <row r="816" spans="1:21" hidden="1" x14ac:dyDescent="0.25">
      <c r="A816" s="2">
        <v>39064</v>
      </c>
      <c r="B816" s="13" t="s">
        <v>1397</v>
      </c>
      <c r="C816" s="14" t="s">
        <v>39</v>
      </c>
      <c r="D816" s="15">
        <v>45308</v>
      </c>
      <c r="E816" s="2">
        <v>0</v>
      </c>
      <c r="F816" s="14" t="s">
        <v>1079</v>
      </c>
      <c r="G816" t="s">
        <v>1080</v>
      </c>
      <c r="H816" s="14" t="s">
        <v>42</v>
      </c>
      <c r="I816" s="2">
        <v>10</v>
      </c>
      <c r="J816" s="2">
        <v>0</v>
      </c>
      <c r="K816" s="2">
        <v>0</v>
      </c>
      <c r="L816" s="2"/>
      <c r="M816" s="2">
        <v>0</v>
      </c>
      <c r="N816" s="14"/>
      <c r="O816" s="14"/>
      <c r="P816" s="2">
        <v>309</v>
      </c>
      <c r="Q816" s="2">
        <v>3090</v>
      </c>
      <c r="R816" s="2">
        <v>129.94999999999999</v>
      </c>
      <c r="S816">
        <f t="shared" si="59"/>
        <v>1299.5</v>
      </c>
      <c r="T816" t="s">
        <v>61</v>
      </c>
      <c r="U816" s="1">
        <f t="shared" ref="U816:U823" si="62">_xlfn.XLOOKUP(T816,$Y$2:$Y$45,$AA$2:$AA$45)*(Q816-S816)</f>
        <v>0</v>
      </c>
    </row>
    <row r="817" spans="1:21" hidden="1" x14ac:dyDescent="0.25">
      <c r="A817" s="2">
        <v>39066</v>
      </c>
      <c r="B817" s="13" t="s">
        <v>1398</v>
      </c>
      <c r="C817" s="14" t="s">
        <v>39</v>
      </c>
      <c r="D817" s="15">
        <v>45308</v>
      </c>
      <c r="E817" s="2">
        <v>0</v>
      </c>
      <c r="F817" s="14" t="s">
        <v>1399</v>
      </c>
      <c r="G817" t="s">
        <v>1400</v>
      </c>
      <c r="H817" s="14" t="s">
        <v>173</v>
      </c>
      <c r="I817" s="2">
        <v>1</v>
      </c>
      <c r="J817" s="2">
        <v>0</v>
      </c>
      <c r="K817" s="2">
        <v>0</v>
      </c>
      <c r="L817" s="2"/>
      <c r="M817" s="2">
        <v>0</v>
      </c>
      <c r="N817" s="14"/>
      <c r="O817" s="14"/>
      <c r="P817" s="2">
        <v>359</v>
      </c>
      <c r="Q817" s="2">
        <v>359</v>
      </c>
      <c r="R817" s="2">
        <v>354.58</v>
      </c>
      <c r="S817">
        <f t="shared" si="59"/>
        <v>354.58</v>
      </c>
      <c r="T817" t="s">
        <v>61</v>
      </c>
      <c r="U817" s="1">
        <f t="shared" si="62"/>
        <v>0</v>
      </c>
    </row>
    <row r="818" spans="1:21" hidden="1" x14ac:dyDescent="0.25">
      <c r="A818" s="2">
        <v>39069</v>
      </c>
      <c r="B818" s="13" t="s">
        <v>1401</v>
      </c>
      <c r="C818" s="14" t="s">
        <v>39</v>
      </c>
      <c r="D818" s="15">
        <v>45308</v>
      </c>
      <c r="E818" s="2">
        <v>0</v>
      </c>
      <c r="F818" s="14" t="s">
        <v>1177</v>
      </c>
      <c r="G818" t="s">
        <v>1178</v>
      </c>
      <c r="H818" s="14" t="s">
        <v>42</v>
      </c>
      <c r="I818" s="2">
        <v>2</v>
      </c>
      <c r="J818" s="2">
        <v>0</v>
      </c>
      <c r="K818" s="2">
        <v>0</v>
      </c>
      <c r="L818" s="2"/>
      <c r="M818" s="2">
        <v>0</v>
      </c>
      <c r="N818" s="14"/>
      <c r="O818" s="14"/>
      <c r="P818" s="2">
        <v>189</v>
      </c>
      <c r="Q818" s="2">
        <v>378</v>
      </c>
      <c r="R818" s="2">
        <v>107.74</v>
      </c>
      <c r="S818">
        <f t="shared" si="59"/>
        <v>215.48</v>
      </c>
      <c r="T818" t="s">
        <v>61</v>
      </c>
      <c r="U818" s="1">
        <f t="shared" si="62"/>
        <v>0</v>
      </c>
    </row>
    <row r="819" spans="1:21" hidden="1" x14ac:dyDescent="0.25">
      <c r="A819" s="2">
        <v>39069</v>
      </c>
      <c r="B819" s="13" t="s">
        <v>1401</v>
      </c>
      <c r="C819" s="14" t="s">
        <v>39</v>
      </c>
      <c r="D819" s="15">
        <v>45308</v>
      </c>
      <c r="E819" s="2">
        <v>0</v>
      </c>
      <c r="F819" s="14" t="s">
        <v>1175</v>
      </c>
      <c r="G819" t="s">
        <v>1176</v>
      </c>
      <c r="H819" s="14" t="s">
        <v>42</v>
      </c>
      <c r="I819" s="2">
        <v>1</v>
      </c>
      <c r="J819" s="2">
        <v>0</v>
      </c>
      <c r="K819" s="2">
        <v>0</v>
      </c>
      <c r="L819" s="2"/>
      <c r="M819" s="2">
        <v>0</v>
      </c>
      <c r="N819" s="14"/>
      <c r="O819" s="14"/>
      <c r="P819" s="2">
        <v>49</v>
      </c>
      <c r="Q819" s="2">
        <v>49</v>
      </c>
      <c r="R819" s="2">
        <v>33.770000000000003</v>
      </c>
      <c r="S819">
        <f t="shared" si="59"/>
        <v>33.770000000000003</v>
      </c>
      <c r="T819" t="s">
        <v>61</v>
      </c>
      <c r="U819" s="1">
        <f t="shared" si="62"/>
        <v>0</v>
      </c>
    </row>
    <row r="820" spans="1:21" hidden="1" x14ac:dyDescent="0.25">
      <c r="A820" s="2">
        <v>39069</v>
      </c>
      <c r="B820" s="13" t="s">
        <v>1401</v>
      </c>
      <c r="C820" s="14" t="s">
        <v>39</v>
      </c>
      <c r="D820" s="15">
        <v>45308</v>
      </c>
      <c r="E820" s="2">
        <v>0</v>
      </c>
      <c r="F820" s="14" t="s">
        <v>1075</v>
      </c>
      <c r="G820" t="s">
        <v>1076</v>
      </c>
      <c r="H820" s="14" t="s">
        <v>42</v>
      </c>
      <c r="I820" s="2">
        <v>1</v>
      </c>
      <c r="J820" s="2">
        <v>0</v>
      </c>
      <c r="K820" s="2">
        <v>0</v>
      </c>
      <c r="L820" s="2"/>
      <c r="M820" s="2">
        <v>0</v>
      </c>
      <c r="N820" s="14"/>
      <c r="O820" s="14"/>
      <c r="P820" s="2">
        <v>17</v>
      </c>
      <c r="Q820" s="2">
        <v>17</v>
      </c>
      <c r="R820" s="2">
        <v>10.24</v>
      </c>
      <c r="S820">
        <f t="shared" si="59"/>
        <v>10.24</v>
      </c>
      <c r="T820" t="s">
        <v>61</v>
      </c>
      <c r="U820" s="1">
        <f t="shared" si="62"/>
        <v>0</v>
      </c>
    </row>
    <row r="821" spans="1:21" hidden="1" x14ac:dyDescent="0.25">
      <c r="A821" s="2">
        <v>39069</v>
      </c>
      <c r="B821" s="13" t="s">
        <v>1401</v>
      </c>
      <c r="C821" s="14" t="s">
        <v>39</v>
      </c>
      <c r="D821" s="15">
        <v>45308</v>
      </c>
      <c r="E821" s="2">
        <v>0</v>
      </c>
      <c r="F821" s="14" t="s">
        <v>1170</v>
      </c>
      <c r="G821" t="s">
        <v>1171</v>
      </c>
      <c r="H821" s="14" t="s">
        <v>42</v>
      </c>
      <c r="I821" s="2">
        <v>1</v>
      </c>
      <c r="J821" s="2">
        <v>0</v>
      </c>
      <c r="K821" s="2">
        <v>0</v>
      </c>
      <c r="L821" s="2"/>
      <c r="M821" s="2">
        <v>0</v>
      </c>
      <c r="N821" s="14"/>
      <c r="O821" s="14"/>
      <c r="P821" s="2">
        <v>1779</v>
      </c>
      <c r="Q821" s="2">
        <v>1779</v>
      </c>
      <c r="R821" s="2">
        <v>1390.86</v>
      </c>
      <c r="S821">
        <f t="shared" si="59"/>
        <v>1390.86</v>
      </c>
      <c r="T821" t="s">
        <v>61</v>
      </c>
      <c r="U821" s="1">
        <f t="shared" si="62"/>
        <v>0</v>
      </c>
    </row>
    <row r="822" spans="1:21" hidden="1" x14ac:dyDescent="0.25">
      <c r="A822" s="2">
        <v>39069</v>
      </c>
      <c r="B822" s="13" t="s">
        <v>1401</v>
      </c>
      <c r="C822" s="14" t="s">
        <v>39</v>
      </c>
      <c r="D822" s="15">
        <v>45308</v>
      </c>
      <c r="E822" s="2">
        <v>0</v>
      </c>
      <c r="F822" s="14" t="s">
        <v>1172</v>
      </c>
      <c r="G822" t="s">
        <v>1173</v>
      </c>
      <c r="H822" s="14" t="s">
        <v>42</v>
      </c>
      <c r="I822" s="2">
        <v>1</v>
      </c>
      <c r="J822" s="2">
        <v>0</v>
      </c>
      <c r="K822" s="2">
        <v>0</v>
      </c>
      <c r="L822" s="2"/>
      <c r="M822" s="2">
        <v>0</v>
      </c>
      <c r="N822" s="14"/>
      <c r="O822" s="14"/>
      <c r="P822" s="2">
        <v>239</v>
      </c>
      <c r="Q822" s="2">
        <v>239</v>
      </c>
      <c r="R822" s="2">
        <v>203.99</v>
      </c>
      <c r="S822">
        <f t="shared" si="59"/>
        <v>203.99</v>
      </c>
      <c r="T822" t="s">
        <v>61</v>
      </c>
      <c r="U822" s="1">
        <f t="shared" si="62"/>
        <v>0</v>
      </c>
    </row>
    <row r="823" spans="1:21" hidden="1" x14ac:dyDescent="0.25">
      <c r="A823" s="2">
        <v>39069</v>
      </c>
      <c r="B823" s="13" t="s">
        <v>1401</v>
      </c>
      <c r="C823" s="14" t="s">
        <v>39</v>
      </c>
      <c r="D823" s="15">
        <v>45308</v>
      </c>
      <c r="E823" s="2">
        <v>0</v>
      </c>
      <c r="F823" s="14" t="s">
        <v>1071</v>
      </c>
      <c r="G823" t="s">
        <v>1072</v>
      </c>
      <c r="H823" s="14" t="s">
        <v>42</v>
      </c>
      <c r="I823" s="2">
        <v>1</v>
      </c>
      <c r="J823" s="2">
        <v>0</v>
      </c>
      <c r="K823" s="2">
        <v>0</v>
      </c>
      <c r="L823" s="2"/>
      <c r="M823" s="2">
        <v>0</v>
      </c>
      <c r="N823" s="14"/>
      <c r="O823" s="14"/>
      <c r="P823" s="2">
        <v>40</v>
      </c>
      <c r="Q823" s="2">
        <v>40</v>
      </c>
      <c r="R823" s="2">
        <v>31.89</v>
      </c>
      <c r="S823">
        <f t="shared" si="59"/>
        <v>31.89</v>
      </c>
      <c r="T823" t="s">
        <v>61</v>
      </c>
      <c r="U823" s="1">
        <f t="shared" si="62"/>
        <v>0</v>
      </c>
    </row>
    <row r="824" spans="1:21" x14ac:dyDescent="0.25">
      <c r="A824" s="2">
        <v>39072</v>
      </c>
      <c r="B824" s="13" t="s">
        <v>905</v>
      </c>
      <c r="C824" s="14" t="s">
        <v>39</v>
      </c>
      <c r="D824" s="15">
        <v>45309</v>
      </c>
      <c r="E824" s="2">
        <v>0</v>
      </c>
      <c r="F824" s="14" t="s">
        <v>793</v>
      </c>
      <c r="G824" t="s">
        <v>794</v>
      </c>
      <c r="H824" s="14" t="s">
        <v>93</v>
      </c>
      <c r="I824" s="2">
        <v>10</v>
      </c>
      <c r="J824" s="2">
        <v>0</v>
      </c>
      <c r="K824" s="2">
        <v>0</v>
      </c>
      <c r="L824" s="2"/>
      <c r="M824" s="2">
        <v>0</v>
      </c>
      <c r="N824" s="14"/>
      <c r="O824" s="14"/>
      <c r="P824" s="2">
        <v>220</v>
      </c>
      <c r="Q824" s="2">
        <v>2200</v>
      </c>
      <c r="R824" s="2">
        <v>0</v>
      </c>
      <c r="S824">
        <f t="shared" si="59"/>
        <v>0</v>
      </c>
      <c r="T824" t="s">
        <v>1874</v>
      </c>
      <c r="U824">
        <f>_xlfn.XLOOKUP(T824,$Y$2:$Y$45,$AB$2:$AB$45)*(Q824)</f>
        <v>88</v>
      </c>
    </row>
    <row r="825" spans="1:21" hidden="1" x14ac:dyDescent="0.25">
      <c r="A825" s="2">
        <v>39083</v>
      </c>
      <c r="B825" s="13" t="s">
        <v>1402</v>
      </c>
      <c r="C825" s="14" t="s">
        <v>39</v>
      </c>
      <c r="D825" s="15">
        <v>45317</v>
      </c>
      <c r="E825" s="2">
        <v>0</v>
      </c>
      <c r="F825" s="14" t="s">
        <v>1403</v>
      </c>
      <c r="G825" t="s">
        <v>1404</v>
      </c>
      <c r="H825" s="14" t="s">
        <v>42</v>
      </c>
      <c r="I825" s="2">
        <v>1</v>
      </c>
      <c r="J825" s="2">
        <v>0</v>
      </c>
      <c r="K825" s="2">
        <v>0</v>
      </c>
      <c r="L825" s="2"/>
      <c r="M825" s="2">
        <v>0</v>
      </c>
      <c r="N825" s="14"/>
      <c r="O825" s="14"/>
      <c r="P825" s="2">
        <v>344.38</v>
      </c>
      <c r="Q825" s="2">
        <v>344.38</v>
      </c>
      <c r="R825" s="2">
        <v>287.10000000000002</v>
      </c>
      <c r="S825">
        <f t="shared" si="59"/>
        <v>287.10000000000002</v>
      </c>
      <c r="T825" t="s">
        <v>56</v>
      </c>
      <c r="U825" s="1">
        <f t="shared" ref="U825:U835" si="63">_xlfn.XLOOKUP(T825,$Y$2:$Y$45,$AA$2:$AA$45)*(Q825-S825)</f>
        <v>4.8687999999999985</v>
      </c>
    </row>
    <row r="826" spans="1:21" hidden="1" x14ac:dyDescent="0.25">
      <c r="A826" s="2">
        <v>39083</v>
      </c>
      <c r="B826" s="13" t="s">
        <v>1402</v>
      </c>
      <c r="C826" s="14" t="s">
        <v>39</v>
      </c>
      <c r="D826" s="15">
        <v>45317</v>
      </c>
      <c r="E826" s="2">
        <v>0</v>
      </c>
      <c r="F826" s="14" t="s">
        <v>429</v>
      </c>
      <c r="G826" t="s">
        <v>665</v>
      </c>
      <c r="H826" s="14" t="s">
        <v>42</v>
      </c>
      <c r="I826" s="2">
        <v>1</v>
      </c>
      <c r="J826" s="2">
        <v>0</v>
      </c>
      <c r="K826" s="2">
        <v>0</v>
      </c>
      <c r="L826" s="2"/>
      <c r="M826" s="2">
        <v>0</v>
      </c>
      <c r="N826" s="14"/>
      <c r="O826" s="14"/>
      <c r="P826" s="2">
        <v>18</v>
      </c>
      <c r="Q826" s="2">
        <v>18</v>
      </c>
      <c r="R826" s="2">
        <v>0</v>
      </c>
      <c r="S826">
        <f t="shared" si="59"/>
        <v>0</v>
      </c>
      <c r="T826" t="s">
        <v>56</v>
      </c>
      <c r="U826" s="1">
        <f t="shared" si="63"/>
        <v>1.53</v>
      </c>
    </row>
    <row r="827" spans="1:21" hidden="1" x14ac:dyDescent="0.25">
      <c r="A827" s="2">
        <v>39084</v>
      </c>
      <c r="B827" s="13" t="s">
        <v>1405</v>
      </c>
      <c r="C827" s="14" t="s">
        <v>39</v>
      </c>
      <c r="D827" s="15">
        <v>45314</v>
      </c>
      <c r="E827" s="2">
        <v>0</v>
      </c>
      <c r="F827" s="14" t="s">
        <v>1406</v>
      </c>
      <c r="G827" t="s">
        <v>1407</v>
      </c>
      <c r="H827" s="14" t="s">
        <v>42</v>
      </c>
      <c r="I827" s="2">
        <v>1</v>
      </c>
      <c r="J827" s="2">
        <v>0</v>
      </c>
      <c r="K827" s="2">
        <v>0</v>
      </c>
      <c r="L827" s="2"/>
      <c r="M827" s="2">
        <v>0</v>
      </c>
      <c r="N827" s="14"/>
      <c r="O827" s="14"/>
      <c r="P827" s="2">
        <v>248</v>
      </c>
      <c r="Q827" s="2">
        <v>248</v>
      </c>
      <c r="R827" s="2">
        <v>202.96</v>
      </c>
      <c r="S827">
        <f t="shared" si="59"/>
        <v>202.96</v>
      </c>
      <c r="T827" t="s">
        <v>1874</v>
      </c>
      <c r="U827" s="1">
        <f t="shared" si="63"/>
        <v>3.6031999999999993</v>
      </c>
    </row>
    <row r="828" spans="1:21" hidden="1" x14ac:dyDescent="0.25">
      <c r="A828" s="2">
        <v>39084</v>
      </c>
      <c r="B828" s="13" t="s">
        <v>1405</v>
      </c>
      <c r="C828" s="14" t="s">
        <v>39</v>
      </c>
      <c r="D828" s="15">
        <v>45314</v>
      </c>
      <c r="E828" s="2">
        <v>0</v>
      </c>
      <c r="F828" s="14" t="s">
        <v>1406</v>
      </c>
      <c r="G828" t="s">
        <v>1408</v>
      </c>
      <c r="H828" s="14" t="s">
        <v>42</v>
      </c>
      <c r="I828" s="2">
        <v>1</v>
      </c>
      <c r="J828" s="2">
        <v>0</v>
      </c>
      <c r="K828" s="2">
        <v>0</v>
      </c>
      <c r="L828" s="2"/>
      <c r="M828" s="2">
        <v>0</v>
      </c>
      <c r="N828" s="14"/>
      <c r="O828" s="14"/>
      <c r="P828" s="2">
        <v>1</v>
      </c>
      <c r="Q828" s="2">
        <v>1</v>
      </c>
      <c r="R828" s="2">
        <v>0.01</v>
      </c>
      <c r="S828">
        <f t="shared" si="59"/>
        <v>0.01</v>
      </c>
      <c r="T828" t="s">
        <v>1874</v>
      </c>
      <c r="U828" s="1">
        <f t="shared" si="63"/>
        <v>7.9200000000000007E-2</v>
      </c>
    </row>
    <row r="829" spans="1:21" hidden="1" x14ac:dyDescent="0.25">
      <c r="A829" s="2">
        <v>39084</v>
      </c>
      <c r="B829" s="13" t="s">
        <v>1405</v>
      </c>
      <c r="C829" s="14" t="s">
        <v>39</v>
      </c>
      <c r="D829" s="15">
        <v>45314</v>
      </c>
      <c r="E829" s="2">
        <v>0</v>
      </c>
      <c r="F829" s="14" t="s">
        <v>1406</v>
      </c>
      <c r="G829" t="s">
        <v>1409</v>
      </c>
      <c r="H829" s="14" t="s">
        <v>42</v>
      </c>
      <c r="I829" s="2">
        <v>1</v>
      </c>
      <c r="J829" s="2">
        <v>0</v>
      </c>
      <c r="K829" s="2">
        <v>0</v>
      </c>
      <c r="L829" s="2"/>
      <c r="M829" s="2">
        <v>0</v>
      </c>
      <c r="N829" s="14"/>
      <c r="O829" s="14"/>
      <c r="P829" s="2">
        <v>933</v>
      </c>
      <c r="Q829" s="2">
        <v>933</v>
      </c>
      <c r="R829" s="2">
        <v>764.54</v>
      </c>
      <c r="S829">
        <f t="shared" si="59"/>
        <v>764.54</v>
      </c>
      <c r="T829" t="s">
        <v>1874</v>
      </c>
      <c r="U829" s="1">
        <f t="shared" si="63"/>
        <v>13.476800000000003</v>
      </c>
    </row>
    <row r="830" spans="1:21" hidden="1" x14ac:dyDescent="0.25">
      <c r="A830" s="2">
        <v>39088</v>
      </c>
      <c r="B830" s="13" t="s">
        <v>1410</v>
      </c>
      <c r="C830" s="14" t="s">
        <v>39</v>
      </c>
      <c r="D830" s="15">
        <v>45310</v>
      </c>
      <c r="E830" s="2">
        <v>0</v>
      </c>
      <c r="F830" s="14" t="s">
        <v>429</v>
      </c>
      <c r="G830" t="s">
        <v>665</v>
      </c>
      <c r="H830" s="14" t="s">
        <v>42</v>
      </c>
      <c r="I830" s="2">
        <v>1</v>
      </c>
      <c r="J830" s="2">
        <v>0</v>
      </c>
      <c r="K830" s="2">
        <v>0</v>
      </c>
      <c r="L830" s="2"/>
      <c r="M830" s="2">
        <v>0</v>
      </c>
      <c r="N830" s="14"/>
      <c r="O830" s="14"/>
      <c r="P830" s="2">
        <v>32</v>
      </c>
      <c r="Q830" s="2">
        <v>32</v>
      </c>
      <c r="R830" s="2">
        <v>0</v>
      </c>
      <c r="S830">
        <f t="shared" si="59"/>
        <v>0</v>
      </c>
      <c r="T830" t="s">
        <v>140</v>
      </c>
      <c r="U830" s="1">
        <f t="shared" si="63"/>
        <v>2.56</v>
      </c>
    </row>
    <row r="831" spans="1:21" hidden="1" x14ac:dyDescent="0.25">
      <c r="A831" s="2">
        <v>39088</v>
      </c>
      <c r="B831" s="13" t="s">
        <v>1410</v>
      </c>
      <c r="C831" s="14" t="s">
        <v>39</v>
      </c>
      <c r="D831" s="15">
        <v>45310</v>
      </c>
      <c r="E831" s="2">
        <v>0</v>
      </c>
      <c r="F831" s="14" t="s">
        <v>1411</v>
      </c>
      <c r="G831" t="s">
        <v>1412</v>
      </c>
      <c r="H831" s="14" t="s">
        <v>42</v>
      </c>
      <c r="I831" s="2">
        <v>5</v>
      </c>
      <c r="J831" s="2">
        <v>0</v>
      </c>
      <c r="K831" s="2">
        <v>0</v>
      </c>
      <c r="L831" s="2"/>
      <c r="M831" s="2">
        <v>0</v>
      </c>
      <c r="N831" s="14"/>
      <c r="O831" s="14"/>
      <c r="P831" s="2">
        <v>342</v>
      </c>
      <c r="Q831" s="2">
        <v>1710</v>
      </c>
      <c r="R831" s="2">
        <v>284</v>
      </c>
      <c r="S831">
        <f t="shared" si="59"/>
        <v>1420</v>
      </c>
      <c r="T831" t="s">
        <v>140</v>
      </c>
      <c r="U831" s="1">
        <f t="shared" si="63"/>
        <v>23.2</v>
      </c>
    </row>
    <row r="832" spans="1:21" hidden="1" x14ac:dyDescent="0.25">
      <c r="A832" s="2">
        <v>39089</v>
      </c>
      <c r="B832" s="13" t="s">
        <v>1413</v>
      </c>
      <c r="C832" s="14" t="s">
        <v>39</v>
      </c>
      <c r="D832" s="15">
        <v>45314</v>
      </c>
      <c r="E832" s="2">
        <v>0</v>
      </c>
      <c r="F832" s="14" t="s">
        <v>1414</v>
      </c>
      <c r="G832" t="s">
        <v>1415</v>
      </c>
      <c r="H832" s="14" t="s">
        <v>42</v>
      </c>
      <c r="I832" s="2">
        <v>5</v>
      </c>
      <c r="J832" s="2">
        <v>0</v>
      </c>
      <c r="K832" s="2">
        <v>0</v>
      </c>
      <c r="L832" s="2"/>
      <c r="M832" s="2">
        <v>0</v>
      </c>
      <c r="N832" s="14"/>
      <c r="O832" s="14"/>
      <c r="P832" s="2">
        <v>1271.8</v>
      </c>
      <c r="Q832" s="2">
        <v>6359</v>
      </c>
      <c r="R832" s="2">
        <v>1105.9100000000001</v>
      </c>
      <c r="S832">
        <f t="shared" si="59"/>
        <v>5529.55</v>
      </c>
      <c r="T832" t="s">
        <v>1874</v>
      </c>
      <c r="U832" s="1">
        <f t="shared" si="63"/>
        <v>66.35599999999998</v>
      </c>
    </row>
    <row r="833" spans="1:21" hidden="1" x14ac:dyDescent="0.25">
      <c r="A833" s="2">
        <v>39089</v>
      </c>
      <c r="B833" s="13" t="s">
        <v>1413</v>
      </c>
      <c r="C833" s="14" t="s">
        <v>39</v>
      </c>
      <c r="D833" s="15">
        <v>45314</v>
      </c>
      <c r="E833" s="2">
        <v>0</v>
      </c>
      <c r="F833" s="14" t="s">
        <v>725</v>
      </c>
      <c r="G833" t="s">
        <v>726</v>
      </c>
      <c r="H833" s="14" t="s">
        <v>42</v>
      </c>
      <c r="I833" s="2">
        <v>5</v>
      </c>
      <c r="J833" s="2">
        <v>0</v>
      </c>
      <c r="K833" s="2">
        <v>0</v>
      </c>
      <c r="L833" s="2"/>
      <c r="M833" s="2">
        <v>0</v>
      </c>
      <c r="N833" s="14"/>
      <c r="O833" s="14"/>
      <c r="P833" s="2">
        <v>136.26</v>
      </c>
      <c r="Q833" s="2">
        <v>681.3</v>
      </c>
      <c r="R833" s="2">
        <v>118.49</v>
      </c>
      <c r="S833">
        <f t="shared" si="59"/>
        <v>592.44999999999993</v>
      </c>
      <c r="T833" t="s">
        <v>1874</v>
      </c>
      <c r="U833" s="1">
        <f t="shared" si="63"/>
        <v>7.1080000000000023</v>
      </c>
    </row>
    <row r="834" spans="1:21" hidden="1" x14ac:dyDescent="0.25">
      <c r="A834" s="2">
        <v>39089</v>
      </c>
      <c r="B834" s="13" t="s">
        <v>1413</v>
      </c>
      <c r="C834" s="14" t="s">
        <v>39</v>
      </c>
      <c r="D834" s="15">
        <v>45314</v>
      </c>
      <c r="E834" s="2">
        <v>0</v>
      </c>
      <c r="F834" s="14" t="s">
        <v>1416</v>
      </c>
      <c r="G834" t="s">
        <v>1417</v>
      </c>
      <c r="H834" s="14" t="s">
        <v>42</v>
      </c>
      <c r="I834" s="2">
        <v>5</v>
      </c>
      <c r="J834" s="2">
        <v>0</v>
      </c>
      <c r="K834" s="2">
        <v>0</v>
      </c>
      <c r="L834" s="2"/>
      <c r="M834" s="2">
        <v>0</v>
      </c>
      <c r="N834" s="14"/>
      <c r="O834" s="14"/>
      <c r="P834" s="2">
        <v>239.52</v>
      </c>
      <c r="Q834" s="2">
        <v>1197.5999999999999</v>
      </c>
      <c r="R834" s="2">
        <v>208.28</v>
      </c>
      <c r="S834">
        <f t="shared" ref="S834:S897" si="64">R834*I834</f>
        <v>1041.4000000000001</v>
      </c>
      <c r="T834" t="s">
        <v>1874</v>
      </c>
      <c r="U834" s="1">
        <f t="shared" si="63"/>
        <v>12.495999999999986</v>
      </c>
    </row>
    <row r="835" spans="1:21" hidden="1" x14ac:dyDescent="0.25">
      <c r="A835" s="2">
        <v>39092</v>
      </c>
      <c r="B835" s="13" t="s">
        <v>1418</v>
      </c>
      <c r="C835" s="14" t="s">
        <v>39</v>
      </c>
      <c r="D835" s="15">
        <v>45309</v>
      </c>
      <c r="E835" s="2">
        <v>0</v>
      </c>
      <c r="F835" s="14" t="s">
        <v>1419</v>
      </c>
      <c r="G835" t="s">
        <v>1420</v>
      </c>
      <c r="H835" s="14" t="s">
        <v>42</v>
      </c>
      <c r="I835" s="2">
        <v>5</v>
      </c>
      <c r="J835" s="2">
        <v>0</v>
      </c>
      <c r="K835" s="2">
        <v>0</v>
      </c>
      <c r="L835" s="2"/>
      <c r="M835" s="2">
        <v>0</v>
      </c>
      <c r="N835" s="14"/>
      <c r="O835" s="14"/>
      <c r="P835" s="2">
        <v>62</v>
      </c>
      <c r="Q835" s="2">
        <v>310</v>
      </c>
      <c r="R835" s="2">
        <v>51.05</v>
      </c>
      <c r="S835">
        <f t="shared" si="64"/>
        <v>255.25</v>
      </c>
      <c r="T835" t="s">
        <v>43</v>
      </c>
      <c r="U835" s="1">
        <f t="shared" si="63"/>
        <v>4.6537500000000005</v>
      </c>
    </row>
    <row r="836" spans="1:21" x14ac:dyDescent="0.25">
      <c r="A836" s="2">
        <v>39098</v>
      </c>
      <c r="B836" s="13" t="s">
        <v>1421</v>
      </c>
      <c r="C836" s="14" t="s">
        <v>39</v>
      </c>
      <c r="D836" s="15">
        <v>45309</v>
      </c>
      <c r="E836" s="2">
        <v>0</v>
      </c>
      <c r="F836" s="14" t="s">
        <v>260</v>
      </c>
      <c r="G836" t="s">
        <v>313</v>
      </c>
      <c r="H836" s="14" t="s">
        <v>93</v>
      </c>
      <c r="I836" s="2">
        <v>4</v>
      </c>
      <c r="J836" s="2">
        <v>0</v>
      </c>
      <c r="K836" s="2">
        <v>0</v>
      </c>
      <c r="L836" s="2"/>
      <c r="M836" s="2">
        <v>0</v>
      </c>
      <c r="N836" s="14"/>
      <c r="O836" s="14"/>
      <c r="P836" s="2">
        <v>185</v>
      </c>
      <c r="Q836" s="2">
        <v>740</v>
      </c>
      <c r="R836" s="2">
        <v>0</v>
      </c>
      <c r="S836">
        <f t="shared" si="64"/>
        <v>0</v>
      </c>
      <c r="T836" t="s">
        <v>51</v>
      </c>
      <c r="U836">
        <f>_xlfn.XLOOKUP(T836,$Y$2:$Y$45,$AB$2:$AB$45)*(Q836)</f>
        <v>29.6</v>
      </c>
    </row>
    <row r="837" spans="1:21" x14ac:dyDescent="0.25">
      <c r="A837" s="2">
        <v>39098</v>
      </c>
      <c r="B837" s="13" t="s">
        <v>1421</v>
      </c>
      <c r="C837" s="14" t="s">
        <v>39</v>
      </c>
      <c r="D837" s="15">
        <v>45309</v>
      </c>
      <c r="E837" s="2">
        <v>0</v>
      </c>
      <c r="F837" s="14" t="s">
        <v>197</v>
      </c>
      <c r="G837" t="s">
        <v>198</v>
      </c>
      <c r="H837" s="14" t="s">
        <v>93</v>
      </c>
      <c r="I837" s="2">
        <v>1</v>
      </c>
      <c r="J837" s="2">
        <v>0</v>
      </c>
      <c r="K837" s="2">
        <v>0</v>
      </c>
      <c r="L837" s="2"/>
      <c r="M837" s="2">
        <v>0</v>
      </c>
      <c r="N837" s="14"/>
      <c r="O837" s="14"/>
      <c r="P837" s="2">
        <v>115</v>
      </c>
      <c r="Q837" s="2">
        <v>115</v>
      </c>
      <c r="R837" s="2">
        <v>0</v>
      </c>
      <c r="S837">
        <f t="shared" si="64"/>
        <v>0</v>
      </c>
      <c r="T837" t="s">
        <v>51</v>
      </c>
      <c r="U837">
        <f>_xlfn.XLOOKUP(T837,$Y$2:$Y$45,$AB$2:$AB$45)*(Q837)</f>
        <v>4.6000000000000005</v>
      </c>
    </row>
    <row r="838" spans="1:21" hidden="1" x14ac:dyDescent="0.25">
      <c r="A838" s="2">
        <v>39104</v>
      </c>
      <c r="B838" s="13" t="s">
        <v>1422</v>
      </c>
      <c r="C838" s="14" t="s">
        <v>39</v>
      </c>
      <c r="D838" s="15">
        <v>45309</v>
      </c>
      <c r="E838" s="2">
        <v>0</v>
      </c>
      <c r="F838" s="14" t="s">
        <v>1423</v>
      </c>
      <c r="G838" t="s">
        <v>1424</v>
      </c>
      <c r="H838" s="14" t="s">
        <v>42</v>
      </c>
      <c r="I838" s="2">
        <v>2</v>
      </c>
      <c r="J838" s="2">
        <v>0</v>
      </c>
      <c r="K838" s="2">
        <v>0</v>
      </c>
      <c r="L838" s="2"/>
      <c r="M838" s="2">
        <v>0</v>
      </c>
      <c r="N838" s="14"/>
      <c r="O838" s="14"/>
      <c r="P838" s="2">
        <v>34</v>
      </c>
      <c r="Q838" s="2">
        <v>68</v>
      </c>
      <c r="R838" s="2">
        <v>24.53</v>
      </c>
      <c r="S838">
        <f t="shared" si="64"/>
        <v>49.06</v>
      </c>
      <c r="T838" t="s">
        <v>188</v>
      </c>
      <c r="U838" s="1">
        <f t="shared" ref="U838:U869" si="65">_xlfn.XLOOKUP(T838,$Y$2:$Y$45,$AA$2:$AA$45)*(Q838-S838)</f>
        <v>0</v>
      </c>
    </row>
    <row r="839" spans="1:21" hidden="1" x14ac:dyDescent="0.25">
      <c r="A839" s="2">
        <v>39107</v>
      </c>
      <c r="B839" s="13" t="s">
        <v>1425</v>
      </c>
      <c r="C839" s="14" t="s">
        <v>39</v>
      </c>
      <c r="D839" s="15">
        <v>45309</v>
      </c>
      <c r="E839" s="2">
        <v>0</v>
      </c>
      <c r="F839" s="14" t="s">
        <v>1426</v>
      </c>
      <c r="G839" t="s">
        <v>1427</v>
      </c>
      <c r="H839" s="14" t="s">
        <v>42</v>
      </c>
      <c r="I839" s="2">
        <v>1</v>
      </c>
      <c r="J839" s="2">
        <v>0</v>
      </c>
      <c r="K839" s="2">
        <v>0</v>
      </c>
      <c r="L839" s="2"/>
      <c r="M839" s="2">
        <v>0</v>
      </c>
      <c r="N839" s="14"/>
      <c r="O839" s="14"/>
      <c r="P839" s="2">
        <v>636</v>
      </c>
      <c r="Q839" s="2">
        <v>636</v>
      </c>
      <c r="R839" s="2">
        <v>508.25</v>
      </c>
      <c r="S839">
        <f t="shared" si="64"/>
        <v>508.25</v>
      </c>
      <c r="T839" t="s">
        <v>61</v>
      </c>
      <c r="U839" s="1">
        <f t="shared" si="65"/>
        <v>0</v>
      </c>
    </row>
    <row r="840" spans="1:21" hidden="1" x14ac:dyDescent="0.25">
      <c r="A840" s="2">
        <v>39110</v>
      </c>
      <c r="B840" s="13" t="s">
        <v>1428</v>
      </c>
      <c r="C840" s="14" t="s">
        <v>39</v>
      </c>
      <c r="D840" s="15">
        <v>45309</v>
      </c>
      <c r="E840" s="2">
        <v>0</v>
      </c>
      <c r="F840" s="14" t="s">
        <v>1177</v>
      </c>
      <c r="G840" t="s">
        <v>1178</v>
      </c>
      <c r="H840" s="14" t="s">
        <v>42</v>
      </c>
      <c r="I840" s="2">
        <v>2</v>
      </c>
      <c r="J840" s="2">
        <v>0</v>
      </c>
      <c r="K840" s="2">
        <v>0</v>
      </c>
      <c r="L840" s="2"/>
      <c r="M840" s="2">
        <v>0</v>
      </c>
      <c r="N840" s="14"/>
      <c r="O840" s="14"/>
      <c r="P840" s="2">
        <v>189</v>
      </c>
      <c r="Q840" s="2">
        <v>378</v>
      </c>
      <c r="R840" s="2">
        <v>107.74</v>
      </c>
      <c r="S840">
        <f t="shared" si="64"/>
        <v>215.48</v>
      </c>
      <c r="T840" t="s">
        <v>61</v>
      </c>
      <c r="U840" s="1">
        <f t="shared" si="65"/>
        <v>0</v>
      </c>
    </row>
    <row r="841" spans="1:21" hidden="1" x14ac:dyDescent="0.25">
      <c r="A841" s="2">
        <v>39111</v>
      </c>
      <c r="B841" s="13" t="s">
        <v>1429</v>
      </c>
      <c r="C841" s="14" t="s">
        <v>39</v>
      </c>
      <c r="D841" s="15">
        <v>45309</v>
      </c>
      <c r="E841" s="2">
        <v>0</v>
      </c>
      <c r="F841" s="14" t="s">
        <v>1430</v>
      </c>
      <c r="G841" t="s">
        <v>1431</v>
      </c>
      <c r="H841" s="14" t="s">
        <v>42</v>
      </c>
      <c r="I841" s="2">
        <v>1</v>
      </c>
      <c r="J841" s="2">
        <v>0</v>
      </c>
      <c r="K841" s="2">
        <v>0</v>
      </c>
      <c r="L841" s="2"/>
      <c r="M841" s="2">
        <v>0</v>
      </c>
      <c r="N841" s="14"/>
      <c r="O841" s="14"/>
      <c r="P841" s="2">
        <v>245</v>
      </c>
      <c r="Q841" s="2">
        <v>245</v>
      </c>
      <c r="R841" s="2">
        <v>202.79</v>
      </c>
      <c r="S841">
        <f t="shared" si="64"/>
        <v>202.79</v>
      </c>
      <c r="T841" t="s">
        <v>61</v>
      </c>
      <c r="U841" s="1">
        <f t="shared" si="65"/>
        <v>0</v>
      </c>
    </row>
    <row r="842" spans="1:21" hidden="1" x14ac:dyDescent="0.25">
      <c r="A842" s="2">
        <v>39112</v>
      </c>
      <c r="B842" s="13" t="s">
        <v>1432</v>
      </c>
      <c r="C842" s="14" t="s">
        <v>39</v>
      </c>
      <c r="D842" s="15">
        <v>45309</v>
      </c>
      <c r="E842" s="2">
        <v>0</v>
      </c>
      <c r="F842" s="14" t="s">
        <v>1172</v>
      </c>
      <c r="G842" t="s">
        <v>1173</v>
      </c>
      <c r="H842" s="14" t="s">
        <v>42</v>
      </c>
      <c r="I842" s="2">
        <v>1</v>
      </c>
      <c r="J842" s="2">
        <v>0</v>
      </c>
      <c r="K842" s="2">
        <v>0</v>
      </c>
      <c r="L842" s="2"/>
      <c r="M842" s="2">
        <v>0</v>
      </c>
      <c r="N842" s="14"/>
      <c r="O842" s="14"/>
      <c r="P842" s="2">
        <v>239</v>
      </c>
      <c r="Q842" s="2">
        <v>239</v>
      </c>
      <c r="R842" s="2">
        <v>203.99</v>
      </c>
      <c r="S842">
        <f t="shared" si="64"/>
        <v>203.99</v>
      </c>
      <c r="T842" t="s">
        <v>61</v>
      </c>
      <c r="U842" s="1">
        <f t="shared" si="65"/>
        <v>0</v>
      </c>
    </row>
    <row r="843" spans="1:21" hidden="1" x14ac:dyDescent="0.25">
      <c r="A843" s="2">
        <v>39114</v>
      </c>
      <c r="B843" s="13" t="s">
        <v>1433</v>
      </c>
      <c r="C843" s="14" t="s">
        <v>39</v>
      </c>
      <c r="D843" s="15">
        <v>45313</v>
      </c>
      <c r="E843" s="2">
        <v>0</v>
      </c>
      <c r="F843" s="14" t="s">
        <v>1434</v>
      </c>
      <c r="G843" t="s">
        <v>1435</v>
      </c>
      <c r="H843" s="14" t="s">
        <v>42</v>
      </c>
      <c r="I843" s="2">
        <v>2</v>
      </c>
      <c r="J843" s="2">
        <v>0</v>
      </c>
      <c r="K843" s="2">
        <v>0</v>
      </c>
      <c r="L843" s="2"/>
      <c r="M843" s="2">
        <v>0</v>
      </c>
      <c r="N843" s="14"/>
      <c r="O843" s="14"/>
      <c r="P843" s="2">
        <v>290</v>
      </c>
      <c r="Q843" s="2">
        <v>580</v>
      </c>
      <c r="R843" s="2">
        <v>210.24</v>
      </c>
      <c r="S843">
        <f t="shared" si="64"/>
        <v>420.48</v>
      </c>
      <c r="T843" t="s">
        <v>140</v>
      </c>
      <c r="U843" s="1">
        <f t="shared" si="65"/>
        <v>12.7616</v>
      </c>
    </row>
    <row r="844" spans="1:21" hidden="1" x14ac:dyDescent="0.25">
      <c r="A844" s="2">
        <v>39116</v>
      </c>
      <c r="B844" s="13" t="s">
        <v>1436</v>
      </c>
      <c r="C844" s="14" t="s">
        <v>39</v>
      </c>
      <c r="D844" s="15">
        <v>45309</v>
      </c>
      <c r="E844" s="2">
        <v>0</v>
      </c>
      <c r="F844" s="14" t="s">
        <v>1399</v>
      </c>
      <c r="G844" t="s">
        <v>1400</v>
      </c>
      <c r="H844" s="14" t="s">
        <v>173</v>
      </c>
      <c r="I844" s="2">
        <v>1</v>
      </c>
      <c r="J844" s="2">
        <v>0</v>
      </c>
      <c r="K844" s="2">
        <v>0</v>
      </c>
      <c r="L844" s="2"/>
      <c r="M844" s="2">
        <v>0</v>
      </c>
      <c r="N844" s="14"/>
      <c r="O844" s="14"/>
      <c r="P844" s="2">
        <v>359</v>
      </c>
      <c r="Q844" s="2">
        <v>359</v>
      </c>
      <c r="R844" s="2">
        <v>354.03</v>
      </c>
      <c r="S844">
        <f t="shared" si="64"/>
        <v>354.03</v>
      </c>
      <c r="T844" t="s">
        <v>61</v>
      </c>
      <c r="U844" s="1">
        <f t="shared" si="65"/>
        <v>0</v>
      </c>
    </row>
    <row r="845" spans="1:21" hidden="1" x14ac:dyDescent="0.25">
      <c r="A845" s="2">
        <v>39117</v>
      </c>
      <c r="B845" s="13" t="s">
        <v>1437</v>
      </c>
      <c r="C845" s="14" t="s">
        <v>39</v>
      </c>
      <c r="D845" s="15">
        <v>45309</v>
      </c>
      <c r="E845" s="2">
        <v>0</v>
      </c>
      <c r="F845" s="14" t="s">
        <v>1075</v>
      </c>
      <c r="G845" t="s">
        <v>1076</v>
      </c>
      <c r="H845" s="14" t="s">
        <v>42</v>
      </c>
      <c r="I845" s="2">
        <v>1</v>
      </c>
      <c r="J845" s="2">
        <v>0</v>
      </c>
      <c r="K845" s="2">
        <v>0</v>
      </c>
      <c r="L845" s="2"/>
      <c r="M845" s="2">
        <v>0</v>
      </c>
      <c r="N845" s="14"/>
      <c r="O845" s="14"/>
      <c r="P845" s="2">
        <v>17</v>
      </c>
      <c r="Q845" s="2">
        <v>17</v>
      </c>
      <c r="R845" s="2">
        <v>10.24</v>
      </c>
      <c r="S845">
        <f t="shared" si="64"/>
        <v>10.24</v>
      </c>
      <c r="T845" t="s">
        <v>61</v>
      </c>
      <c r="U845" s="1">
        <f t="shared" si="65"/>
        <v>0</v>
      </c>
    </row>
    <row r="846" spans="1:21" hidden="1" x14ac:dyDescent="0.25">
      <c r="A846" s="2">
        <v>39117</v>
      </c>
      <c r="B846" s="13" t="s">
        <v>1437</v>
      </c>
      <c r="C846" s="14" t="s">
        <v>39</v>
      </c>
      <c r="D846" s="15">
        <v>45309</v>
      </c>
      <c r="E846" s="2">
        <v>0</v>
      </c>
      <c r="F846" s="14" t="s">
        <v>1071</v>
      </c>
      <c r="G846" t="s">
        <v>1072</v>
      </c>
      <c r="H846" s="14" t="s">
        <v>42</v>
      </c>
      <c r="I846" s="2">
        <v>1</v>
      </c>
      <c r="J846" s="2">
        <v>0</v>
      </c>
      <c r="K846" s="2">
        <v>0</v>
      </c>
      <c r="L846" s="2"/>
      <c r="M846" s="2">
        <v>0</v>
      </c>
      <c r="N846" s="14"/>
      <c r="O846" s="14"/>
      <c r="P846" s="2">
        <v>40</v>
      </c>
      <c r="Q846" s="2">
        <v>40</v>
      </c>
      <c r="R846" s="2">
        <v>31.89</v>
      </c>
      <c r="S846">
        <f t="shared" si="64"/>
        <v>31.89</v>
      </c>
      <c r="T846" t="s">
        <v>61</v>
      </c>
      <c r="U846" s="1">
        <f t="shared" si="65"/>
        <v>0</v>
      </c>
    </row>
    <row r="847" spans="1:21" hidden="1" x14ac:dyDescent="0.25">
      <c r="A847" s="2">
        <v>39117</v>
      </c>
      <c r="B847" s="13" t="s">
        <v>1437</v>
      </c>
      <c r="C847" s="14" t="s">
        <v>39</v>
      </c>
      <c r="D847" s="15">
        <v>45309</v>
      </c>
      <c r="E847" s="2">
        <v>0</v>
      </c>
      <c r="F847" s="14" t="s">
        <v>1170</v>
      </c>
      <c r="G847" t="s">
        <v>1171</v>
      </c>
      <c r="H847" s="14" t="s">
        <v>42</v>
      </c>
      <c r="I847" s="2">
        <v>1</v>
      </c>
      <c r="J847" s="2">
        <v>0</v>
      </c>
      <c r="K847" s="2">
        <v>0</v>
      </c>
      <c r="L847" s="2"/>
      <c r="M847" s="2">
        <v>0</v>
      </c>
      <c r="N847" s="14"/>
      <c r="O847" s="14"/>
      <c r="P847" s="2">
        <v>1779</v>
      </c>
      <c r="Q847" s="2">
        <v>1779</v>
      </c>
      <c r="R847" s="2">
        <v>1390.86</v>
      </c>
      <c r="S847">
        <f t="shared" si="64"/>
        <v>1390.86</v>
      </c>
      <c r="T847" t="s">
        <v>61</v>
      </c>
      <c r="U847" s="1">
        <f t="shared" si="65"/>
        <v>0</v>
      </c>
    </row>
    <row r="848" spans="1:21" hidden="1" x14ac:dyDescent="0.25">
      <c r="A848" s="2">
        <v>39117</v>
      </c>
      <c r="B848" s="13" t="s">
        <v>1437</v>
      </c>
      <c r="C848" s="14" t="s">
        <v>39</v>
      </c>
      <c r="D848" s="15">
        <v>45309</v>
      </c>
      <c r="E848" s="2">
        <v>0</v>
      </c>
      <c r="F848" s="14" t="s">
        <v>1172</v>
      </c>
      <c r="G848" t="s">
        <v>1173</v>
      </c>
      <c r="H848" s="14" t="s">
        <v>42</v>
      </c>
      <c r="I848" s="2">
        <v>1</v>
      </c>
      <c r="J848" s="2">
        <v>0</v>
      </c>
      <c r="K848" s="2">
        <v>0</v>
      </c>
      <c r="L848" s="2"/>
      <c r="M848" s="2">
        <v>0</v>
      </c>
      <c r="N848" s="14"/>
      <c r="O848" s="14"/>
      <c r="P848" s="2">
        <v>239</v>
      </c>
      <c r="Q848" s="2">
        <v>239</v>
      </c>
      <c r="R848" s="2">
        <v>203.99</v>
      </c>
      <c r="S848">
        <f t="shared" si="64"/>
        <v>203.99</v>
      </c>
      <c r="T848" t="s">
        <v>61</v>
      </c>
      <c r="U848" s="1">
        <f t="shared" si="65"/>
        <v>0</v>
      </c>
    </row>
    <row r="849" spans="1:21" hidden="1" x14ac:dyDescent="0.25">
      <c r="A849" s="2">
        <v>39117</v>
      </c>
      <c r="B849" s="13" t="s">
        <v>1437</v>
      </c>
      <c r="C849" s="14" t="s">
        <v>39</v>
      </c>
      <c r="D849" s="15">
        <v>45309</v>
      </c>
      <c r="E849" s="2">
        <v>0</v>
      </c>
      <c r="F849" s="14" t="s">
        <v>1175</v>
      </c>
      <c r="G849" t="s">
        <v>1176</v>
      </c>
      <c r="H849" s="14" t="s">
        <v>42</v>
      </c>
      <c r="I849" s="2">
        <v>1</v>
      </c>
      <c r="J849" s="2">
        <v>0</v>
      </c>
      <c r="K849" s="2">
        <v>0</v>
      </c>
      <c r="L849" s="2"/>
      <c r="M849" s="2">
        <v>0</v>
      </c>
      <c r="N849" s="14"/>
      <c r="O849" s="14"/>
      <c r="P849" s="2">
        <v>49</v>
      </c>
      <c r="Q849" s="2">
        <v>49</v>
      </c>
      <c r="R849" s="2">
        <v>33.770000000000003</v>
      </c>
      <c r="S849">
        <f t="shared" si="64"/>
        <v>33.770000000000003</v>
      </c>
      <c r="T849" t="s">
        <v>61</v>
      </c>
      <c r="U849" s="1">
        <f t="shared" si="65"/>
        <v>0</v>
      </c>
    </row>
    <row r="850" spans="1:21" hidden="1" x14ac:dyDescent="0.25">
      <c r="A850" s="2">
        <v>39118</v>
      </c>
      <c r="B850" s="13" t="s">
        <v>1438</v>
      </c>
      <c r="C850" s="14" t="s">
        <v>39</v>
      </c>
      <c r="D850" s="15">
        <v>45309</v>
      </c>
      <c r="E850" s="2">
        <v>0</v>
      </c>
      <c r="F850" s="14" t="s">
        <v>1081</v>
      </c>
      <c r="G850" t="s">
        <v>1082</v>
      </c>
      <c r="H850" s="14" t="s">
        <v>42</v>
      </c>
      <c r="I850" s="2">
        <v>1</v>
      </c>
      <c r="J850" s="2">
        <v>0</v>
      </c>
      <c r="K850" s="2">
        <v>0</v>
      </c>
      <c r="L850" s="2"/>
      <c r="M850" s="2">
        <v>0</v>
      </c>
      <c r="N850" s="14"/>
      <c r="O850" s="14"/>
      <c r="P850" s="2">
        <v>4823</v>
      </c>
      <c r="Q850" s="2">
        <v>4823</v>
      </c>
      <c r="R850" s="2">
        <v>4002.43</v>
      </c>
      <c r="S850">
        <f t="shared" si="64"/>
        <v>4002.43</v>
      </c>
      <c r="T850" t="s">
        <v>61</v>
      </c>
      <c r="U850" s="1">
        <f t="shared" si="65"/>
        <v>0</v>
      </c>
    </row>
    <row r="851" spans="1:21" hidden="1" x14ac:dyDescent="0.25">
      <c r="A851" s="2">
        <v>39118</v>
      </c>
      <c r="B851" s="13" t="s">
        <v>1438</v>
      </c>
      <c r="C851" s="14" t="s">
        <v>39</v>
      </c>
      <c r="D851" s="15">
        <v>45309</v>
      </c>
      <c r="E851" s="2">
        <v>0</v>
      </c>
      <c r="F851" s="14" t="s">
        <v>1077</v>
      </c>
      <c r="G851" t="s">
        <v>1078</v>
      </c>
      <c r="H851" s="14" t="s">
        <v>42</v>
      </c>
      <c r="I851" s="2">
        <v>1</v>
      </c>
      <c r="J851" s="2">
        <v>0</v>
      </c>
      <c r="K851" s="2">
        <v>0</v>
      </c>
      <c r="L851" s="2"/>
      <c r="M851" s="2">
        <v>0</v>
      </c>
      <c r="N851" s="14"/>
      <c r="O851" s="14"/>
      <c r="P851" s="2">
        <v>339</v>
      </c>
      <c r="Q851" s="2">
        <v>339</v>
      </c>
      <c r="R851" s="2">
        <v>267.29000000000002</v>
      </c>
      <c r="S851">
        <f t="shared" si="64"/>
        <v>267.29000000000002</v>
      </c>
      <c r="T851" t="s">
        <v>61</v>
      </c>
      <c r="U851" s="1">
        <f t="shared" si="65"/>
        <v>0</v>
      </c>
    </row>
    <row r="852" spans="1:21" hidden="1" x14ac:dyDescent="0.25">
      <c r="A852" s="2">
        <v>39118</v>
      </c>
      <c r="B852" s="13" t="s">
        <v>1438</v>
      </c>
      <c r="C852" s="14" t="s">
        <v>39</v>
      </c>
      <c r="D852" s="15">
        <v>45309</v>
      </c>
      <c r="E852" s="2">
        <v>0</v>
      </c>
      <c r="F852" s="14" t="s">
        <v>1071</v>
      </c>
      <c r="G852" t="s">
        <v>1072</v>
      </c>
      <c r="H852" s="14" t="s">
        <v>42</v>
      </c>
      <c r="I852" s="2">
        <v>1</v>
      </c>
      <c r="J852" s="2">
        <v>0</v>
      </c>
      <c r="K852" s="2">
        <v>0</v>
      </c>
      <c r="L852" s="2"/>
      <c r="M852" s="2">
        <v>0</v>
      </c>
      <c r="N852" s="14"/>
      <c r="O852" s="14"/>
      <c r="P852" s="2">
        <v>40</v>
      </c>
      <c r="Q852" s="2">
        <v>40</v>
      </c>
      <c r="R852" s="2">
        <v>31.89</v>
      </c>
      <c r="S852">
        <f t="shared" si="64"/>
        <v>31.89</v>
      </c>
      <c r="T852" t="s">
        <v>61</v>
      </c>
      <c r="U852" s="1">
        <f t="shared" si="65"/>
        <v>0</v>
      </c>
    </row>
    <row r="853" spans="1:21" hidden="1" x14ac:dyDescent="0.25">
      <c r="A853" s="2">
        <v>39118</v>
      </c>
      <c r="B853" s="13" t="s">
        <v>1438</v>
      </c>
      <c r="C853" s="14" t="s">
        <v>39</v>
      </c>
      <c r="D853" s="15">
        <v>45309</v>
      </c>
      <c r="E853" s="2">
        <v>0</v>
      </c>
      <c r="F853" s="14" t="s">
        <v>1073</v>
      </c>
      <c r="G853" t="s">
        <v>1074</v>
      </c>
      <c r="H853" s="14" t="s">
        <v>42</v>
      </c>
      <c r="I853" s="2">
        <v>1</v>
      </c>
      <c r="J853" s="2">
        <v>0</v>
      </c>
      <c r="K853" s="2">
        <v>0</v>
      </c>
      <c r="L853" s="2"/>
      <c r="M853" s="2">
        <v>0</v>
      </c>
      <c r="N853" s="14"/>
      <c r="O853" s="14"/>
      <c r="P853" s="2">
        <v>44</v>
      </c>
      <c r="Q853" s="2">
        <v>44</v>
      </c>
      <c r="R853" s="2">
        <v>34.99</v>
      </c>
      <c r="S853">
        <f t="shared" si="64"/>
        <v>34.99</v>
      </c>
      <c r="T853" t="s">
        <v>61</v>
      </c>
      <c r="U853" s="1">
        <f t="shared" si="65"/>
        <v>0</v>
      </c>
    </row>
    <row r="854" spans="1:21" hidden="1" x14ac:dyDescent="0.25">
      <c r="A854" s="2">
        <v>39118</v>
      </c>
      <c r="B854" s="13" t="s">
        <v>1438</v>
      </c>
      <c r="C854" s="14" t="s">
        <v>39</v>
      </c>
      <c r="D854" s="15">
        <v>45309</v>
      </c>
      <c r="E854" s="2">
        <v>0</v>
      </c>
      <c r="F854" s="14" t="s">
        <v>1075</v>
      </c>
      <c r="G854" t="s">
        <v>1076</v>
      </c>
      <c r="H854" s="14" t="s">
        <v>42</v>
      </c>
      <c r="I854" s="2">
        <v>1</v>
      </c>
      <c r="J854" s="2">
        <v>0</v>
      </c>
      <c r="K854" s="2">
        <v>0</v>
      </c>
      <c r="L854" s="2"/>
      <c r="M854" s="2">
        <v>0</v>
      </c>
      <c r="N854" s="14"/>
      <c r="O854" s="14"/>
      <c r="P854" s="2">
        <v>17</v>
      </c>
      <c r="Q854" s="2">
        <v>17</v>
      </c>
      <c r="R854" s="2">
        <v>10.24</v>
      </c>
      <c r="S854">
        <f t="shared" si="64"/>
        <v>10.24</v>
      </c>
      <c r="T854" t="s">
        <v>61</v>
      </c>
      <c r="U854" s="1">
        <f t="shared" si="65"/>
        <v>0</v>
      </c>
    </row>
    <row r="855" spans="1:21" hidden="1" x14ac:dyDescent="0.25">
      <c r="A855" s="2">
        <v>39120</v>
      </c>
      <c r="B855" s="13" t="s">
        <v>1439</v>
      </c>
      <c r="C855" s="14" t="s">
        <v>39</v>
      </c>
      <c r="D855" s="15">
        <v>45309</v>
      </c>
      <c r="E855" s="2">
        <v>0</v>
      </c>
      <c r="F855" s="14" t="s">
        <v>1075</v>
      </c>
      <c r="G855" t="s">
        <v>1076</v>
      </c>
      <c r="H855" s="14" t="s">
        <v>42</v>
      </c>
      <c r="I855" s="2">
        <v>1</v>
      </c>
      <c r="J855" s="2">
        <v>0</v>
      </c>
      <c r="K855" s="2">
        <v>0</v>
      </c>
      <c r="L855" s="2"/>
      <c r="M855" s="2">
        <v>0</v>
      </c>
      <c r="N855" s="14"/>
      <c r="O855" s="14"/>
      <c r="P855" s="2">
        <v>17</v>
      </c>
      <c r="Q855" s="2">
        <v>17</v>
      </c>
      <c r="R855" s="2">
        <v>10.24</v>
      </c>
      <c r="S855">
        <f t="shared" si="64"/>
        <v>10.24</v>
      </c>
      <c r="T855" t="s">
        <v>61</v>
      </c>
      <c r="U855" s="1">
        <f t="shared" si="65"/>
        <v>0</v>
      </c>
    </row>
    <row r="856" spans="1:21" hidden="1" x14ac:dyDescent="0.25">
      <c r="A856" s="2">
        <v>39120</v>
      </c>
      <c r="B856" s="13" t="s">
        <v>1439</v>
      </c>
      <c r="C856" s="14" t="s">
        <v>39</v>
      </c>
      <c r="D856" s="15">
        <v>45309</v>
      </c>
      <c r="E856" s="2">
        <v>0</v>
      </c>
      <c r="F856" s="14" t="s">
        <v>1081</v>
      </c>
      <c r="G856" t="s">
        <v>1082</v>
      </c>
      <c r="H856" s="14" t="s">
        <v>42</v>
      </c>
      <c r="I856" s="2">
        <v>1</v>
      </c>
      <c r="J856" s="2">
        <v>0</v>
      </c>
      <c r="K856" s="2">
        <v>0</v>
      </c>
      <c r="L856" s="2"/>
      <c r="M856" s="2">
        <v>0</v>
      </c>
      <c r="N856" s="14"/>
      <c r="O856" s="14"/>
      <c r="P856" s="2">
        <v>4823</v>
      </c>
      <c r="Q856" s="2">
        <v>4823</v>
      </c>
      <c r="R856" s="2">
        <v>4002.43</v>
      </c>
      <c r="S856">
        <f t="shared" si="64"/>
        <v>4002.43</v>
      </c>
      <c r="T856" t="s">
        <v>61</v>
      </c>
      <c r="U856" s="1">
        <f t="shared" si="65"/>
        <v>0</v>
      </c>
    </row>
    <row r="857" spans="1:21" hidden="1" x14ac:dyDescent="0.25">
      <c r="A857" s="2">
        <v>39120</v>
      </c>
      <c r="B857" s="13" t="s">
        <v>1439</v>
      </c>
      <c r="C857" s="14" t="s">
        <v>39</v>
      </c>
      <c r="D857" s="15">
        <v>45309</v>
      </c>
      <c r="E857" s="2">
        <v>0</v>
      </c>
      <c r="F857" s="14" t="s">
        <v>1077</v>
      </c>
      <c r="G857" t="s">
        <v>1078</v>
      </c>
      <c r="H857" s="14" t="s">
        <v>42</v>
      </c>
      <c r="I857" s="2">
        <v>1</v>
      </c>
      <c r="J857" s="2">
        <v>0</v>
      </c>
      <c r="K857" s="2">
        <v>0</v>
      </c>
      <c r="L857" s="2"/>
      <c r="M857" s="2">
        <v>0</v>
      </c>
      <c r="N857" s="14"/>
      <c r="O857" s="14"/>
      <c r="P857" s="2">
        <v>339</v>
      </c>
      <c r="Q857" s="2">
        <v>339</v>
      </c>
      <c r="R857" s="2">
        <v>267.29000000000002</v>
      </c>
      <c r="S857">
        <f t="shared" si="64"/>
        <v>267.29000000000002</v>
      </c>
      <c r="T857" t="s">
        <v>61</v>
      </c>
      <c r="U857" s="1">
        <f t="shared" si="65"/>
        <v>0</v>
      </c>
    </row>
    <row r="858" spans="1:21" hidden="1" x14ac:dyDescent="0.25">
      <c r="A858" s="2">
        <v>39120</v>
      </c>
      <c r="B858" s="13" t="s">
        <v>1439</v>
      </c>
      <c r="C858" s="14" t="s">
        <v>39</v>
      </c>
      <c r="D858" s="15">
        <v>45309</v>
      </c>
      <c r="E858" s="2">
        <v>0</v>
      </c>
      <c r="F858" s="14" t="s">
        <v>1071</v>
      </c>
      <c r="G858" t="s">
        <v>1072</v>
      </c>
      <c r="H858" s="14" t="s">
        <v>42</v>
      </c>
      <c r="I858" s="2">
        <v>1</v>
      </c>
      <c r="J858" s="2">
        <v>0</v>
      </c>
      <c r="K858" s="2">
        <v>0</v>
      </c>
      <c r="L858" s="2"/>
      <c r="M858" s="2">
        <v>0</v>
      </c>
      <c r="N858" s="14"/>
      <c r="O858" s="14"/>
      <c r="P858" s="2">
        <v>40</v>
      </c>
      <c r="Q858" s="2">
        <v>40</v>
      </c>
      <c r="R858" s="2">
        <v>31.89</v>
      </c>
      <c r="S858">
        <f t="shared" si="64"/>
        <v>31.89</v>
      </c>
      <c r="T858" t="s">
        <v>61</v>
      </c>
      <c r="U858" s="1">
        <f t="shared" si="65"/>
        <v>0</v>
      </c>
    </row>
    <row r="859" spans="1:21" hidden="1" x14ac:dyDescent="0.25">
      <c r="A859" s="2">
        <v>39120</v>
      </c>
      <c r="B859" s="13" t="s">
        <v>1439</v>
      </c>
      <c r="C859" s="14" t="s">
        <v>39</v>
      </c>
      <c r="D859" s="15">
        <v>45309</v>
      </c>
      <c r="E859" s="2">
        <v>0</v>
      </c>
      <c r="F859" s="14" t="s">
        <v>1073</v>
      </c>
      <c r="G859" t="s">
        <v>1074</v>
      </c>
      <c r="H859" s="14" t="s">
        <v>42</v>
      </c>
      <c r="I859" s="2">
        <v>1</v>
      </c>
      <c r="J859" s="2">
        <v>0</v>
      </c>
      <c r="K859" s="2">
        <v>0</v>
      </c>
      <c r="L859" s="2"/>
      <c r="M859" s="2">
        <v>0</v>
      </c>
      <c r="N859" s="14"/>
      <c r="O859" s="14"/>
      <c r="P859" s="2">
        <v>44</v>
      </c>
      <c r="Q859" s="2">
        <v>44</v>
      </c>
      <c r="R859" s="2">
        <v>34.99</v>
      </c>
      <c r="S859">
        <f t="shared" si="64"/>
        <v>34.99</v>
      </c>
      <c r="T859" t="s">
        <v>61</v>
      </c>
      <c r="U859" s="1">
        <f t="shared" si="65"/>
        <v>0</v>
      </c>
    </row>
    <row r="860" spans="1:21" hidden="1" x14ac:dyDescent="0.25">
      <c r="A860" s="2">
        <v>39120</v>
      </c>
      <c r="B860" s="13" t="s">
        <v>1439</v>
      </c>
      <c r="C860" s="14" t="s">
        <v>39</v>
      </c>
      <c r="D860" s="15">
        <v>45309</v>
      </c>
      <c r="E860" s="2">
        <v>0</v>
      </c>
      <c r="F860" s="14" t="s">
        <v>1177</v>
      </c>
      <c r="G860" t="s">
        <v>1178</v>
      </c>
      <c r="H860" s="14" t="s">
        <v>42</v>
      </c>
      <c r="I860" s="2">
        <v>2</v>
      </c>
      <c r="J860" s="2">
        <v>0</v>
      </c>
      <c r="K860" s="2">
        <v>0</v>
      </c>
      <c r="L860" s="2"/>
      <c r="M860" s="2">
        <v>0</v>
      </c>
      <c r="N860" s="14"/>
      <c r="O860" s="14"/>
      <c r="P860" s="2">
        <v>189</v>
      </c>
      <c r="Q860" s="2">
        <v>378</v>
      </c>
      <c r="R860" s="2">
        <v>107.74</v>
      </c>
      <c r="S860">
        <f t="shared" si="64"/>
        <v>215.48</v>
      </c>
      <c r="T860" t="s">
        <v>61</v>
      </c>
      <c r="U860" s="1">
        <f t="shared" si="65"/>
        <v>0</v>
      </c>
    </row>
    <row r="861" spans="1:21" hidden="1" x14ac:dyDescent="0.25">
      <c r="A861" s="2">
        <v>39120</v>
      </c>
      <c r="B861" s="13" t="s">
        <v>1439</v>
      </c>
      <c r="C861" s="14" t="s">
        <v>39</v>
      </c>
      <c r="D861" s="15">
        <v>45309</v>
      </c>
      <c r="E861" s="2">
        <v>0</v>
      </c>
      <c r="F861" s="14" t="s">
        <v>1079</v>
      </c>
      <c r="G861" t="s">
        <v>1080</v>
      </c>
      <c r="H861" s="14" t="s">
        <v>42</v>
      </c>
      <c r="I861" s="2">
        <v>1</v>
      </c>
      <c r="J861" s="2">
        <v>0</v>
      </c>
      <c r="K861" s="2">
        <v>0</v>
      </c>
      <c r="L861" s="2"/>
      <c r="M861" s="2">
        <v>0</v>
      </c>
      <c r="N861" s="14"/>
      <c r="O861" s="14"/>
      <c r="P861" s="2">
        <v>309</v>
      </c>
      <c r="Q861" s="2">
        <v>309</v>
      </c>
      <c r="R861" s="2">
        <v>189.95</v>
      </c>
      <c r="S861">
        <f t="shared" si="64"/>
        <v>189.95</v>
      </c>
      <c r="T861" t="s">
        <v>61</v>
      </c>
      <c r="U861" s="1">
        <f t="shared" si="65"/>
        <v>0</v>
      </c>
    </row>
    <row r="862" spans="1:21" hidden="1" x14ac:dyDescent="0.25">
      <c r="A862" s="2">
        <v>39120</v>
      </c>
      <c r="B862" s="13" t="s">
        <v>1439</v>
      </c>
      <c r="C862" s="14" t="s">
        <v>39</v>
      </c>
      <c r="D862" s="15">
        <v>45309</v>
      </c>
      <c r="E862" s="2">
        <v>0</v>
      </c>
      <c r="F862" s="14" t="s">
        <v>1399</v>
      </c>
      <c r="G862" t="s">
        <v>1400</v>
      </c>
      <c r="H862" s="14" t="s">
        <v>173</v>
      </c>
      <c r="I862" s="2">
        <v>1</v>
      </c>
      <c r="J862" s="2">
        <v>0</v>
      </c>
      <c r="K862" s="2">
        <v>0</v>
      </c>
      <c r="L862" s="2"/>
      <c r="M862" s="2">
        <v>0</v>
      </c>
      <c r="N862" s="14"/>
      <c r="O862" s="14"/>
      <c r="P862" s="2">
        <v>359</v>
      </c>
      <c r="Q862" s="2">
        <v>359</v>
      </c>
      <c r="R862" s="2">
        <v>354.03</v>
      </c>
      <c r="S862">
        <f t="shared" si="64"/>
        <v>354.03</v>
      </c>
      <c r="T862" t="s">
        <v>61</v>
      </c>
      <c r="U862" s="1">
        <f t="shared" si="65"/>
        <v>0</v>
      </c>
    </row>
    <row r="863" spans="1:21" hidden="1" x14ac:dyDescent="0.25">
      <c r="A863" s="2">
        <v>39121</v>
      </c>
      <c r="B863" s="13" t="s">
        <v>1440</v>
      </c>
      <c r="C863" s="14" t="s">
        <v>39</v>
      </c>
      <c r="D863" s="15">
        <v>45309</v>
      </c>
      <c r="E863" s="2">
        <v>0</v>
      </c>
      <c r="F863" s="14" t="s">
        <v>1081</v>
      </c>
      <c r="G863" t="s">
        <v>1082</v>
      </c>
      <c r="H863" s="14" t="s">
        <v>42</v>
      </c>
      <c r="I863" s="2">
        <v>1</v>
      </c>
      <c r="J863" s="2">
        <v>0</v>
      </c>
      <c r="K863" s="2">
        <v>0</v>
      </c>
      <c r="L863" s="2"/>
      <c r="M863" s="2">
        <v>0</v>
      </c>
      <c r="N863" s="14"/>
      <c r="O863" s="14"/>
      <c r="P863" s="2">
        <v>4823</v>
      </c>
      <c r="Q863" s="2">
        <v>4823</v>
      </c>
      <c r="R863" s="2">
        <v>4002.43</v>
      </c>
      <c r="S863">
        <f t="shared" si="64"/>
        <v>4002.43</v>
      </c>
      <c r="T863" t="s">
        <v>61</v>
      </c>
      <c r="U863" s="1">
        <f t="shared" si="65"/>
        <v>0</v>
      </c>
    </row>
    <row r="864" spans="1:21" hidden="1" x14ac:dyDescent="0.25">
      <c r="A864" s="2">
        <v>39121</v>
      </c>
      <c r="B864" s="13" t="s">
        <v>1440</v>
      </c>
      <c r="C864" s="14" t="s">
        <v>39</v>
      </c>
      <c r="D864" s="15">
        <v>45309</v>
      </c>
      <c r="E864" s="2">
        <v>0</v>
      </c>
      <c r="F864" s="14" t="s">
        <v>1077</v>
      </c>
      <c r="G864" t="s">
        <v>1078</v>
      </c>
      <c r="H864" s="14" t="s">
        <v>42</v>
      </c>
      <c r="I864" s="2">
        <v>1</v>
      </c>
      <c r="J864" s="2">
        <v>0</v>
      </c>
      <c r="K864" s="2">
        <v>0</v>
      </c>
      <c r="L864" s="2"/>
      <c r="M864" s="2">
        <v>0</v>
      </c>
      <c r="N864" s="14"/>
      <c r="O864" s="14"/>
      <c r="P864" s="2">
        <v>339</v>
      </c>
      <c r="Q864" s="2">
        <v>339</v>
      </c>
      <c r="R864" s="2">
        <v>267.29000000000002</v>
      </c>
      <c r="S864">
        <f t="shared" si="64"/>
        <v>267.29000000000002</v>
      </c>
      <c r="T864" t="s">
        <v>61</v>
      </c>
      <c r="U864" s="1">
        <f t="shared" si="65"/>
        <v>0</v>
      </c>
    </row>
    <row r="865" spans="1:21" hidden="1" x14ac:dyDescent="0.25">
      <c r="A865" s="2">
        <v>39121</v>
      </c>
      <c r="B865" s="13" t="s">
        <v>1440</v>
      </c>
      <c r="C865" s="14" t="s">
        <v>39</v>
      </c>
      <c r="D865" s="15">
        <v>45309</v>
      </c>
      <c r="E865" s="2">
        <v>0</v>
      </c>
      <c r="F865" s="14" t="s">
        <v>1075</v>
      </c>
      <c r="G865" t="s">
        <v>1076</v>
      </c>
      <c r="H865" s="14" t="s">
        <v>42</v>
      </c>
      <c r="I865" s="2">
        <v>1</v>
      </c>
      <c r="J865" s="2">
        <v>0</v>
      </c>
      <c r="K865" s="2">
        <v>0</v>
      </c>
      <c r="L865" s="2"/>
      <c r="M865" s="2">
        <v>0</v>
      </c>
      <c r="N865" s="14"/>
      <c r="O865" s="14"/>
      <c r="P865" s="2">
        <v>17</v>
      </c>
      <c r="Q865" s="2">
        <v>17</v>
      </c>
      <c r="R865" s="2">
        <v>10.24</v>
      </c>
      <c r="S865">
        <f t="shared" si="64"/>
        <v>10.24</v>
      </c>
      <c r="T865" t="s">
        <v>61</v>
      </c>
      <c r="U865" s="1">
        <f t="shared" si="65"/>
        <v>0</v>
      </c>
    </row>
    <row r="866" spans="1:21" hidden="1" x14ac:dyDescent="0.25">
      <c r="A866" s="2">
        <v>39121</v>
      </c>
      <c r="B866" s="13" t="s">
        <v>1440</v>
      </c>
      <c r="C866" s="14" t="s">
        <v>39</v>
      </c>
      <c r="D866" s="15">
        <v>45309</v>
      </c>
      <c r="E866" s="2">
        <v>0</v>
      </c>
      <c r="F866" s="14" t="s">
        <v>1073</v>
      </c>
      <c r="G866" t="s">
        <v>1074</v>
      </c>
      <c r="H866" s="14" t="s">
        <v>42</v>
      </c>
      <c r="I866" s="2">
        <v>1</v>
      </c>
      <c r="J866" s="2">
        <v>0</v>
      </c>
      <c r="K866" s="2">
        <v>0</v>
      </c>
      <c r="L866" s="2"/>
      <c r="M866" s="2">
        <v>0</v>
      </c>
      <c r="N866" s="14"/>
      <c r="O866" s="14"/>
      <c r="P866" s="2">
        <v>44</v>
      </c>
      <c r="Q866" s="2">
        <v>44</v>
      </c>
      <c r="R866" s="2">
        <v>34.99</v>
      </c>
      <c r="S866">
        <f t="shared" si="64"/>
        <v>34.99</v>
      </c>
      <c r="T866" t="s">
        <v>61</v>
      </c>
      <c r="U866" s="1">
        <f t="shared" si="65"/>
        <v>0</v>
      </c>
    </row>
    <row r="867" spans="1:21" hidden="1" x14ac:dyDescent="0.25">
      <c r="A867" s="2">
        <v>39121</v>
      </c>
      <c r="B867" s="13" t="s">
        <v>1440</v>
      </c>
      <c r="C867" s="14" t="s">
        <v>39</v>
      </c>
      <c r="D867" s="15">
        <v>45309</v>
      </c>
      <c r="E867" s="2">
        <v>0</v>
      </c>
      <c r="F867" s="14" t="s">
        <v>1071</v>
      </c>
      <c r="G867" t="s">
        <v>1072</v>
      </c>
      <c r="H867" s="14" t="s">
        <v>42</v>
      </c>
      <c r="I867" s="2">
        <v>1</v>
      </c>
      <c r="J867" s="2">
        <v>0</v>
      </c>
      <c r="K867" s="2">
        <v>0</v>
      </c>
      <c r="L867" s="2"/>
      <c r="M867" s="2">
        <v>0</v>
      </c>
      <c r="N867" s="14"/>
      <c r="O867" s="14"/>
      <c r="P867" s="2">
        <v>40</v>
      </c>
      <c r="Q867" s="2">
        <v>40</v>
      </c>
      <c r="R867" s="2">
        <v>31.89</v>
      </c>
      <c r="S867">
        <f t="shared" si="64"/>
        <v>31.89</v>
      </c>
      <c r="T867" t="s">
        <v>61</v>
      </c>
      <c r="U867" s="1">
        <f t="shared" si="65"/>
        <v>0</v>
      </c>
    </row>
    <row r="868" spans="1:21" hidden="1" x14ac:dyDescent="0.25">
      <c r="A868" s="2">
        <v>39122</v>
      </c>
      <c r="B868" s="13" t="s">
        <v>1441</v>
      </c>
      <c r="C868" s="14" t="s">
        <v>39</v>
      </c>
      <c r="D868" s="15">
        <v>45310</v>
      </c>
      <c r="E868" s="2">
        <v>0</v>
      </c>
      <c r="F868" s="14" t="s">
        <v>686</v>
      </c>
      <c r="G868" t="s">
        <v>687</v>
      </c>
      <c r="H868" s="14" t="s">
        <v>42</v>
      </c>
      <c r="I868" s="2">
        <v>1</v>
      </c>
      <c r="J868" s="2">
        <v>0</v>
      </c>
      <c r="K868" s="2">
        <v>0</v>
      </c>
      <c r="L868" s="2"/>
      <c r="M868" s="2">
        <v>0</v>
      </c>
      <c r="N868" s="14"/>
      <c r="O868" s="14"/>
      <c r="P868" s="2">
        <v>225.35</v>
      </c>
      <c r="Q868" s="2">
        <v>225.35</v>
      </c>
      <c r="R868" s="2">
        <v>196.71</v>
      </c>
      <c r="S868">
        <f t="shared" si="64"/>
        <v>196.71</v>
      </c>
      <c r="T868" t="s">
        <v>51</v>
      </c>
      <c r="U868" s="1">
        <f t="shared" si="65"/>
        <v>2.4343999999999992</v>
      </c>
    </row>
    <row r="869" spans="1:21" hidden="1" x14ac:dyDescent="0.25">
      <c r="A869" s="2">
        <v>39122</v>
      </c>
      <c r="B869" s="13" t="s">
        <v>1441</v>
      </c>
      <c r="C869" s="14" t="s">
        <v>39</v>
      </c>
      <c r="D869" s="15">
        <v>45310</v>
      </c>
      <c r="E869" s="2">
        <v>0</v>
      </c>
      <c r="F869" s="14" t="s">
        <v>1442</v>
      </c>
      <c r="G869" t="s">
        <v>1443</v>
      </c>
      <c r="H869" s="14" t="s">
        <v>42</v>
      </c>
      <c r="I869" s="2">
        <v>1</v>
      </c>
      <c r="J869" s="2">
        <v>0</v>
      </c>
      <c r="K869" s="2">
        <v>0</v>
      </c>
      <c r="L869" s="2"/>
      <c r="M869" s="2">
        <v>0</v>
      </c>
      <c r="N869" s="14"/>
      <c r="O869" s="14"/>
      <c r="P869" s="2">
        <v>968.36</v>
      </c>
      <c r="Q869" s="2">
        <v>968.36</v>
      </c>
      <c r="R869" s="2">
        <v>842.05</v>
      </c>
      <c r="S869">
        <f t="shared" si="64"/>
        <v>842.05</v>
      </c>
      <c r="T869" t="s">
        <v>51</v>
      </c>
      <c r="U869" s="1">
        <f t="shared" si="65"/>
        <v>10.736350000000005</v>
      </c>
    </row>
    <row r="870" spans="1:21" hidden="1" x14ac:dyDescent="0.25">
      <c r="A870" s="2">
        <v>39122</v>
      </c>
      <c r="B870" s="13" t="s">
        <v>1441</v>
      </c>
      <c r="C870" s="14" t="s">
        <v>39</v>
      </c>
      <c r="D870" s="15">
        <v>45310</v>
      </c>
      <c r="E870" s="2">
        <v>0</v>
      </c>
      <c r="F870" s="14" t="s">
        <v>600</v>
      </c>
      <c r="G870" t="s">
        <v>601</v>
      </c>
      <c r="H870" s="14" t="s">
        <v>42</v>
      </c>
      <c r="I870" s="2">
        <v>1</v>
      </c>
      <c r="J870" s="2">
        <v>0</v>
      </c>
      <c r="K870" s="2">
        <v>0</v>
      </c>
      <c r="L870" s="2"/>
      <c r="M870" s="2">
        <v>0</v>
      </c>
      <c r="N870" s="14"/>
      <c r="O870" s="14"/>
      <c r="P870" s="2">
        <v>149</v>
      </c>
      <c r="Q870" s="2">
        <v>149</v>
      </c>
      <c r="R870" s="2">
        <v>0</v>
      </c>
      <c r="S870">
        <f t="shared" si="64"/>
        <v>0</v>
      </c>
      <c r="T870" t="s">
        <v>51</v>
      </c>
      <c r="U870" s="1">
        <f t="shared" ref="U870:U901" si="66">_xlfn.XLOOKUP(T870,$Y$2:$Y$45,$AA$2:$AA$45)*(Q870-S870)</f>
        <v>12.665000000000001</v>
      </c>
    </row>
    <row r="871" spans="1:21" hidden="1" x14ac:dyDescent="0.25">
      <c r="A871" s="2">
        <v>39124</v>
      </c>
      <c r="B871" s="13" t="s">
        <v>1444</v>
      </c>
      <c r="C871" s="14" t="s">
        <v>39</v>
      </c>
      <c r="D871" s="15">
        <v>45309</v>
      </c>
      <c r="E871" s="2">
        <v>0</v>
      </c>
      <c r="F871" s="14" t="s">
        <v>1081</v>
      </c>
      <c r="G871" t="s">
        <v>1082</v>
      </c>
      <c r="H871" s="14" t="s">
        <v>42</v>
      </c>
      <c r="I871" s="2">
        <v>1</v>
      </c>
      <c r="J871" s="2">
        <v>0</v>
      </c>
      <c r="K871" s="2">
        <v>0</v>
      </c>
      <c r="L871" s="2"/>
      <c r="M871" s="2">
        <v>0</v>
      </c>
      <c r="N871" s="14"/>
      <c r="O871" s="14"/>
      <c r="P871" s="2">
        <v>4823</v>
      </c>
      <c r="Q871" s="2">
        <v>4823</v>
      </c>
      <c r="R871" s="2">
        <v>4002.43</v>
      </c>
      <c r="S871">
        <f t="shared" si="64"/>
        <v>4002.43</v>
      </c>
      <c r="T871" t="s">
        <v>61</v>
      </c>
      <c r="U871" s="1">
        <f t="shared" si="66"/>
        <v>0</v>
      </c>
    </row>
    <row r="872" spans="1:21" hidden="1" x14ac:dyDescent="0.25">
      <c r="A872" s="2">
        <v>39124</v>
      </c>
      <c r="B872" s="13" t="s">
        <v>1444</v>
      </c>
      <c r="C872" s="14" t="s">
        <v>39</v>
      </c>
      <c r="D872" s="15">
        <v>45309</v>
      </c>
      <c r="E872" s="2">
        <v>0</v>
      </c>
      <c r="F872" s="14" t="s">
        <v>1073</v>
      </c>
      <c r="G872" t="s">
        <v>1074</v>
      </c>
      <c r="H872" s="14" t="s">
        <v>42</v>
      </c>
      <c r="I872" s="2">
        <v>1</v>
      </c>
      <c r="J872" s="2">
        <v>0</v>
      </c>
      <c r="K872" s="2">
        <v>0</v>
      </c>
      <c r="L872" s="2"/>
      <c r="M872" s="2">
        <v>0</v>
      </c>
      <c r="N872" s="14"/>
      <c r="O872" s="14"/>
      <c r="P872" s="2">
        <v>44</v>
      </c>
      <c r="Q872" s="2">
        <v>44</v>
      </c>
      <c r="R872" s="2">
        <v>34.99</v>
      </c>
      <c r="S872">
        <f t="shared" si="64"/>
        <v>34.99</v>
      </c>
      <c r="T872" t="s">
        <v>61</v>
      </c>
      <c r="U872" s="1">
        <f t="shared" si="66"/>
        <v>0</v>
      </c>
    </row>
    <row r="873" spans="1:21" hidden="1" x14ac:dyDescent="0.25">
      <c r="A873" s="2">
        <v>39124</v>
      </c>
      <c r="B873" s="13" t="s">
        <v>1444</v>
      </c>
      <c r="C873" s="14" t="s">
        <v>39</v>
      </c>
      <c r="D873" s="15">
        <v>45309</v>
      </c>
      <c r="E873" s="2">
        <v>0</v>
      </c>
      <c r="F873" s="14" t="s">
        <v>1075</v>
      </c>
      <c r="G873" t="s">
        <v>1076</v>
      </c>
      <c r="H873" s="14" t="s">
        <v>42</v>
      </c>
      <c r="I873" s="2">
        <v>1</v>
      </c>
      <c r="J873" s="2">
        <v>0</v>
      </c>
      <c r="K873" s="2">
        <v>0</v>
      </c>
      <c r="L873" s="2"/>
      <c r="M873" s="2">
        <v>0</v>
      </c>
      <c r="N873" s="14"/>
      <c r="O873" s="14"/>
      <c r="P873" s="2">
        <v>17</v>
      </c>
      <c r="Q873" s="2">
        <v>17</v>
      </c>
      <c r="R873" s="2">
        <v>10.24</v>
      </c>
      <c r="S873">
        <f t="shared" si="64"/>
        <v>10.24</v>
      </c>
      <c r="T873" t="s">
        <v>61</v>
      </c>
      <c r="U873" s="1">
        <f t="shared" si="66"/>
        <v>0</v>
      </c>
    </row>
    <row r="874" spans="1:21" hidden="1" x14ac:dyDescent="0.25">
      <c r="A874" s="2">
        <v>39124</v>
      </c>
      <c r="B874" s="13" t="s">
        <v>1444</v>
      </c>
      <c r="C874" s="14" t="s">
        <v>39</v>
      </c>
      <c r="D874" s="15">
        <v>45309</v>
      </c>
      <c r="E874" s="2">
        <v>0</v>
      </c>
      <c r="F874" s="14" t="s">
        <v>1071</v>
      </c>
      <c r="G874" t="s">
        <v>1072</v>
      </c>
      <c r="H874" s="14" t="s">
        <v>42</v>
      </c>
      <c r="I874" s="2">
        <v>1</v>
      </c>
      <c r="J874" s="2">
        <v>0</v>
      </c>
      <c r="K874" s="2">
        <v>0</v>
      </c>
      <c r="L874" s="2"/>
      <c r="M874" s="2">
        <v>0</v>
      </c>
      <c r="N874" s="14"/>
      <c r="O874" s="14"/>
      <c r="P874" s="2">
        <v>40</v>
      </c>
      <c r="Q874" s="2">
        <v>40</v>
      </c>
      <c r="R874" s="2">
        <v>31.89</v>
      </c>
      <c r="S874">
        <f t="shared" si="64"/>
        <v>31.89</v>
      </c>
      <c r="T874" t="s">
        <v>61</v>
      </c>
      <c r="U874" s="1">
        <f t="shared" si="66"/>
        <v>0</v>
      </c>
    </row>
    <row r="875" spans="1:21" hidden="1" x14ac:dyDescent="0.25">
      <c r="A875" s="2">
        <v>39124</v>
      </c>
      <c r="B875" s="13" t="s">
        <v>1444</v>
      </c>
      <c r="C875" s="14" t="s">
        <v>39</v>
      </c>
      <c r="D875" s="15">
        <v>45309</v>
      </c>
      <c r="E875" s="2">
        <v>0</v>
      </c>
      <c r="F875" s="14" t="s">
        <v>1077</v>
      </c>
      <c r="G875" t="s">
        <v>1078</v>
      </c>
      <c r="H875" s="14" t="s">
        <v>42</v>
      </c>
      <c r="I875" s="2">
        <v>1</v>
      </c>
      <c r="J875" s="2">
        <v>0</v>
      </c>
      <c r="K875" s="2">
        <v>0</v>
      </c>
      <c r="L875" s="2"/>
      <c r="M875" s="2">
        <v>0</v>
      </c>
      <c r="N875" s="14"/>
      <c r="O875" s="14"/>
      <c r="P875" s="2">
        <v>339</v>
      </c>
      <c r="Q875" s="2">
        <v>339</v>
      </c>
      <c r="R875" s="2">
        <v>267.29000000000002</v>
      </c>
      <c r="S875">
        <f t="shared" si="64"/>
        <v>267.29000000000002</v>
      </c>
      <c r="T875" t="s">
        <v>61</v>
      </c>
      <c r="U875" s="1">
        <f t="shared" si="66"/>
        <v>0</v>
      </c>
    </row>
    <row r="876" spans="1:21" hidden="1" x14ac:dyDescent="0.25">
      <c r="A876" s="2">
        <v>39126</v>
      </c>
      <c r="B876" s="13" t="s">
        <v>1445</v>
      </c>
      <c r="C876" s="14" t="s">
        <v>39</v>
      </c>
      <c r="D876" s="15">
        <v>45309</v>
      </c>
      <c r="E876" s="2">
        <v>0</v>
      </c>
      <c r="F876" s="14" t="s">
        <v>1071</v>
      </c>
      <c r="G876" t="s">
        <v>1072</v>
      </c>
      <c r="H876" s="14" t="s">
        <v>42</v>
      </c>
      <c r="I876" s="2">
        <v>1</v>
      </c>
      <c r="J876" s="2">
        <v>0</v>
      </c>
      <c r="K876" s="2">
        <v>0</v>
      </c>
      <c r="L876" s="2"/>
      <c r="M876" s="2">
        <v>0</v>
      </c>
      <c r="N876" s="14"/>
      <c r="O876" s="14"/>
      <c r="P876" s="2">
        <v>40</v>
      </c>
      <c r="Q876" s="2">
        <v>40</v>
      </c>
      <c r="R876" s="2">
        <v>31.89</v>
      </c>
      <c r="S876">
        <f t="shared" si="64"/>
        <v>31.89</v>
      </c>
      <c r="T876" t="s">
        <v>61</v>
      </c>
      <c r="U876" s="1">
        <f t="shared" si="66"/>
        <v>0</v>
      </c>
    </row>
    <row r="877" spans="1:21" hidden="1" x14ac:dyDescent="0.25">
      <c r="A877" s="2">
        <v>39126</v>
      </c>
      <c r="B877" s="13" t="s">
        <v>1445</v>
      </c>
      <c r="C877" s="14" t="s">
        <v>39</v>
      </c>
      <c r="D877" s="15">
        <v>45309</v>
      </c>
      <c r="E877" s="2">
        <v>0</v>
      </c>
      <c r="F877" s="14" t="s">
        <v>1081</v>
      </c>
      <c r="G877" t="s">
        <v>1082</v>
      </c>
      <c r="H877" s="14" t="s">
        <v>42</v>
      </c>
      <c r="I877" s="2">
        <v>1</v>
      </c>
      <c r="J877" s="2">
        <v>0</v>
      </c>
      <c r="K877" s="2">
        <v>0</v>
      </c>
      <c r="L877" s="2"/>
      <c r="M877" s="2">
        <v>0</v>
      </c>
      <c r="N877" s="14"/>
      <c r="O877" s="14"/>
      <c r="P877" s="2">
        <v>4823</v>
      </c>
      <c r="Q877" s="2">
        <v>4823</v>
      </c>
      <c r="R877" s="2">
        <v>4002.43</v>
      </c>
      <c r="S877">
        <f t="shared" si="64"/>
        <v>4002.43</v>
      </c>
      <c r="T877" t="s">
        <v>61</v>
      </c>
      <c r="U877" s="1">
        <f t="shared" si="66"/>
        <v>0</v>
      </c>
    </row>
    <row r="878" spans="1:21" hidden="1" x14ac:dyDescent="0.25">
      <c r="A878" s="2">
        <v>39126</v>
      </c>
      <c r="B878" s="13" t="s">
        <v>1445</v>
      </c>
      <c r="C878" s="14" t="s">
        <v>39</v>
      </c>
      <c r="D878" s="15">
        <v>45309</v>
      </c>
      <c r="E878" s="2">
        <v>0</v>
      </c>
      <c r="F878" s="14" t="s">
        <v>1077</v>
      </c>
      <c r="G878" t="s">
        <v>1078</v>
      </c>
      <c r="H878" s="14" t="s">
        <v>42</v>
      </c>
      <c r="I878" s="2">
        <v>1</v>
      </c>
      <c r="J878" s="2">
        <v>0</v>
      </c>
      <c r="K878" s="2">
        <v>0</v>
      </c>
      <c r="L878" s="2"/>
      <c r="M878" s="2">
        <v>0</v>
      </c>
      <c r="N878" s="14"/>
      <c r="O878" s="14"/>
      <c r="P878" s="2">
        <v>339</v>
      </c>
      <c r="Q878" s="2">
        <v>339</v>
      </c>
      <c r="R878" s="2">
        <v>267.29000000000002</v>
      </c>
      <c r="S878">
        <f t="shared" si="64"/>
        <v>267.29000000000002</v>
      </c>
      <c r="T878" t="s">
        <v>61</v>
      </c>
      <c r="U878" s="1">
        <f t="shared" si="66"/>
        <v>0</v>
      </c>
    </row>
    <row r="879" spans="1:21" hidden="1" x14ac:dyDescent="0.25">
      <c r="A879" s="2">
        <v>39126</v>
      </c>
      <c r="B879" s="13" t="s">
        <v>1445</v>
      </c>
      <c r="C879" s="14" t="s">
        <v>39</v>
      </c>
      <c r="D879" s="15">
        <v>45309</v>
      </c>
      <c r="E879" s="2">
        <v>0</v>
      </c>
      <c r="F879" s="14" t="s">
        <v>1073</v>
      </c>
      <c r="G879" t="s">
        <v>1074</v>
      </c>
      <c r="H879" s="14" t="s">
        <v>42</v>
      </c>
      <c r="I879" s="2">
        <v>1</v>
      </c>
      <c r="J879" s="2">
        <v>0</v>
      </c>
      <c r="K879" s="2">
        <v>0</v>
      </c>
      <c r="L879" s="2"/>
      <c r="M879" s="2">
        <v>0</v>
      </c>
      <c r="N879" s="14"/>
      <c r="O879" s="14"/>
      <c r="P879" s="2">
        <v>44</v>
      </c>
      <c r="Q879" s="2">
        <v>44</v>
      </c>
      <c r="R879" s="2">
        <v>34.99</v>
      </c>
      <c r="S879">
        <f t="shared" si="64"/>
        <v>34.99</v>
      </c>
      <c r="T879" t="s">
        <v>61</v>
      </c>
      <c r="U879" s="1">
        <f t="shared" si="66"/>
        <v>0</v>
      </c>
    </row>
    <row r="880" spans="1:21" hidden="1" x14ac:dyDescent="0.25">
      <c r="A880" s="2">
        <v>39126</v>
      </c>
      <c r="B880" s="13" t="s">
        <v>1445</v>
      </c>
      <c r="C880" s="14" t="s">
        <v>39</v>
      </c>
      <c r="D880" s="15">
        <v>45309</v>
      </c>
      <c r="E880" s="2">
        <v>0</v>
      </c>
      <c r="F880" s="14" t="s">
        <v>1075</v>
      </c>
      <c r="G880" t="s">
        <v>1076</v>
      </c>
      <c r="H880" s="14" t="s">
        <v>42</v>
      </c>
      <c r="I880" s="2">
        <v>1</v>
      </c>
      <c r="J880" s="2">
        <v>0</v>
      </c>
      <c r="K880" s="2">
        <v>0</v>
      </c>
      <c r="L880" s="2"/>
      <c r="M880" s="2">
        <v>0</v>
      </c>
      <c r="N880" s="14"/>
      <c r="O880" s="14"/>
      <c r="P880" s="2">
        <v>17</v>
      </c>
      <c r="Q880" s="2">
        <v>17</v>
      </c>
      <c r="R880" s="2">
        <v>10.24</v>
      </c>
      <c r="S880">
        <f t="shared" si="64"/>
        <v>10.24</v>
      </c>
      <c r="T880" t="s">
        <v>61</v>
      </c>
      <c r="U880" s="1">
        <f t="shared" si="66"/>
        <v>0</v>
      </c>
    </row>
    <row r="881" spans="1:21" hidden="1" x14ac:dyDescent="0.25">
      <c r="A881" s="2">
        <v>39127</v>
      </c>
      <c r="B881" s="13" t="s">
        <v>1446</v>
      </c>
      <c r="C881" s="14" t="s">
        <v>39</v>
      </c>
      <c r="D881" s="15">
        <v>45309</v>
      </c>
      <c r="E881" s="2">
        <v>0</v>
      </c>
      <c r="F881" s="14" t="s">
        <v>1172</v>
      </c>
      <c r="G881" t="s">
        <v>1173</v>
      </c>
      <c r="H881" s="14" t="s">
        <v>42</v>
      </c>
      <c r="I881" s="2">
        <v>1</v>
      </c>
      <c r="J881" s="2">
        <v>0</v>
      </c>
      <c r="K881" s="2">
        <v>0</v>
      </c>
      <c r="L881" s="2"/>
      <c r="M881" s="2">
        <v>0</v>
      </c>
      <c r="N881" s="14"/>
      <c r="O881" s="14"/>
      <c r="P881" s="2">
        <v>239</v>
      </c>
      <c r="Q881" s="2">
        <v>239</v>
      </c>
      <c r="R881" s="2">
        <v>203.99</v>
      </c>
      <c r="S881">
        <f t="shared" si="64"/>
        <v>203.99</v>
      </c>
      <c r="T881" t="s">
        <v>61</v>
      </c>
      <c r="U881" s="1">
        <f t="shared" si="66"/>
        <v>0</v>
      </c>
    </row>
    <row r="882" spans="1:21" hidden="1" x14ac:dyDescent="0.25">
      <c r="A882" s="2">
        <v>39127</v>
      </c>
      <c r="B882" s="13" t="s">
        <v>1446</v>
      </c>
      <c r="C882" s="14" t="s">
        <v>39</v>
      </c>
      <c r="D882" s="15">
        <v>45309</v>
      </c>
      <c r="E882" s="2">
        <v>0</v>
      </c>
      <c r="F882" s="14" t="s">
        <v>1170</v>
      </c>
      <c r="G882" t="s">
        <v>1171</v>
      </c>
      <c r="H882" s="14" t="s">
        <v>42</v>
      </c>
      <c r="I882" s="2">
        <v>1</v>
      </c>
      <c r="J882" s="2">
        <v>0</v>
      </c>
      <c r="K882" s="2">
        <v>0</v>
      </c>
      <c r="L882" s="2"/>
      <c r="M882" s="2">
        <v>0</v>
      </c>
      <c r="N882" s="14"/>
      <c r="O882" s="14"/>
      <c r="P882" s="2">
        <v>1779</v>
      </c>
      <c r="Q882" s="2">
        <v>1779</v>
      </c>
      <c r="R882" s="2">
        <v>1390.86</v>
      </c>
      <c r="S882">
        <f t="shared" si="64"/>
        <v>1390.86</v>
      </c>
      <c r="T882" t="s">
        <v>61</v>
      </c>
      <c r="U882" s="1">
        <f t="shared" si="66"/>
        <v>0</v>
      </c>
    </row>
    <row r="883" spans="1:21" hidden="1" x14ac:dyDescent="0.25">
      <c r="A883" s="2">
        <v>39127</v>
      </c>
      <c r="B883" s="13" t="s">
        <v>1446</v>
      </c>
      <c r="C883" s="14" t="s">
        <v>39</v>
      </c>
      <c r="D883" s="15">
        <v>45309</v>
      </c>
      <c r="E883" s="2">
        <v>0</v>
      </c>
      <c r="F883" s="14" t="s">
        <v>1071</v>
      </c>
      <c r="G883" t="s">
        <v>1072</v>
      </c>
      <c r="H883" s="14" t="s">
        <v>42</v>
      </c>
      <c r="I883" s="2">
        <v>1</v>
      </c>
      <c r="J883" s="2">
        <v>0</v>
      </c>
      <c r="K883" s="2">
        <v>0</v>
      </c>
      <c r="L883" s="2"/>
      <c r="M883" s="2">
        <v>0</v>
      </c>
      <c r="N883" s="14"/>
      <c r="O883" s="14"/>
      <c r="P883" s="2">
        <v>40</v>
      </c>
      <c r="Q883" s="2">
        <v>40</v>
      </c>
      <c r="R883" s="2">
        <v>31.89</v>
      </c>
      <c r="S883">
        <f t="shared" si="64"/>
        <v>31.89</v>
      </c>
      <c r="T883" t="s">
        <v>61</v>
      </c>
      <c r="U883" s="1">
        <f t="shared" si="66"/>
        <v>0</v>
      </c>
    </row>
    <row r="884" spans="1:21" hidden="1" x14ac:dyDescent="0.25">
      <c r="A884" s="2">
        <v>39127</v>
      </c>
      <c r="B884" s="13" t="s">
        <v>1446</v>
      </c>
      <c r="C884" s="14" t="s">
        <v>39</v>
      </c>
      <c r="D884" s="15">
        <v>45309</v>
      </c>
      <c r="E884" s="2">
        <v>0</v>
      </c>
      <c r="F884" s="14" t="s">
        <v>1175</v>
      </c>
      <c r="G884" t="s">
        <v>1176</v>
      </c>
      <c r="H884" s="14" t="s">
        <v>42</v>
      </c>
      <c r="I884" s="2">
        <v>1</v>
      </c>
      <c r="J884" s="2">
        <v>0</v>
      </c>
      <c r="K884" s="2">
        <v>0</v>
      </c>
      <c r="L884" s="2"/>
      <c r="M884" s="2">
        <v>0</v>
      </c>
      <c r="N884" s="14"/>
      <c r="O884" s="14"/>
      <c r="P884" s="2">
        <v>49</v>
      </c>
      <c r="Q884" s="2">
        <v>49</v>
      </c>
      <c r="R884" s="2">
        <v>33.770000000000003</v>
      </c>
      <c r="S884">
        <f t="shared" si="64"/>
        <v>33.770000000000003</v>
      </c>
      <c r="T884" t="s">
        <v>61</v>
      </c>
      <c r="U884" s="1">
        <f t="shared" si="66"/>
        <v>0</v>
      </c>
    </row>
    <row r="885" spans="1:21" hidden="1" x14ac:dyDescent="0.25">
      <c r="A885" s="2">
        <v>39127</v>
      </c>
      <c r="B885" s="13" t="s">
        <v>1446</v>
      </c>
      <c r="C885" s="14" t="s">
        <v>39</v>
      </c>
      <c r="D885" s="15">
        <v>45309</v>
      </c>
      <c r="E885" s="2">
        <v>0</v>
      </c>
      <c r="F885" s="14" t="s">
        <v>1075</v>
      </c>
      <c r="G885" t="s">
        <v>1076</v>
      </c>
      <c r="H885" s="14" t="s">
        <v>42</v>
      </c>
      <c r="I885" s="2">
        <v>1</v>
      </c>
      <c r="J885" s="2">
        <v>0</v>
      </c>
      <c r="K885" s="2">
        <v>0</v>
      </c>
      <c r="L885" s="2"/>
      <c r="M885" s="2">
        <v>0</v>
      </c>
      <c r="N885" s="14"/>
      <c r="O885" s="14"/>
      <c r="P885" s="2">
        <v>17</v>
      </c>
      <c r="Q885" s="2">
        <v>17</v>
      </c>
      <c r="R885" s="2">
        <v>10.24</v>
      </c>
      <c r="S885">
        <f t="shared" si="64"/>
        <v>10.24</v>
      </c>
      <c r="T885" t="s">
        <v>61</v>
      </c>
      <c r="U885" s="1">
        <f t="shared" si="66"/>
        <v>0</v>
      </c>
    </row>
    <row r="886" spans="1:21" hidden="1" x14ac:dyDescent="0.25">
      <c r="A886" s="2">
        <v>39129</v>
      </c>
      <c r="B886" s="13" t="s">
        <v>1447</v>
      </c>
      <c r="C886" s="14" t="s">
        <v>39</v>
      </c>
      <c r="D886" s="15">
        <v>45309</v>
      </c>
      <c r="E886" s="2">
        <v>0</v>
      </c>
      <c r="F886" s="14" t="s">
        <v>600</v>
      </c>
      <c r="G886" t="s">
        <v>601</v>
      </c>
      <c r="H886" s="14" t="s">
        <v>42</v>
      </c>
      <c r="I886" s="2">
        <v>3</v>
      </c>
      <c r="J886" s="2">
        <v>0</v>
      </c>
      <c r="K886" s="2">
        <v>0</v>
      </c>
      <c r="L886" s="2"/>
      <c r="M886" s="2">
        <v>0</v>
      </c>
      <c r="N886" s="14"/>
      <c r="O886" s="14"/>
      <c r="P886" s="2">
        <v>99</v>
      </c>
      <c r="Q886" s="2">
        <v>297</v>
      </c>
      <c r="R886" s="2">
        <v>0</v>
      </c>
      <c r="S886">
        <f t="shared" si="64"/>
        <v>0</v>
      </c>
      <c r="T886" t="s">
        <v>51</v>
      </c>
      <c r="U886" s="1">
        <f t="shared" si="66"/>
        <v>25.245000000000001</v>
      </c>
    </row>
    <row r="887" spans="1:21" hidden="1" x14ac:dyDescent="0.25">
      <c r="A887" s="2">
        <v>39130</v>
      </c>
      <c r="B887" s="13" t="s">
        <v>1448</v>
      </c>
      <c r="C887" s="14" t="s">
        <v>39</v>
      </c>
      <c r="D887" s="15">
        <v>45309</v>
      </c>
      <c r="E887" s="2">
        <v>0</v>
      </c>
      <c r="F887" s="14" t="s">
        <v>1172</v>
      </c>
      <c r="G887" t="s">
        <v>1173</v>
      </c>
      <c r="H887" s="14" t="s">
        <v>42</v>
      </c>
      <c r="I887" s="2">
        <v>1</v>
      </c>
      <c r="J887" s="2">
        <v>0</v>
      </c>
      <c r="K887" s="2">
        <v>0</v>
      </c>
      <c r="L887" s="2"/>
      <c r="M887" s="2">
        <v>0</v>
      </c>
      <c r="N887" s="14"/>
      <c r="O887" s="14"/>
      <c r="P887" s="2">
        <v>239</v>
      </c>
      <c r="Q887" s="2">
        <v>239</v>
      </c>
      <c r="R887" s="2">
        <v>203.99</v>
      </c>
      <c r="S887">
        <f t="shared" si="64"/>
        <v>203.99</v>
      </c>
      <c r="T887" t="s">
        <v>61</v>
      </c>
      <c r="U887" s="1">
        <f t="shared" si="66"/>
        <v>0</v>
      </c>
    </row>
    <row r="888" spans="1:21" hidden="1" x14ac:dyDescent="0.25">
      <c r="A888" s="2">
        <v>39130</v>
      </c>
      <c r="B888" s="13" t="s">
        <v>1448</v>
      </c>
      <c r="C888" s="14" t="s">
        <v>39</v>
      </c>
      <c r="D888" s="15">
        <v>45309</v>
      </c>
      <c r="E888" s="2">
        <v>0</v>
      </c>
      <c r="F888" s="14" t="s">
        <v>1170</v>
      </c>
      <c r="G888" t="s">
        <v>1171</v>
      </c>
      <c r="H888" s="14" t="s">
        <v>42</v>
      </c>
      <c r="I888" s="2">
        <v>1</v>
      </c>
      <c r="J888" s="2">
        <v>0</v>
      </c>
      <c r="K888" s="2">
        <v>0</v>
      </c>
      <c r="L888" s="2"/>
      <c r="M888" s="2">
        <v>0</v>
      </c>
      <c r="N888" s="14"/>
      <c r="O888" s="14"/>
      <c r="P888" s="2">
        <v>1779</v>
      </c>
      <c r="Q888" s="2">
        <v>1779</v>
      </c>
      <c r="R888" s="2">
        <v>1390.86</v>
      </c>
      <c r="S888">
        <f t="shared" si="64"/>
        <v>1390.86</v>
      </c>
      <c r="T888" t="s">
        <v>61</v>
      </c>
      <c r="U888" s="1">
        <f t="shared" si="66"/>
        <v>0</v>
      </c>
    </row>
    <row r="889" spans="1:21" hidden="1" x14ac:dyDescent="0.25">
      <c r="A889" s="2">
        <v>39130</v>
      </c>
      <c r="B889" s="13" t="s">
        <v>1448</v>
      </c>
      <c r="C889" s="14" t="s">
        <v>39</v>
      </c>
      <c r="D889" s="15">
        <v>45309</v>
      </c>
      <c r="E889" s="2">
        <v>0</v>
      </c>
      <c r="F889" s="14" t="s">
        <v>1071</v>
      </c>
      <c r="G889" t="s">
        <v>1072</v>
      </c>
      <c r="H889" s="14" t="s">
        <v>42</v>
      </c>
      <c r="I889" s="2">
        <v>1</v>
      </c>
      <c r="J889" s="2">
        <v>0</v>
      </c>
      <c r="K889" s="2">
        <v>0</v>
      </c>
      <c r="L889" s="2"/>
      <c r="M889" s="2">
        <v>0</v>
      </c>
      <c r="N889" s="14"/>
      <c r="O889" s="14"/>
      <c r="P889" s="2">
        <v>40</v>
      </c>
      <c r="Q889" s="2">
        <v>40</v>
      </c>
      <c r="R889" s="2">
        <v>31.89</v>
      </c>
      <c r="S889">
        <f t="shared" si="64"/>
        <v>31.89</v>
      </c>
      <c r="T889" t="s">
        <v>61</v>
      </c>
      <c r="U889" s="1">
        <f t="shared" si="66"/>
        <v>0</v>
      </c>
    </row>
    <row r="890" spans="1:21" hidden="1" x14ac:dyDescent="0.25">
      <c r="A890" s="2">
        <v>39130</v>
      </c>
      <c r="B890" s="13" t="s">
        <v>1448</v>
      </c>
      <c r="C890" s="14" t="s">
        <v>39</v>
      </c>
      <c r="D890" s="15">
        <v>45309</v>
      </c>
      <c r="E890" s="2">
        <v>0</v>
      </c>
      <c r="F890" s="14" t="s">
        <v>1175</v>
      </c>
      <c r="G890" t="s">
        <v>1176</v>
      </c>
      <c r="H890" s="14" t="s">
        <v>42</v>
      </c>
      <c r="I890" s="2">
        <v>1</v>
      </c>
      <c r="J890" s="2">
        <v>0</v>
      </c>
      <c r="K890" s="2">
        <v>0</v>
      </c>
      <c r="L890" s="2"/>
      <c r="M890" s="2">
        <v>0</v>
      </c>
      <c r="N890" s="14"/>
      <c r="O890" s="14"/>
      <c r="P890" s="2">
        <v>49</v>
      </c>
      <c r="Q890" s="2">
        <v>49</v>
      </c>
      <c r="R890" s="2">
        <v>33.770000000000003</v>
      </c>
      <c r="S890">
        <f t="shared" si="64"/>
        <v>33.770000000000003</v>
      </c>
      <c r="T890" t="s">
        <v>61</v>
      </c>
      <c r="U890" s="1">
        <f t="shared" si="66"/>
        <v>0</v>
      </c>
    </row>
    <row r="891" spans="1:21" hidden="1" x14ac:dyDescent="0.25">
      <c r="A891" s="2">
        <v>39130</v>
      </c>
      <c r="B891" s="13" t="s">
        <v>1448</v>
      </c>
      <c r="C891" s="14" t="s">
        <v>39</v>
      </c>
      <c r="D891" s="15">
        <v>45309</v>
      </c>
      <c r="E891" s="2">
        <v>0</v>
      </c>
      <c r="F891" s="14" t="s">
        <v>1075</v>
      </c>
      <c r="G891" t="s">
        <v>1076</v>
      </c>
      <c r="H891" s="14" t="s">
        <v>42</v>
      </c>
      <c r="I891" s="2">
        <v>1</v>
      </c>
      <c r="J891" s="2">
        <v>0</v>
      </c>
      <c r="K891" s="2">
        <v>0</v>
      </c>
      <c r="L891" s="2"/>
      <c r="M891" s="2">
        <v>0</v>
      </c>
      <c r="N891" s="14"/>
      <c r="O891" s="14"/>
      <c r="P891" s="2">
        <v>17</v>
      </c>
      <c r="Q891" s="2">
        <v>17</v>
      </c>
      <c r="R891" s="2">
        <v>10.24</v>
      </c>
      <c r="S891">
        <f t="shared" si="64"/>
        <v>10.24</v>
      </c>
      <c r="T891" t="s">
        <v>61</v>
      </c>
      <c r="U891" s="1">
        <f t="shared" si="66"/>
        <v>0</v>
      </c>
    </row>
    <row r="892" spans="1:21" hidden="1" x14ac:dyDescent="0.25">
      <c r="A892" s="2">
        <v>39130</v>
      </c>
      <c r="B892" s="13" t="s">
        <v>1448</v>
      </c>
      <c r="C892" s="14" t="s">
        <v>39</v>
      </c>
      <c r="D892" s="15">
        <v>45309</v>
      </c>
      <c r="E892" s="2">
        <v>0</v>
      </c>
      <c r="F892" s="14" t="s">
        <v>1177</v>
      </c>
      <c r="G892" t="s">
        <v>1178</v>
      </c>
      <c r="H892" s="14" t="s">
        <v>42</v>
      </c>
      <c r="I892" s="2">
        <v>2</v>
      </c>
      <c r="J892" s="2">
        <v>0</v>
      </c>
      <c r="K892" s="2">
        <v>0</v>
      </c>
      <c r="L892" s="2"/>
      <c r="M892" s="2">
        <v>0</v>
      </c>
      <c r="N892" s="14"/>
      <c r="O892" s="14"/>
      <c r="P892" s="2">
        <v>189</v>
      </c>
      <c r="Q892" s="2">
        <v>378</v>
      </c>
      <c r="R892" s="2">
        <v>107.74</v>
      </c>
      <c r="S892">
        <f t="shared" si="64"/>
        <v>215.48</v>
      </c>
      <c r="T892" t="s">
        <v>61</v>
      </c>
      <c r="U892" s="1">
        <f t="shared" si="66"/>
        <v>0</v>
      </c>
    </row>
    <row r="893" spans="1:21" hidden="1" x14ac:dyDescent="0.25">
      <c r="A893" s="2">
        <v>39130</v>
      </c>
      <c r="B893" s="13" t="s">
        <v>1448</v>
      </c>
      <c r="C893" s="14" t="s">
        <v>39</v>
      </c>
      <c r="D893" s="15">
        <v>45309</v>
      </c>
      <c r="E893" s="2">
        <v>0</v>
      </c>
      <c r="F893" s="14" t="s">
        <v>1079</v>
      </c>
      <c r="G893" t="s">
        <v>1080</v>
      </c>
      <c r="H893" s="14" t="s">
        <v>42</v>
      </c>
      <c r="I893" s="2">
        <v>1</v>
      </c>
      <c r="J893" s="2">
        <v>0</v>
      </c>
      <c r="K893" s="2">
        <v>0</v>
      </c>
      <c r="L893" s="2"/>
      <c r="M893" s="2">
        <v>0</v>
      </c>
      <c r="N893" s="14"/>
      <c r="O893" s="14"/>
      <c r="P893" s="2">
        <v>309</v>
      </c>
      <c r="Q893" s="2">
        <v>309</v>
      </c>
      <c r="R893" s="2">
        <v>189.95</v>
      </c>
      <c r="S893">
        <f t="shared" si="64"/>
        <v>189.95</v>
      </c>
      <c r="T893" t="s">
        <v>61</v>
      </c>
      <c r="U893" s="1">
        <f t="shared" si="66"/>
        <v>0</v>
      </c>
    </row>
    <row r="894" spans="1:21" hidden="1" x14ac:dyDescent="0.25">
      <c r="A894" s="2">
        <v>39132</v>
      </c>
      <c r="B894" s="13" t="s">
        <v>1449</v>
      </c>
      <c r="C894" s="14" t="s">
        <v>39</v>
      </c>
      <c r="D894" s="15">
        <v>45309</v>
      </c>
      <c r="E894" s="2">
        <v>0</v>
      </c>
      <c r="F894" s="14" t="s">
        <v>1170</v>
      </c>
      <c r="G894" t="s">
        <v>1171</v>
      </c>
      <c r="H894" s="14" t="s">
        <v>42</v>
      </c>
      <c r="I894" s="2">
        <v>1</v>
      </c>
      <c r="J894" s="2">
        <v>0</v>
      </c>
      <c r="K894" s="2">
        <v>0</v>
      </c>
      <c r="L894" s="2"/>
      <c r="M894" s="2">
        <v>0</v>
      </c>
      <c r="N894" s="14"/>
      <c r="O894" s="14"/>
      <c r="P894" s="2">
        <v>1779</v>
      </c>
      <c r="Q894" s="2">
        <v>1779</v>
      </c>
      <c r="R894" s="2">
        <v>1390.86</v>
      </c>
      <c r="S894">
        <f t="shared" si="64"/>
        <v>1390.86</v>
      </c>
      <c r="T894" t="s">
        <v>61</v>
      </c>
      <c r="U894" s="1">
        <f t="shared" si="66"/>
        <v>0</v>
      </c>
    </row>
    <row r="895" spans="1:21" hidden="1" x14ac:dyDescent="0.25">
      <c r="A895" s="2">
        <v>39132</v>
      </c>
      <c r="B895" s="13" t="s">
        <v>1449</v>
      </c>
      <c r="C895" s="14" t="s">
        <v>39</v>
      </c>
      <c r="D895" s="15">
        <v>45309</v>
      </c>
      <c r="E895" s="2">
        <v>0</v>
      </c>
      <c r="F895" s="14" t="s">
        <v>1172</v>
      </c>
      <c r="G895" t="s">
        <v>1173</v>
      </c>
      <c r="H895" s="14" t="s">
        <v>42</v>
      </c>
      <c r="I895" s="2">
        <v>1</v>
      </c>
      <c r="J895" s="2">
        <v>0</v>
      </c>
      <c r="K895" s="2">
        <v>0</v>
      </c>
      <c r="L895" s="2"/>
      <c r="M895" s="2">
        <v>0</v>
      </c>
      <c r="N895" s="14"/>
      <c r="O895" s="14"/>
      <c r="P895" s="2">
        <v>239</v>
      </c>
      <c r="Q895" s="2">
        <v>239</v>
      </c>
      <c r="R895" s="2">
        <v>203.99</v>
      </c>
      <c r="S895">
        <f t="shared" si="64"/>
        <v>203.99</v>
      </c>
      <c r="T895" t="s">
        <v>61</v>
      </c>
      <c r="U895" s="1">
        <f t="shared" si="66"/>
        <v>0</v>
      </c>
    </row>
    <row r="896" spans="1:21" hidden="1" x14ac:dyDescent="0.25">
      <c r="A896" s="2">
        <v>39132</v>
      </c>
      <c r="B896" s="13" t="s">
        <v>1449</v>
      </c>
      <c r="C896" s="14" t="s">
        <v>39</v>
      </c>
      <c r="D896" s="15">
        <v>45309</v>
      </c>
      <c r="E896" s="2">
        <v>0</v>
      </c>
      <c r="F896" s="14" t="s">
        <v>1071</v>
      </c>
      <c r="G896" t="s">
        <v>1072</v>
      </c>
      <c r="H896" s="14" t="s">
        <v>42</v>
      </c>
      <c r="I896" s="2">
        <v>1</v>
      </c>
      <c r="J896" s="2">
        <v>0</v>
      </c>
      <c r="K896" s="2">
        <v>0</v>
      </c>
      <c r="L896" s="2"/>
      <c r="M896" s="2">
        <v>0</v>
      </c>
      <c r="N896" s="14"/>
      <c r="O896" s="14"/>
      <c r="P896" s="2">
        <v>40</v>
      </c>
      <c r="Q896" s="2">
        <v>40</v>
      </c>
      <c r="R896" s="2">
        <v>31.89</v>
      </c>
      <c r="S896">
        <f t="shared" si="64"/>
        <v>31.89</v>
      </c>
      <c r="T896" t="s">
        <v>61</v>
      </c>
      <c r="U896" s="1">
        <f t="shared" si="66"/>
        <v>0</v>
      </c>
    </row>
    <row r="897" spans="1:21" hidden="1" x14ac:dyDescent="0.25">
      <c r="A897" s="2">
        <v>39132</v>
      </c>
      <c r="B897" s="13" t="s">
        <v>1449</v>
      </c>
      <c r="C897" s="14" t="s">
        <v>39</v>
      </c>
      <c r="D897" s="15">
        <v>45309</v>
      </c>
      <c r="E897" s="2">
        <v>0</v>
      </c>
      <c r="F897" s="14" t="s">
        <v>1175</v>
      </c>
      <c r="G897" t="s">
        <v>1176</v>
      </c>
      <c r="H897" s="14" t="s">
        <v>42</v>
      </c>
      <c r="I897" s="2">
        <v>1</v>
      </c>
      <c r="J897" s="2">
        <v>0</v>
      </c>
      <c r="K897" s="2">
        <v>0</v>
      </c>
      <c r="L897" s="2"/>
      <c r="M897" s="2">
        <v>0</v>
      </c>
      <c r="N897" s="14"/>
      <c r="O897" s="14"/>
      <c r="P897" s="2">
        <v>49</v>
      </c>
      <c r="Q897" s="2">
        <v>49</v>
      </c>
      <c r="R897" s="2">
        <v>33.770000000000003</v>
      </c>
      <c r="S897">
        <f t="shared" si="64"/>
        <v>33.770000000000003</v>
      </c>
      <c r="T897" t="s">
        <v>61</v>
      </c>
      <c r="U897" s="1">
        <f t="shared" si="66"/>
        <v>0</v>
      </c>
    </row>
    <row r="898" spans="1:21" hidden="1" x14ac:dyDescent="0.25">
      <c r="A898" s="2">
        <v>39132</v>
      </c>
      <c r="B898" s="13" t="s">
        <v>1449</v>
      </c>
      <c r="C898" s="14" t="s">
        <v>39</v>
      </c>
      <c r="D898" s="15">
        <v>45309</v>
      </c>
      <c r="E898" s="2">
        <v>0</v>
      </c>
      <c r="F898" s="14" t="s">
        <v>1075</v>
      </c>
      <c r="G898" t="s">
        <v>1076</v>
      </c>
      <c r="H898" s="14" t="s">
        <v>42</v>
      </c>
      <c r="I898" s="2">
        <v>1</v>
      </c>
      <c r="J898" s="2">
        <v>0</v>
      </c>
      <c r="K898" s="2">
        <v>0</v>
      </c>
      <c r="L898" s="2"/>
      <c r="M898" s="2">
        <v>0</v>
      </c>
      <c r="N898" s="14"/>
      <c r="O898" s="14"/>
      <c r="P898" s="2">
        <v>17</v>
      </c>
      <c r="Q898" s="2">
        <v>17</v>
      </c>
      <c r="R898" s="2">
        <v>10.24</v>
      </c>
      <c r="S898">
        <f t="shared" ref="S898:S961" si="67">R898*I898</f>
        <v>10.24</v>
      </c>
      <c r="T898" t="s">
        <v>61</v>
      </c>
      <c r="U898" s="1">
        <f t="shared" si="66"/>
        <v>0</v>
      </c>
    </row>
    <row r="899" spans="1:21" hidden="1" x14ac:dyDescent="0.25">
      <c r="A899" s="2">
        <v>39133</v>
      </c>
      <c r="B899" s="13" t="s">
        <v>1450</v>
      </c>
      <c r="C899" s="14" t="s">
        <v>39</v>
      </c>
      <c r="D899" s="15">
        <v>45320</v>
      </c>
      <c r="E899" s="2">
        <v>0</v>
      </c>
      <c r="F899" s="14" t="s">
        <v>1451</v>
      </c>
      <c r="G899" t="s">
        <v>1452</v>
      </c>
      <c r="H899" s="14" t="s">
        <v>42</v>
      </c>
      <c r="I899" s="2">
        <v>1</v>
      </c>
      <c r="J899" s="2">
        <v>0</v>
      </c>
      <c r="K899" s="2">
        <v>0</v>
      </c>
      <c r="L899" s="2"/>
      <c r="M899" s="2">
        <v>0</v>
      </c>
      <c r="N899" s="14"/>
      <c r="O899" s="14"/>
      <c r="P899" s="2">
        <v>21</v>
      </c>
      <c r="Q899" s="2">
        <v>21</v>
      </c>
      <c r="R899" s="2">
        <v>15.77</v>
      </c>
      <c r="S899">
        <f t="shared" si="67"/>
        <v>15.77</v>
      </c>
      <c r="T899" t="s">
        <v>140</v>
      </c>
      <c r="U899" s="1">
        <f t="shared" si="66"/>
        <v>0.41840000000000005</v>
      </c>
    </row>
    <row r="900" spans="1:21" hidden="1" x14ac:dyDescent="0.25">
      <c r="A900" s="2">
        <v>39133</v>
      </c>
      <c r="B900" s="13" t="s">
        <v>1450</v>
      </c>
      <c r="C900" s="14" t="s">
        <v>39</v>
      </c>
      <c r="D900" s="15">
        <v>45320</v>
      </c>
      <c r="E900" s="2">
        <v>0</v>
      </c>
      <c r="F900" s="14" t="s">
        <v>1453</v>
      </c>
      <c r="G900" t="s">
        <v>1454</v>
      </c>
      <c r="H900" s="14" t="s">
        <v>42</v>
      </c>
      <c r="I900" s="2">
        <v>2</v>
      </c>
      <c r="J900" s="2">
        <v>0</v>
      </c>
      <c r="K900" s="2">
        <v>0</v>
      </c>
      <c r="L900" s="2"/>
      <c r="M900" s="2">
        <v>0</v>
      </c>
      <c r="N900" s="14"/>
      <c r="O900" s="14"/>
      <c r="P900" s="2">
        <v>25</v>
      </c>
      <c r="Q900" s="2">
        <v>50</v>
      </c>
      <c r="R900" s="2">
        <v>18.96</v>
      </c>
      <c r="S900">
        <f t="shared" si="67"/>
        <v>37.92</v>
      </c>
      <c r="T900" t="s">
        <v>140</v>
      </c>
      <c r="U900" s="1">
        <f t="shared" si="66"/>
        <v>0.96639999999999993</v>
      </c>
    </row>
    <row r="901" spans="1:21" hidden="1" x14ac:dyDescent="0.25">
      <c r="A901" s="2">
        <v>39134</v>
      </c>
      <c r="B901" s="13" t="s">
        <v>1455</v>
      </c>
      <c r="C901" s="14" t="s">
        <v>39</v>
      </c>
      <c r="D901" s="15">
        <v>45309</v>
      </c>
      <c r="E901" s="2">
        <v>0</v>
      </c>
      <c r="F901" s="14" t="s">
        <v>1170</v>
      </c>
      <c r="G901" t="s">
        <v>1171</v>
      </c>
      <c r="H901" s="14" t="s">
        <v>42</v>
      </c>
      <c r="I901" s="2">
        <v>1</v>
      </c>
      <c r="J901" s="2">
        <v>0</v>
      </c>
      <c r="K901" s="2">
        <v>0</v>
      </c>
      <c r="L901" s="2"/>
      <c r="M901" s="2">
        <v>0</v>
      </c>
      <c r="N901" s="14"/>
      <c r="O901" s="14"/>
      <c r="P901" s="2">
        <v>1779</v>
      </c>
      <c r="Q901" s="2">
        <v>1779</v>
      </c>
      <c r="R901" s="2">
        <v>1390.86</v>
      </c>
      <c r="S901">
        <f t="shared" si="67"/>
        <v>1390.86</v>
      </c>
      <c r="T901" t="s">
        <v>61</v>
      </c>
      <c r="U901" s="1">
        <f t="shared" si="66"/>
        <v>0</v>
      </c>
    </row>
    <row r="902" spans="1:21" hidden="1" x14ac:dyDescent="0.25">
      <c r="A902" s="2">
        <v>39134</v>
      </c>
      <c r="B902" s="13" t="s">
        <v>1455</v>
      </c>
      <c r="C902" s="14" t="s">
        <v>39</v>
      </c>
      <c r="D902" s="15">
        <v>45309</v>
      </c>
      <c r="E902" s="2">
        <v>0</v>
      </c>
      <c r="F902" s="14" t="s">
        <v>1172</v>
      </c>
      <c r="G902" t="s">
        <v>1173</v>
      </c>
      <c r="H902" s="14" t="s">
        <v>42</v>
      </c>
      <c r="I902" s="2">
        <v>1</v>
      </c>
      <c r="J902" s="2">
        <v>0</v>
      </c>
      <c r="K902" s="2">
        <v>0</v>
      </c>
      <c r="L902" s="2"/>
      <c r="M902" s="2">
        <v>0</v>
      </c>
      <c r="N902" s="14"/>
      <c r="O902" s="14"/>
      <c r="P902" s="2">
        <v>239</v>
      </c>
      <c r="Q902" s="2">
        <v>239</v>
      </c>
      <c r="R902" s="2">
        <v>203.99</v>
      </c>
      <c r="S902">
        <f t="shared" si="67"/>
        <v>203.99</v>
      </c>
      <c r="T902" t="s">
        <v>61</v>
      </c>
      <c r="U902" s="1">
        <f t="shared" ref="U902:U910" si="68">_xlfn.XLOOKUP(T902,$Y$2:$Y$45,$AA$2:$AA$45)*(Q902-S902)</f>
        <v>0</v>
      </c>
    </row>
    <row r="903" spans="1:21" hidden="1" x14ac:dyDescent="0.25">
      <c r="A903" s="2">
        <v>39134</v>
      </c>
      <c r="B903" s="13" t="s">
        <v>1455</v>
      </c>
      <c r="C903" s="14" t="s">
        <v>39</v>
      </c>
      <c r="D903" s="15">
        <v>45309</v>
      </c>
      <c r="E903" s="2">
        <v>0</v>
      </c>
      <c r="F903" s="14" t="s">
        <v>1071</v>
      </c>
      <c r="G903" t="s">
        <v>1072</v>
      </c>
      <c r="H903" s="14" t="s">
        <v>42</v>
      </c>
      <c r="I903" s="2">
        <v>1</v>
      </c>
      <c r="J903" s="2">
        <v>0</v>
      </c>
      <c r="K903" s="2">
        <v>0</v>
      </c>
      <c r="L903" s="2"/>
      <c r="M903" s="2">
        <v>0</v>
      </c>
      <c r="N903" s="14"/>
      <c r="O903" s="14"/>
      <c r="P903" s="2">
        <v>40</v>
      </c>
      <c r="Q903" s="2">
        <v>40</v>
      </c>
      <c r="R903" s="2">
        <v>31.89</v>
      </c>
      <c r="S903">
        <f t="shared" si="67"/>
        <v>31.89</v>
      </c>
      <c r="T903" t="s">
        <v>61</v>
      </c>
      <c r="U903" s="1">
        <f t="shared" si="68"/>
        <v>0</v>
      </c>
    </row>
    <row r="904" spans="1:21" hidden="1" x14ac:dyDescent="0.25">
      <c r="A904" s="2">
        <v>39134</v>
      </c>
      <c r="B904" s="13" t="s">
        <v>1455</v>
      </c>
      <c r="C904" s="14" t="s">
        <v>39</v>
      </c>
      <c r="D904" s="15">
        <v>45309</v>
      </c>
      <c r="E904" s="2">
        <v>0</v>
      </c>
      <c r="F904" s="14" t="s">
        <v>1175</v>
      </c>
      <c r="G904" t="s">
        <v>1176</v>
      </c>
      <c r="H904" s="14" t="s">
        <v>42</v>
      </c>
      <c r="I904" s="2">
        <v>1</v>
      </c>
      <c r="J904" s="2">
        <v>0</v>
      </c>
      <c r="K904" s="2">
        <v>0</v>
      </c>
      <c r="L904" s="2"/>
      <c r="M904" s="2">
        <v>0</v>
      </c>
      <c r="N904" s="14"/>
      <c r="O904" s="14"/>
      <c r="P904" s="2">
        <v>49</v>
      </c>
      <c r="Q904" s="2">
        <v>49</v>
      </c>
      <c r="R904" s="2">
        <v>33.770000000000003</v>
      </c>
      <c r="S904">
        <f t="shared" si="67"/>
        <v>33.770000000000003</v>
      </c>
      <c r="T904" t="s">
        <v>61</v>
      </c>
      <c r="U904" s="1">
        <f t="shared" si="68"/>
        <v>0</v>
      </c>
    </row>
    <row r="905" spans="1:21" hidden="1" x14ac:dyDescent="0.25">
      <c r="A905" s="2">
        <v>39134</v>
      </c>
      <c r="B905" s="13" t="s">
        <v>1455</v>
      </c>
      <c r="C905" s="14" t="s">
        <v>39</v>
      </c>
      <c r="D905" s="15">
        <v>45309</v>
      </c>
      <c r="E905" s="2">
        <v>0</v>
      </c>
      <c r="F905" s="14" t="s">
        <v>1075</v>
      </c>
      <c r="G905" t="s">
        <v>1076</v>
      </c>
      <c r="H905" s="14" t="s">
        <v>42</v>
      </c>
      <c r="I905" s="2">
        <v>1</v>
      </c>
      <c r="J905" s="2">
        <v>0</v>
      </c>
      <c r="K905" s="2">
        <v>0</v>
      </c>
      <c r="L905" s="2"/>
      <c r="M905" s="2">
        <v>0</v>
      </c>
      <c r="N905" s="14"/>
      <c r="O905" s="14"/>
      <c r="P905" s="2">
        <v>17</v>
      </c>
      <c r="Q905" s="2">
        <v>17</v>
      </c>
      <c r="R905" s="2">
        <v>10.24</v>
      </c>
      <c r="S905">
        <f t="shared" si="67"/>
        <v>10.24</v>
      </c>
      <c r="T905" t="s">
        <v>61</v>
      </c>
      <c r="U905" s="1">
        <f t="shared" si="68"/>
        <v>0</v>
      </c>
    </row>
    <row r="906" spans="1:21" hidden="1" x14ac:dyDescent="0.25">
      <c r="A906" s="2">
        <v>39135</v>
      </c>
      <c r="B906" s="13" t="s">
        <v>1456</v>
      </c>
      <c r="C906" s="14" t="s">
        <v>39</v>
      </c>
      <c r="D906" s="15">
        <v>45310</v>
      </c>
      <c r="E906" s="2">
        <v>0</v>
      </c>
      <c r="F906" s="14" t="s">
        <v>1081</v>
      </c>
      <c r="G906" t="s">
        <v>1082</v>
      </c>
      <c r="H906" s="14" t="s">
        <v>42</v>
      </c>
      <c r="I906" s="2">
        <v>1</v>
      </c>
      <c r="J906" s="2">
        <v>0</v>
      </c>
      <c r="K906" s="2">
        <v>0</v>
      </c>
      <c r="L906" s="2"/>
      <c r="M906" s="2">
        <v>0</v>
      </c>
      <c r="N906" s="14"/>
      <c r="O906" s="14"/>
      <c r="P906" s="2">
        <v>4823</v>
      </c>
      <c r="Q906" s="2">
        <v>4823</v>
      </c>
      <c r="R906" s="2">
        <v>4002.43</v>
      </c>
      <c r="S906">
        <f t="shared" si="67"/>
        <v>4002.43</v>
      </c>
      <c r="T906" t="s">
        <v>61</v>
      </c>
      <c r="U906" s="1">
        <f t="shared" si="68"/>
        <v>0</v>
      </c>
    </row>
    <row r="907" spans="1:21" hidden="1" x14ac:dyDescent="0.25">
      <c r="A907" s="2">
        <v>39135</v>
      </c>
      <c r="B907" s="13" t="s">
        <v>1456</v>
      </c>
      <c r="C907" s="14" t="s">
        <v>39</v>
      </c>
      <c r="D907" s="15">
        <v>45310</v>
      </c>
      <c r="E907" s="2">
        <v>0</v>
      </c>
      <c r="F907" s="14" t="s">
        <v>1077</v>
      </c>
      <c r="G907" t="s">
        <v>1078</v>
      </c>
      <c r="H907" s="14" t="s">
        <v>42</v>
      </c>
      <c r="I907" s="2">
        <v>1</v>
      </c>
      <c r="J907" s="2">
        <v>0</v>
      </c>
      <c r="K907" s="2">
        <v>0</v>
      </c>
      <c r="L907" s="2"/>
      <c r="M907" s="2">
        <v>0</v>
      </c>
      <c r="N907" s="14"/>
      <c r="O907" s="14"/>
      <c r="P907" s="2">
        <v>339</v>
      </c>
      <c r="Q907" s="2">
        <v>339</v>
      </c>
      <c r="R907" s="2">
        <v>267.29000000000002</v>
      </c>
      <c r="S907">
        <f t="shared" si="67"/>
        <v>267.29000000000002</v>
      </c>
      <c r="T907" t="s">
        <v>61</v>
      </c>
      <c r="U907" s="1">
        <f t="shared" si="68"/>
        <v>0</v>
      </c>
    </row>
    <row r="908" spans="1:21" hidden="1" x14ac:dyDescent="0.25">
      <c r="A908" s="2">
        <v>39135</v>
      </c>
      <c r="B908" s="13" t="s">
        <v>1456</v>
      </c>
      <c r="C908" s="14" t="s">
        <v>39</v>
      </c>
      <c r="D908" s="15">
        <v>45310</v>
      </c>
      <c r="E908" s="2">
        <v>0</v>
      </c>
      <c r="F908" s="14" t="s">
        <v>1071</v>
      </c>
      <c r="G908" t="s">
        <v>1072</v>
      </c>
      <c r="H908" s="14" t="s">
        <v>42</v>
      </c>
      <c r="I908" s="2">
        <v>1</v>
      </c>
      <c r="J908" s="2">
        <v>0</v>
      </c>
      <c r="K908" s="2">
        <v>0</v>
      </c>
      <c r="L908" s="2"/>
      <c r="M908" s="2">
        <v>0</v>
      </c>
      <c r="N908" s="14"/>
      <c r="O908" s="14"/>
      <c r="P908" s="2">
        <v>40</v>
      </c>
      <c r="Q908" s="2">
        <v>40</v>
      </c>
      <c r="R908" s="2">
        <v>31.89</v>
      </c>
      <c r="S908">
        <f t="shared" si="67"/>
        <v>31.89</v>
      </c>
      <c r="T908" t="s">
        <v>61</v>
      </c>
      <c r="U908" s="1">
        <f t="shared" si="68"/>
        <v>0</v>
      </c>
    </row>
    <row r="909" spans="1:21" hidden="1" x14ac:dyDescent="0.25">
      <c r="A909" s="2">
        <v>39135</v>
      </c>
      <c r="B909" s="13" t="s">
        <v>1456</v>
      </c>
      <c r="C909" s="14" t="s">
        <v>39</v>
      </c>
      <c r="D909" s="15">
        <v>45310</v>
      </c>
      <c r="E909" s="2">
        <v>0</v>
      </c>
      <c r="F909" s="14" t="s">
        <v>1073</v>
      </c>
      <c r="G909" t="s">
        <v>1074</v>
      </c>
      <c r="H909" s="14" t="s">
        <v>42</v>
      </c>
      <c r="I909" s="2">
        <v>1</v>
      </c>
      <c r="J909" s="2">
        <v>0</v>
      </c>
      <c r="K909" s="2">
        <v>0</v>
      </c>
      <c r="L909" s="2"/>
      <c r="M909" s="2">
        <v>0</v>
      </c>
      <c r="N909" s="14"/>
      <c r="O909" s="14"/>
      <c r="P909" s="2">
        <v>44</v>
      </c>
      <c r="Q909" s="2">
        <v>44</v>
      </c>
      <c r="R909" s="2">
        <v>34.99</v>
      </c>
      <c r="S909">
        <f t="shared" si="67"/>
        <v>34.99</v>
      </c>
      <c r="T909" t="s">
        <v>61</v>
      </c>
      <c r="U909" s="1">
        <f t="shared" si="68"/>
        <v>0</v>
      </c>
    </row>
    <row r="910" spans="1:21" hidden="1" x14ac:dyDescent="0.25">
      <c r="A910" s="2">
        <v>39135</v>
      </c>
      <c r="B910" s="13" t="s">
        <v>1456</v>
      </c>
      <c r="C910" s="14" t="s">
        <v>39</v>
      </c>
      <c r="D910" s="15">
        <v>45310</v>
      </c>
      <c r="E910" s="2">
        <v>0</v>
      </c>
      <c r="F910" s="14" t="s">
        <v>1075</v>
      </c>
      <c r="G910" t="s">
        <v>1076</v>
      </c>
      <c r="H910" s="14" t="s">
        <v>42</v>
      </c>
      <c r="I910" s="2">
        <v>1</v>
      </c>
      <c r="J910" s="2">
        <v>0</v>
      </c>
      <c r="K910" s="2">
        <v>0</v>
      </c>
      <c r="L910" s="2"/>
      <c r="M910" s="2">
        <v>0</v>
      </c>
      <c r="N910" s="14"/>
      <c r="O910" s="14"/>
      <c r="P910" s="2">
        <v>17</v>
      </c>
      <c r="Q910" s="2">
        <v>17</v>
      </c>
      <c r="R910" s="2">
        <v>10.24</v>
      </c>
      <c r="S910">
        <f t="shared" si="67"/>
        <v>10.24</v>
      </c>
      <c r="T910" t="s">
        <v>61</v>
      </c>
      <c r="U910" s="1">
        <f t="shared" si="68"/>
        <v>0</v>
      </c>
    </row>
    <row r="911" spans="1:21" x14ac:dyDescent="0.25">
      <c r="A911" s="2">
        <v>39136</v>
      </c>
      <c r="B911" s="13" t="s">
        <v>1457</v>
      </c>
      <c r="C911" s="14" t="s">
        <v>39</v>
      </c>
      <c r="D911" s="15">
        <v>45321</v>
      </c>
      <c r="E911" s="2">
        <v>0</v>
      </c>
      <c r="F911" s="14" t="s">
        <v>1016</v>
      </c>
      <c r="G911" t="s">
        <v>1017</v>
      </c>
      <c r="H911" s="14" t="s">
        <v>93</v>
      </c>
      <c r="I911" s="2">
        <v>40</v>
      </c>
      <c r="J911" s="2">
        <v>0</v>
      </c>
      <c r="K911" s="2">
        <v>0</v>
      </c>
      <c r="L911" s="2"/>
      <c r="M911" s="2">
        <v>0</v>
      </c>
      <c r="N911" s="14"/>
      <c r="O911" s="14"/>
      <c r="P911" s="2">
        <v>225</v>
      </c>
      <c r="Q911" s="2">
        <v>9000</v>
      </c>
      <c r="R911" s="2">
        <v>0</v>
      </c>
      <c r="S911">
        <f t="shared" si="67"/>
        <v>0</v>
      </c>
      <c r="T911" t="s">
        <v>1874</v>
      </c>
      <c r="U911">
        <f>_xlfn.XLOOKUP(T911,$Y$2:$Y$45,$AB$2:$AB$45)*(Q911)</f>
        <v>360</v>
      </c>
    </row>
    <row r="912" spans="1:21" x14ac:dyDescent="0.25">
      <c r="A912" s="2">
        <v>39137</v>
      </c>
      <c r="B912" s="13" t="s">
        <v>1458</v>
      </c>
      <c r="C912" s="14" t="s">
        <v>39</v>
      </c>
      <c r="D912" s="15">
        <v>45310</v>
      </c>
      <c r="E912" s="2">
        <v>0</v>
      </c>
      <c r="F912" s="14" t="s">
        <v>295</v>
      </c>
      <c r="G912" t="s">
        <v>1459</v>
      </c>
      <c r="H912" s="14" t="s">
        <v>93</v>
      </c>
      <c r="I912" s="2">
        <v>1</v>
      </c>
      <c r="J912" s="2">
        <v>0</v>
      </c>
      <c r="K912" s="2">
        <v>0</v>
      </c>
      <c r="L912" s="2"/>
      <c r="M912" s="2">
        <v>0</v>
      </c>
      <c r="N912" s="14"/>
      <c r="O912" s="14"/>
      <c r="P912" s="2">
        <v>1663</v>
      </c>
      <c r="Q912" s="2">
        <v>1663</v>
      </c>
      <c r="R912" s="2">
        <v>1330</v>
      </c>
      <c r="S912">
        <f t="shared" si="67"/>
        <v>1330</v>
      </c>
      <c r="T912" t="s">
        <v>150</v>
      </c>
      <c r="U912">
        <f>_xlfn.XLOOKUP(T912,$Y$2:$Y$45,$AB$2:$AB$45)*(Q912)</f>
        <v>66.52</v>
      </c>
    </row>
    <row r="913" spans="1:21" hidden="1" x14ac:dyDescent="0.25">
      <c r="A913" s="2">
        <v>39140</v>
      </c>
      <c r="B913" s="13" t="s">
        <v>1460</v>
      </c>
      <c r="C913" s="14" t="s">
        <v>39</v>
      </c>
      <c r="D913" s="15">
        <v>45321</v>
      </c>
      <c r="E913" s="2">
        <v>35</v>
      </c>
      <c r="F913" s="14" t="s">
        <v>584</v>
      </c>
      <c r="G913" t="s">
        <v>585</v>
      </c>
      <c r="H913" s="14" t="s">
        <v>508</v>
      </c>
      <c r="I913" s="2">
        <v>1</v>
      </c>
      <c r="J913" s="2">
        <v>35</v>
      </c>
      <c r="K913" s="2">
        <v>70</v>
      </c>
      <c r="L913" s="2"/>
      <c r="M913" s="2">
        <v>35</v>
      </c>
      <c r="N913" s="14"/>
      <c r="O913" s="14"/>
      <c r="P913" s="2">
        <v>35</v>
      </c>
      <c r="Q913" s="2">
        <v>35</v>
      </c>
      <c r="R913" s="2">
        <v>0</v>
      </c>
      <c r="S913">
        <f t="shared" si="67"/>
        <v>0</v>
      </c>
      <c r="T913" t="s">
        <v>47</v>
      </c>
      <c r="U913">
        <f>_xlfn.XLOOKUP(T913,$Y$2:$Y$45,$AB$2:$AB$45)*(Q913)</f>
        <v>1.4000000000000001</v>
      </c>
    </row>
    <row r="914" spans="1:21" hidden="1" x14ac:dyDescent="0.25">
      <c r="A914" s="2">
        <v>39144</v>
      </c>
      <c r="B914" s="13" t="s">
        <v>1461</v>
      </c>
      <c r="C914" s="14" t="s">
        <v>39</v>
      </c>
      <c r="D914" s="15">
        <v>45322</v>
      </c>
      <c r="E914" s="2">
        <v>0</v>
      </c>
      <c r="F914" s="14" t="s">
        <v>983</v>
      </c>
      <c r="G914" t="s">
        <v>1462</v>
      </c>
      <c r="H914" s="14" t="s">
        <v>42</v>
      </c>
      <c r="I914" s="2">
        <v>1</v>
      </c>
      <c r="J914" s="2">
        <v>0</v>
      </c>
      <c r="K914" s="2">
        <v>0</v>
      </c>
      <c r="L914" s="2"/>
      <c r="M914" s="2">
        <v>0</v>
      </c>
      <c r="N914" s="14"/>
      <c r="O914" s="14"/>
      <c r="P914" s="2">
        <v>8600</v>
      </c>
      <c r="Q914" s="2">
        <v>8600</v>
      </c>
      <c r="R914" s="2">
        <v>7051.95</v>
      </c>
      <c r="S914">
        <f t="shared" si="67"/>
        <v>7051.95</v>
      </c>
      <c r="T914" t="s">
        <v>43</v>
      </c>
      <c r="U914" s="1">
        <f t="shared" ref="U914:U922" si="69">_xlfn.XLOOKUP(T914,$Y$2:$Y$45,$AA$2:$AA$45)*(Q914-S914)</f>
        <v>131.58425000000003</v>
      </c>
    </row>
    <row r="915" spans="1:21" hidden="1" x14ac:dyDescent="0.25">
      <c r="A915" s="2">
        <v>39145</v>
      </c>
      <c r="B915" s="13" t="s">
        <v>1463</v>
      </c>
      <c r="C915" s="14" t="s">
        <v>39</v>
      </c>
      <c r="D915" s="15">
        <v>45314</v>
      </c>
      <c r="E915" s="2">
        <v>0</v>
      </c>
      <c r="F915" s="14" t="s">
        <v>643</v>
      </c>
      <c r="G915" t="s">
        <v>1464</v>
      </c>
      <c r="H915" s="14" t="s">
        <v>42</v>
      </c>
      <c r="I915" s="2">
        <v>2</v>
      </c>
      <c r="J915" s="2">
        <v>0</v>
      </c>
      <c r="K915" s="2">
        <v>0</v>
      </c>
      <c r="L915" s="2"/>
      <c r="M915" s="2">
        <v>0</v>
      </c>
      <c r="N915" s="14"/>
      <c r="O915" s="14"/>
      <c r="P915" s="2">
        <v>946.25</v>
      </c>
      <c r="Q915" s="2">
        <v>1892.5</v>
      </c>
      <c r="R915" s="2">
        <v>692.51</v>
      </c>
      <c r="S915">
        <f t="shared" si="67"/>
        <v>1385.02</v>
      </c>
      <c r="T915" t="s">
        <v>107</v>
      </c>
      <c r="U915" s="1">
        <f t="shared" si="69"/>
        <v>20.299200000000003</v>
      </c>
    </row>
    <row r="916" spans="1:21" hidden="1" x14ac:dyDescent="0.25">
      <c r="A916" s="2">
        <v>39145</v>
      </c>
      <c r="B916" s="13" t="s">
        <v>1463</v>
      </c>
      <c r="C916" s="14" t="s">
        <v>39</v>
      </c>
      <c r="D916" s="15">
        <v>45314</v>
      </c>
      <c r="E916" s="2">
        <v>0</v>
      </c>
      <c r="F916" s="14" t="s">
        <v>1465</v>
      </c>
      <c r="G916" t="s">
        <v>1466</v>
      </c>
      <c r="H916" s="14" t="s">
        <v>42</v>
      </c>
      <c r="I916" s="2">
        <v>1</v>
      </c>
      <c r="J916" s="2">
        <v>0</v>
      </c>
      <c r="K916" s="2">
        <v>0</v>
      </c>
      <c r="L916" s="2"/>
      <c r="M916" s="2">
        <v>0</v>
      </c>
      <c r="N916" s="14"/>
      <c r="O916" s="14"/>
      <c r="P916" s="2">
        <v>78</v>
      </c>
      <c r="Q916" s="2">
        <v>78</v>
      </c>
      <c r="R916" s="2">
        <v>62.8</v>
      </c>
      <c r="S916">
        <f t="shared" si="67"/>
        <v>62.8</v>
      </c>
      <c r="T916" t="s">
        <v>107</v>
      </c>
      <c r="U916" s="1">
        <f t="shared" si="69"/>
        <v>0.6080000000000001</v>
      </c>
    </row>
    <row r="917" spans="1:21" hidden="1" x14ac:dyDescent="0.25">
      <c r="A917" s="2">
        <v>39146</v>
      </c>
      <c r="B917" s="13" t="s">
        <v>1467</v>
      </c>
      <c r="C917" s="14" t="s">
        <v>39</v>
      </c>
      <c r="D917" s="15">
        <v>45310</v>
      </c>
      <c r="E917" s="2">
        <v>0</v>
      </c>
      <c r="F917" s="14" t="s">
        <v>1468</v>
      </c>
      <c r="G917" t="s">
        <v>1469</v>
      </c>
      <c r="H917" s="14" t="s">
        <v>42</v>
      </c>
      <c r="I917" s="2">
        <v>25</v>
      </c>
      <c r="J917" s="2">
        <v>0</v>
      </c>
      <c r="K917" s="2">
        <v>0</v>
      </c>
      <c r="L917" s="2"/>
      <c r="M917" s="2">
        <v>0</v>
      </c>
      <c r="N917" s="14"/>
      <c r="O917" s="14"/>
      <c r="P917" s="2">
        <v>36</v>
      </c>
      <c r="Q917" s="2">
        <v>900</v>
      </c>
      <c r="R917" s="2">
        <v>28.44</v>
      </c>
      <c r="S917">
        <f t="shared" si="67"/>
        <v>711</v>
      </c>
      <c r="T917" t="s">
        <v>150</v>
      </c>
      <c r="U917" s="1">
        <f t="shared" si="69"/>
        <v>15.120000000000001</v>
      </c>
    </row>
    <row r="918" spans="1:21" hidden="1" x14ac:dyDescent="0.25">
      <c r="A918" s="2">
        <v>39147</v>
      </c>
      <c r="B918" s="13" t="s">
        <v>1470</v>
      </c>
      <c r="C918" s="14" t="s">
        <v>39</v>
      </c>
      <c r="D918" s="15">
        <v>45321</v>
      </c>
      <c r="E918" s="2">
        <v>0</v>
      </c>
      <c r="F918" s="14" t="s">
        <v>217</v>
      </c>
      <c r="G918" t="s">
        <v>218</v>
      </c>
      <c r="H918" s="14" t="s">
        <v>173</v>
      </c>
      <c r="I918" s="2">
        <v>2</v>
      </c>
      <c r="J918" s="2">
        <v>0</v>
      </c>
      <c r="K918" s="2">
        <v>0</v>
      </c>
      <c r="L918" s="2"/>
      <c r="M918" s="2">
        <v>0</v>
      </c>
      <c r="N918" s="14"/>
      <c r="O918" s="14"/>
      <c r="P918" s="2">
        <v>83</v>
      </c>
      <c r="Q918" s="2">
        <v>166</v>
      </c>
      <c r="R918" s="2">
        <v>67.989999999999995</v>
      </c>
      <c r="S918">
        <f t="shared" si="67"/>
        <v>135.97999999999999</v>
      </c>
      <c r="T918" t="s">
        <v>107</v>
      </c>
      <c r="U918" s="1">
        <f t="shared" si="69"/>
        <v>1.2008000000000005</v>
      </c>
    </row>
    <row r="919" spans="1:21" hidden="1" x14ac:dyDescent="0.25">
      <c r="A919" s="2">
        <v>39149</v>
      </c>
      <c r="B919" s="13" t="s">
        <v>1471</v>
      </c>
      <c r="C919" s="14" t="s">
        <v>39</v>
      </c>
      <c r="D919" s="15">
        <v>45316</v>
      </c>
      <c r="E919" s="2">
        <v>0</v>
      </c>
      <c r="F919" s="14" t="s">
        <v>1472</v>
      </c>
      <c r="G919" t="s">
        <v>1473</v>
      </c>
      <c r="H919" s="14" t="s">
        <v>42</v>
      </c>
      <c r="I919" s="2">
        <v>1</v>
      </c>
      <c r="J919" s="2">
        <v>0</v>
      </c>
      <c r="K919" s="2">
        <v>0</v>
      </c>
      <c r="L919" s="2"/>
      <c r="M919" s="2">
        <v>0</v>
      </c>
      <c r="N919" s="14"/>
      <c r="O919" s="14"/>
      <c r="P919" s="2">
        <v>12837</v>
      </c>
      <c r="Q919" s="2">
        <v>12837</v>
      </c>
      <c r="R919" s="2">
        <v>10525.59</v>
      </c>
      <c r="S919">
        <f t="shared" si="67"/>
        <v>10525.59</v>
      </c>
      <c r="T919" t="s">
        <v>107</v>
      </c>
      <c r="U919" s="1">
        <f t="shared" si="69"/>
        <v>92.456400000000002</v>
      </c>
    </row>
    <row r="920" spans="1:21" hidden="1" x14ac:dyDescent="0.25">
      <c r="A920" s="2">
        <v>39152</v>
      </c>
      <c r="B920" s="13" t="s">
        <v>1474</v>
      </c>
      <c r="C920" s="14" t="s">
        <v>39</v>
      </c>
      <c r="D920" s="15">
        <v>45314</v>
      </c>
      <c r="E920" s="2">
        <v>0</v>
      </c>
      <c r="F920" s="14" t="s">
        <v>1475</v>
      </c>
      <c r="G920" t="s">
        <v>1476</v>
      </c>
      <c r="H920" s="14" t="s">
        <v>42</v>
      </c>
      <c r="I920" s="2">
        <v>1</v>
      </c>
      <c r="J920" s="2">
        <v>0</v>
      </c>
      <c r="K920" s="2">
        <v>0</v>
      </c>
      <c r="L920" s="2"/>
      <c r="M920" s="2">
        <v>0</v>
      </c>
      <c r="N920" s="14"/>
      <c r="O920" s="14"/>
      <c r="P920" s="2">
        <v>793.02</v>
      </c>
      <c r="Q920" s="2">
        <v>793.02</v>
      </c>
      <c r="R920" s="2">
        <v>650.28</v>
      </c>
      <c r="S920">
        <f t="shared" si="67"/>
        <v>650.28</v>
      </c>
      <c r="T920" t="s">
        <v>47</v>
      </c>
      <c r="U920" s="1">
        <f t="shared" si="69"/>
        <v>12.132900000000001</v>
      </c>
    </row>
    <row r="921" spans="1:21" hidden="1" x14ac:dyDescent="0.25">
      <c r="A921" s="2">
        <v>39152</v>
      </c>
      <c r="B921" s="13" t="s">
        <v>1474</v>
      </c>
      <c r="C921" s="14" t="s">
        <v>39</v>
      </c>
      <c r="D921" s="15">
        <v>45314</v>
      </c>
      <c r="E921" s="2">
        <v>0</v>
      </c>
      <c r="F921" s="14" t="s">
        <v>1477</v>
      </c>
      <c r="G921" t="s">
        <v>1478</v>
      </c>
      <c r="H921" s="14" t="s">
        <v>42</v>
      </c>
      <c r="I921" s="2">
        <v>1</v>
      </c>
      <c r="J921" s="2">
        <v>0</v>
      </c>
      <c r="K921" s="2">
        <v>0</v>
      </c>
      <c r="L921" s="2"/>
      <c r="M921" s="2">
        <v>0</v>
      </c>
      <c r="N921" s="14"/>
      <c r="O921" s="14"/>
      <c r="P921" s="2">
        <v>1.78</v>
      </c>
      <c r="Q921" s="2">
        <v>1.78</v>
      </c>
      <c r="R921" s="2">
        <v>1.46</v>
      </c>
      <c r="S921">
        <f t="shared" si="67"/>
        <v>1.46</v>
      </c>
      <c r="T921" t="s">
        <v>47</v>
      </c>
      <c r="U921" s="1">
        <f t="shared" si="69"/>
        <v>2.7200000000000009E-2</v>
      </c>
    </row>
    <row r="922" spans="1:21" hidden="1" x14ac:dyDescent="0.25">
      <c r="A922" s="2">
        <v>39153</v>
      </c>
      <c r="B922" s="13" t="s">
        <v>1265</v>
      </c>
      <c r="C922" s="14" t="s">
        <v>39</v>
      </c>
      <c r="D922" s="15">
        <v>45317</v>
      </c>
      <c r="E922" s="2">
        <v>0</v>
      </c>
      <c r="F922" s="14" t="s">
        <v>217</v>
      </c>
      <c r="G922" t="s">
        <v>218</v>
      </c>
      <c r="H922" s="14" t="s">
        <v>173</v>
      </c>
      <c r="I922" s="2">
        <v>1</v>
      </c>
      <c r="J922" s="2">
        <v>0</v>
      </c>
      <c r="K922" s="2">
        <v>0</v>
      </c>
      <c r="L922" s="2"/>
      <c r="M922" s="2">
        <v>0</v>
      </c>
      <c r="N922" s="14"/>
      <c r="O922" s="14"/>
      <c r="P922" s="2">
        <v>83</v>
      </c>
      <c r="Q922" s="2">
        <v>83</v>
      </c>
      <c r="R922" s="2">
        <v>67.989999999999995</v>
      </c>
      <c r="S922">
        <f t="shared" si="67"/>
        <v>67.989999999999995</v>
      </c>
      <c r="T922" t="s">
        <v>107</v>
      </c>
      <c r="U922" s="1">
        <f t="shared" si="69"/>
        <v>0.60040000000000027</v>
      </c>
    </row>
    <row r="923" spans="1:21" hidden="1" x14ac:dyDescent="0.25">
      <c r="A923" s="2">
        <v>39155</v>
      </c>
      <c r="B923" s="13" t="s">
        <v>1479</v>
      </c>
      <c r="C923" s="14" t="s">
        <v>39</v>
      </c>
      <c r="D923" s="15">
        <v>45316</v>
      </c>
      <c r="E923" s="2">
        <v>4.8</v>
      </c>
      <c r="F923" s="14" t="s">
        <v>1480</v>
      </c>
      <c r="G923" t="s">
        <v>1481</v>
      </c>
      <c r="H923" s="14" t="s">
        <v>933</v>
      </c>
      <c r="I923" s="2">
        <v>3</v>
      </c>
      <c r="J923" s="2">
        <v>8</v>
      </c>
      <c r="K923" s="2">
        <v>6.4</v>
      </c>
      <c r="L923" s="2">
        <v>80</v>
      </c>
      <c r="M923" s="2">
        <v>4.8</v>
      </c>
      <c r="N923" s="14"/>
      <c r="O923" s="14"/>
      <c r="P923" s="2">
        <v>8</v>
      </c>
      <c r="Q923" s="2">
        <v>24</v>
      </c>
      <c r="R923" s="2">
        <v>6.4</v>
      </c>
      <c r="S923">
        <f t="shared" si="67"/>
        <v>19.200000000000003</v>
      </c>
      <c r="T923" t="s">
        <v>132</v>
      </c>
      <c r="U923">
        <f>_xlfn.XLOOKUP(T923,$Y$2:$Y$45,$AB$2:$AB$45)*(Q923)</f>
        <v>0.96</v>
      </c>
    </row>
    <row r="924" spans="1:21" hidden="1" x14ac:dyDescent="0.25">
      <c r="A924" s="2">
        <v>39155</v>
      </c>
      <c r="B924" s="13" t="s">
        <v>1479</v>
      </c>
      <c r="C924" s="14" t="s">
        <v>39</v>
      </c>
      <c r="D924" s="15">
        <v>45316</v>
      </c>
      <c r="E924" s="2">
        <v>4.8</v>
      </c>
      <c r="F924" s="14" t="s">
        <v>1482</v>
      </c>
      <c r="G924" t="s">
        <v>1483</v>
      </c>
      <c r="H924" s="14" t="s">
        <v>933</v>
      </c>
      <c r="I924" s="2">
        <v>42</v>
      </c>
      <c r="J924" s="2">
        <v>15</v>
      </c>
      <c r="K924" s="2">
        <v>15</v>
      </c>
      <c r="L924" s="2">
        <v>100</v>
      </c>
      <c r="M924" s="2">
        <v>0</v>
      </c>
      <c r="N924" s="14"/>
      <c r="O924" s="14"/>
      <c r="P924" s="2">
        <v>15</v>
      </c>
      <c r="Q924" s="2">
        <v>630</v>
      </c>
      <c r="R924" s="2">
        <v>15</v>
      </c>
      <c r="S924">
        <f t="shared" si="67"/>
        <v>630</v>
      </c>
      <c r="T924" t="s">
        <v>132</v>
      </c>
      <c r="U924">
        <f>_xlfn.XLOOKUP(T924,$Y$2:$Y$45,$AB$2:$AB$45)*(Q924)</f>
        <v>25.2</v>
      </c>
    </row>
    <row r="925" spans="1:21" hidden="1" x14ac:dyDescent="0.25">
      <c r="A925" s="2">
        <v>39157</v>
      </c>
      <c r="B925" s="13" t="s">
        <v>1484</v>
      </c>
      <c r="C925" s="14" t="s">
        <v>39</v>
      </c>
      <c r="D925" s="15">
        <v>45317</v>
      </c>
      <c r="E925" s="2">
        <v>0</v>
      </c>
      <c r="F925" s="14" t="s">
        <v>1125</v>
      </c>
      <c r="G925" t="s">
        <v>1485</v>
      </c>
      <c r="H925" s="14" t="s">
        <v>42</v>
      </c>
      <c r="I925" s="2">
        <v>20</v>
      </c>
      <c r="J925" s="2">
        <v>0</v>
      </c>
      <c r="K925" s="2">
        <v>0</v>
      </c>
      <c r="L925" s="2"/>
      <c r="M925" s="2">
        <v>0</v>
      </c>
      <c r="N925" s="14"/>
      <c r="O925" s="14"/>
      <c r="P925" s="2">
        <v>189</v>
      </c>
      <c r="Q925" s="2">
        <v>3780</v>
      </c>
      <c r="R925" s="2">
        <v>154.22</v>
      </c>
      <c r="S925">
        <f t="shared" si="67"/>
        <v>3084.4</v>
      </c>
      <c r="T925" t="s">
        <v>47</v>
      </c>
      <c r="U925" s="1">
        <f t="shared" ref="U925:U931" si="70">_xlfn.XLOOKUP(T925,$Y$2:$Y$45,$AA$2:$AA$45)*(Q925-S925)</f>
        <v>59.125999999999998</v>
      </c>
    </row>
    <row r="926" spans="1:21" hidden="1" x14ac:dyDescent="0.25">
      <c r="A926" s="2">
        <v>39158</v>
      </c>
      <c r="B926" s="13" t="s">
        <v>1486</v>
      </c>
      <c r="C926" s="14" t="s">
        <v>39</v>
      </c>
      <c r="D926" s="15">
        <v>45313</v>
      </c>
      <c r="E926" s="2">
        <v>0</v>
      </c>
      <c r="F926" s="14" t="s">
        <v>1487</v>
      </c>
      <c r="G926" t="s">
        <v>1488</v>
      </c>
      <c r="H926" s="14" t="s">
        <v>42</v>
      </c>
      <c r="I926" s="2">
        <v>1</v>
      </c>
      <c r="J926" s="2">
        <v>0</v>
      </c>
      <c r="K926" s="2">
        <v>0</v>
      </c>
      <c r="L926" s="2"/>
      <c r="M926" s="2">
        <v>0</v>
      </c>
      <c r="N926" s="14"/>
      <c r="O926" s="14"/>
      <c r="P926" s="2">
        <v>852</v>
      </c>
      <c r="Q926" s="2">
        <v>852</v>
      </c>
      <c r="R926" s="2">
        <v>532.79999999999995</v>
      </c>
      <c r="S926">
        <f t="shared" si="67"/>
        <v>532.79999999999995</v>
      </c>
      <c r="T926" t="s">
        <v>140</v>
      </c>
      <c r="U926" s="1">
        <f t="shared" si="70"/>
        <v>25.536000000000005</v>
      </c>
    </row>
    <row r="927" spans="1:21" hidden="1" x14ac:dyDescent="0.25">
      <c r="A927" s="2">
        <v>39164</v>
      </c>
      <c r="B927" s="13" t="s">
        <v>1067</v>
      </c>
      <c r="C927" s="14" t="s">
        <v>39</v>
      </c>
      <c r="D927" s="15">
        <v>45313</v>
      </c>
      <c r="E927" s="2">
        <v>0</v>
      </c>
      <c r="F927" s="14" t="s">
        <v>1261</v>
      </c>
      <c r="G927" t="s">
        <v>1262</v>
      </c>
      <c r="H927" s="14" t="s">
        <v>42</v>
      </c>
      <c r="I927" s="2">
        <v>1</v>
      </c>
      <c r="J927" s="2">
        <v>0</v>
      </c>
      <c r="K927" s="2">
        <v>0</v>
      </c>
      <c r="L927" s="2"/>
      <c r="M927" s="2">
        <v>0</v>
      </c>
      <c r="N927" s="14"/>
      <c r="O927" s="14"/>
      <c r="P927" s="2">
        <v>215</v>
      </c>
      <c r="Q927" s="2">
        <v>215</v>
      </c>
      <c r="R927" s="2">
        <v>175.93</v>
      </c>
      <c r="S927">
        <f t="shared" si="67"/>
        <v>175.93</v>
      </c>
      <c r="T927" t="s">
        <v>107</v>
      </c>
      <c r="U927" s="1">
        <f t="shared" si="70"/>
        <v>1.5627999999999997</v>
      </c>
    </row>
    <row r="928" spans="1:21" hidden="1" x14ac:dyDescent="0.25">
      <c r="A928" s="2">
        <v>39169</v>
      </c>
      <c r="B928" s="13" t="s">
        <v>1489</v>
      </c>
      <c r="C928" s="14" t="s">
        <v>39</v>
      </c>
      <c r="D928" s="15">
        <v>45321</v>
      </c>
      <c r="E928" s="2">
        <v>0</v>
      </c>
      <c r="F928" s="14" t="s">
        <v>341</v>
      </c>
      <c r="G928" t="s">
        <v>342</v>
      </c>
      <c r="H928" s="14" t="s">
        <v>42</v>
      </c>
      <c r="I928" s="2">
        <v>2</v>
      </c>
      <c r="J928" s="2">
        <v>0</v>
      </c>
      <c r="K928" s="2">
        <v>0</v>
      </c>
      <c r="L928" s="2"/>
      <c r="M928" s="2">
        <v>0</v>
      </c>
      <c r="N928" s="14"/>
      <c r="O928" s="14"/>
      <c r="P928" s="2">
        <v>1016.5</v>
      </c>
      <c r="Q928" s="2">
        <v>2033</v>
      </c>
      <c r="R928" s="2">
        <v>894.52</v>
      </c>
      <c r="S928">
        <f t="shared" si="67"/>
        <v>1789.04</v>
      </c>
      <c r="T928" t="s">
        <v>132</v>
      </c>
      <c r="U928" s="1">
        <f t="shared" si="70"/>
        <v>19.516800000000003</v>
      </c>
    </row>
    <row r="929" spans="1:21" hidden="1" x14ac:dyDescent="0.25">
      <c r="A929" s="2">
        <v>39169</v>
      </c>
      <c r="B929" s="13" t="s">
        <v>1489</v>
      </c>
      <c r="C929" s="14" t="s">
        <v>39</v>
      </c>
      <c r="D929" s="15">
        <v>45321</v>
      </c>
      <c r="E929" s="2">
        <v>0</v>
      </c>
      <c r="F929" s="14" t="s">
        <v>341</v>
      </c>
      <c r="G929" t="s">
        <v>342</v>
      </c>
      <c r="H929" s="14" t="s">
        <v>42</v>
      </c>
      <c r="I929" s="2">
        <v>4</v>
      </c>
      <c r="J929" s="2">
        <v>0</v>
      </c>
      <c r="K929" s="2">
        <v>0</v>
      </c>
      <c r="L929" s="2"/>
      <c r="M929" s="2">
        <v>0</v>
      </c>
      <c r="N929" s="14"/>
      <c r="O929" s="14"/>
      <c r="P929" s="2">
        <v>1016.5</v>
      </c>
      <c r="Q929" s="2">
        <v>4066</v>
      </c>
      <c r="R929" s="2">
        <v>894.52</v>
      </c>
      <c r="S929">
        <f t="shared" si="67"/>
        <v>3578.08</v>
      </c>
      <c r="T929" t="s">
        <v>132</v>
      </c>
      <c r="U929" s="1">
        <f t="shared" si="70"/>
        <v>39.033600000000007</v>
      </c>
    </row>
    <row r="930" spans="1:21" hidden="1" x14ac:dyDescent="0.25">
      <c r="A930" s="2">
        <v>39169</v>
      </c>
      <c r="B930" s="13" t="s">
        <v>1489</v>
      </c>
      <c r="C930" s="14" t="s">
        <v>39</v>
      </c>
      <c r="D930" s="15">
        <v>45321</v>
      </c>
      <c r="E930" s="2">
        <v>0</v>
      </c>
      <c r="F930" s="14" t="s">
        <v>341</v>
      </c>
      <c r="G930" t="s">
        <v>342</v>
      </c>
      <c r="H930" s="14" t="s">
        <v>42</v>
      </c>
      <c r="I930" s="2">
        <v>1</v>
      </c>
      <c r="J930" s="2">
        <v>0</v>
      </c>
      <c r="K930" s="2">
        <v>0</v>
      </c>
      <c r="L930" s="2"/>
      <c r="M930" s="2">
        <v>0</v>
      </c>
      <c r="N930" s="14"/>
      <c r="O930" s="14"/>
      <c r="P930" s="2">
        <v>1016.5</v>
      </c>
      <c r="Q930" s="2">
        <v>1016.5</v>
      </c>
      <c r="R930" s="2">
        <v>894.52</v>
      </c>
      <c r="S930">
        <f t="shared" si="67"/>
        <v>894.52</v>
      </c>
      <c r="T930" t="s">
        <v>132</v>
      </c>
      <c r="U930" s="1">
        <f t="shared" si="70"/>
        <v>9.7584000000000017</v>
      </c>
    </row>
    <row r="931" spans="1:21" hidden="1" x14ac:dyDescent="0.25">
      <c r="A931" s="2">
        <v>39169</v>
      </c>
      <c r="B931" s="13" t="s">
        <v>1489</v>
      </c>
      <c r="C931" s="14" t="s">
        <v>39</v>
      </c>
      <c r="D931" s="15">
        <v>45321</v>
      </c>
      <c r="E931" s="2">
        <v>0</v>
      </c>
      <c r="F931" s="14" t="s">
        <v>341</v>
      </c>
      <c r="G931" t="s">
        <v>342</v>
      </c>
      <c r="H931" s="14" t="s">
        <v>42</v>
      </c>
      <c r="I931" s="2">
        <v>1</v>
      </c>
      <c r="J931" s="2">
        <v>0</v>
      </c>
      <c r="K931" s="2">
        <v>0</v>
      </c>
      <c r="L931" s="2"/>
      <c r="M931" s="2">
        <v>0</v>
      </c>
      <c r="N931" s="14"/>
      <c r="O931" s="14"/>
      <c r="P931" s="2">
        <v>1016.5</v>
      </c>
      <c r="Q931" s="2">
        <v>1016.5</v>
      </c>
      <c r="R931" s="2">
        <v>894.52</v>
      </c>
      <c r="S931">
        <f t="shared" si="67"/>
        <v>894.52</v>
      </c>
      <c r="T931" t="s">
        <v>132</v>
      </c>
      <c r="U931" s="1">
        <f t="shared" si="70"/>
        <v>9.7584000000000017</v>
      </c>
    </row>
    <row r="932" spans="1:21" x14ac:dyDescent="0.25">
      <c r="A932" s="2">
        <v>39169</v>
      </c>
      <c r="B932" s="13" t="s">
        <v>1489</v>
      </c>
      <c r="C932" s="14" t="s">
        <v>39</v>
      </c>
      <c r="D932" s="15">
        <v>45321</v>
      </c>
      <c r="E932" s="2">
        <v>0</v>
      </c>
      <c r="F932" s="14" t="s">
        <v>260</v>
      </c>
      <c r="G932" t="s">
        <v>313</v>
      </c>
      <c r="H932" s="14" t="s">
        <v>93</v>
      </c>
      <c r="I932" s="2">
        <v>1</v>
      </c>
      <c r="J932" s="2">
        <v>0</v>
      </c>
      <c r="K932" s="2">
        <v>0</v>
      </c>
      <c r="L932" s="2"/>
      <c r="M932" s="2">
        <v>0</v>
      </c>
      <c r="N932" s="14"/>
      <c r="O932" s="14"/>
      <c r="P932" s="2">
        <v>950</v>
      </c>
      <c r="Q932" s="2">
        <v>950</v>
      </c>
      <c r="R932" s="2">
        <v>0</v>
      </c>
      <c r="S932">
        <f t="shared" si="67"/>
        <v>0</v>
      </c>
      <c r="T932" t="s">
        <v>132</v>
      </c>
      <c r="U932">
        <f>_xlfn.XLOOKUP(T932,$Y$2:$Y$45,$AB$2:$AB$45)*(Q932)</f>
        <v>38</v>
      </c>
    </row>
    <row r="933" spans="1:21" hidden="1" x14ac:dyDescent="0.25">
      <c r="A933" s="2">
        <v>39170</v>
      </c>
      <c r="B933" s="13" t="s">
        <v>1490</v>
      </c>
      <c r="C933" s="14" t="s">
        <v>39</v>
      </c>
      <c r="D933" s="15">
        <v>45314</v>
      </c>
      <c r="E933" s="2">
        <v>27</v>
      </c>
      <c r="F933" s="14" t="s">
        <v>1491</v>
      </c>
      <c r="G933" t="s">
        <v>1492</v>
      </c>
      <c r="H933" s="14" t="s">
        <v>933</v>
      </c>
      <c r="I933" s="2">
        <v>6</v>
      </c>
      <c r="J933" s="2">
        <v>18</v>
      </c>
      <c r="K933" s="2">
        <v>13.5</v>
      </c>
      <c r="L933" s="2">
        <v>75</v>
      </c>
      <c r="M933" s="2">
        <v>27</v>
      </c>
      <c r="N933" s="14"/>
      <c r="O933" s="14"/>
      <c r="P933" s="2">
        <v>18</v>
      </c>
      <c r="Q933" s="2">
        <v>108</v>
      </c>
      <c r="R933" s="2">
        <v>13.5</v>
      </c>
      <c r="S933">
        <f t="shared" si="67"/>
        <v>81</v>
      </c>
      <c r="T933" t="s">
        <v>184</v>
      </c>
      <c r="U933">
        <f>_xlfn.XLOOKUP(T933,$Y$2:$Y$45,$AB$2:$AB$45)*(Q933)</f>
        <v>0</v>
      </c>
    </row>
    <row r="934" spans="1:21" hidden="1" x14ac:dyDescent="0.25">
      <c r="A934" s="2">
        <v>39171</v>
      </c>
      <c r="B934" s="13" t="s">
        <v>1493</v>
      </c>
      <c r="C934" s="14" t="s">
        <v>39</v>
      </c>
      <c r="D934" s="15">
        <v>45316</v>
      </c>
      <c r="E934" s="2">
        <v>0</v>
      </c>
      <c r="F934" s="14" t="s">
        <v>543</v>
      </c>
      <c r="G934" t="s">
        <v>629</v>
      </c>
      <c r="H934" s="14" t="s">
        <v>42</v>
      </c>
      <c r="I934" s="2">
        <v>1</v>
      </c>
      <c r="J934" s="2">
        <v>0</v>
      </c>
      <c r="K934" s="2">
        <v>0</v>
      </c>
      <c r="L934" s="2"/>
      <c r="M934" s="2">
        <v>0</v>
      </c>
      <c r="N934" s="14"/>
      <c r="O934" s="14"/>
      <c r="P934" s="2">
        <v>304.86</v>
      </c>
      <c r="Q934" s="2">
        <v>304.86</v>
      </c>
      <c r="R934" s="2">
        <v>262.18</v>
      </c>
      <c r="S934">
        <f t="shared" si="67"/>
        <v>262.18</v>
      </c>
      <c r="T934" t="s">
        <v>184</v>
      </c>
      <c r="U934" s="1">
        <f>_xlfn.XLOOKUP(T934,$Y$2:$Y$45,$AA$2:$AA$45)*(Q934-S934)</f>
        <v>0</v>
      </c>
    </row>
    <row r="935" spans="1:21" hidden="1" x14ac:dyDescent="0.25">
      <c r="A935" s="2">
        <v>39173</v>
      </c>
      <c r="B935" s="13" t="s">
        <v>1494</v>
      </c>
      <c r="C935" s="14" t="s">
        <v>39</v>
      </c>
      <c r="D935" s="15">
        <v>45309</v>
      </c>
      <c r="E935" s="2">
        <v>2000</v>
      </c>
      <c r="F935" s="14" t="s">
        <v>1495</v>
      </c>
      <c r="G935" t="s">
        <v>1496</v>
      </c>
      <c r="H935" s="14" t="s">
        <v>104</v>
      </c>
      <c r="I935" s="2">
        <v>10</v>
      </c>
      <c r="J935" s="2">
        <v>200</v>
      </c>
      <c r="K935" s="2">
        <v>0</v>
      </c>
      <c r="L935" s="2"/>
      <c r="M935" s="2">
        <v>2000</v>
      </c>
      <c r="N935" s="14"/>
      <c r="O935" s="14"/>
      <c r="P935" s="2">
        <v>200</v>
      </c>
      <c r="Q935" s="2">
        <v>2000</v>
      </c>
      <c r="R935" s="2">
        <v>0</v>
      </c>
      <c r="S935">
        <f t="shared" si="67"/>
        <v>0</v>
      </c>
      <c r="T935" t="s">
        <v>132</v>
      </c>
      <c r="U935">
        <f>_xlfn.XLOOKUP(T935,$Y$2:$Y$45,$AB$2:$AB$45)*(Q935)</f>
        <v>80</v>
      </c>
    </row>
    <row r="936" spans="1:21" x14ac:dyDescent="0.25">
      <c r="A936" s="2">
        <v>39181</v>
      </c>
      <c r="B936" s="13" t="s">
        <v>1497</v>
      </c>
      <c r="C936" s="14" t="s">
        <v>39</v>
      </c>
      <c r="D936" s="15">
        <v>45314</v>
      </c>
      <c r="E936" s="2">
        <v>0</v>
      </c>
      <c r="F936" s="14" t="s">
        <v>260</v>
      </c>
      <c r="G936" t="s">
        <v>313</v>
      </c>
      <c r="H936" s="14" t="s">
        <v>93</v>
      </c>
      <c r="I936" s="2">
        <v>0.5</v>
      </c>
      <c r="J936" s="2">
        <v>0</v>
      </c>
      <c r="K936" s="2">
        <v>0</v>
      </c>
      <c r="L936" s="2"/>
      <c r="M936" s="2">
        <v>0</v>
      </c>
      <c r="N936" s="14"/>
      <c r="O936" s="14"/>
      <c r="P936" s="2">
        <v>120</v>
      </c>
      <c r="Q936" s="2">
        <v>60</v>
      </c>
      <c r="R936" s="2">
        <v>0</v>
      </c>
      <c r="S936">
        <f t="shared" si="67"/>
        <v>0</v>
      </c>
      <c r="T936" t="s">
        <v>132</v>
      </c>
      <c r="U936">
        <f>_xlfn.XLOOKUP(T936,$Y$2:$Y$45,$AB$2:$AB$45)*(Q936)</f>
        <v>2.4</v>
      </c>
    </row>
    <row r="937" spans="1:21" hidden="1" x14ac:dyDescent="0.25">
      <c r="A937" s="2">
        <v>39181</v>
      </c>
      <c r="B937" s="13" t="s">
        <v>1497</v>
      </c>
      <c r="C937" s="14" t="s">
        <v>39</v>
      </c>
      <c r="D937" s="15">
        <v>45314</v>
      </c>
      <c r="E937" s="2">
        <v>0</v>
      </c>
      <c r="F937" s="14" t="s">
        <v>1498</v>
      </c>
      <c r="G937" t="s">
        <v>1499</v>
      </c>
      <c r="H937" s="14" t="s">
        <v>42</v>
      </c>
      <c r="I937" s="2">
        <v>1</v>
      </c>
      <c r="J937" s="2">
        <v>0</v>
      </c>
      <c r="K937" s="2">
        <v>0</v>
      </c>
      <c r="L937" s="2"/>
      <c r="M937" s="2">
        <v>0</v>
      </c>
      <c r="N937" s="14"/>
      <c r="O937" s="14"/>
      <c r="P937" s="2">
        <v>223</v>
      </c>
      <c r="Q937" s="2">
        <v>223</v>
      </c>
      <c r="R937" s="2">
        <v>181.15</v>
      </c>
      <c r="S937">
        <f t="shared" si="67"/>
        <v>181.15</v>
      </c>
      <c r="T937" t="s">
        <v>132</v>
      </c>
      <c r="U937" s="1">
        <f>_xlfn.XLOOKUP(T937,$Y$2:$Y$45,$AA$2:$AA$45)*(Q937-S937)</f>
        <v>3.3479999999999994</v>
      </c>
    </row>
    <row r="938" spans="1:21" hidden="1" x14ac:dyDescent="0.25">
      <c r="A938" s="2">
        <v>39183</v>
      </c>
      <c r="B938" s="13" t="s">
        <v>1500</v>
      </c>
      <c r="C938" s="14" t="s">
        <v>39</v>
      </c>
      <c r="D938" s="15">
        <v>45321</v>
      </c>
      <c r="E938" s="2">
        <v>0</v>
      </c>
      <c r="F938" s="14" t="s">
        <v>1501</v>
      </c>
      <c r="G938" t="s">
        <v>1502</v>
      </c>
      <c r="H938" s="14" t="s">
        <v>42</v>
      </c>
      <c r="I938" s="2">
        <v>25</v>
      </c>
      <c r="J938" s="2">
        <v>0</v>
      </c>
      <c r="K938" s="2">
        <v>0</v>
      </c>
      <c r="L938" s="2"/>
      <c r="M938" s="2">
        <v>0</v>
      </c>
      <c r="N938" s="14"/>
      <c r="O938" s="14"/>
      <c r="P938" s="2">
        <v>244.06</v>
      </c>
      <c r="Q938" s="2">
        <v>6101.5</v>
      </c>
      <c r="R938" s="2">
        <v>195.25</v>
      </c>
      <c r="S938">
        <f t="shared" si="67"/>
        <v>4881.25</v>
      </c>
      <c r="T938" t="s">
        <v>47</v>
      </c>
      <c r="U938" s="1">
        <f>_xlfn.XLOOKUP(T938,$Y$2:$Y$45,$AA$2:$AA$45)*(Q938-S938)</f>
        <v>103.72125000000001</v>
      </c>
    </row>
    <row r="939" spans="1:21" hidden="1" x14ac:dyDescent="0.25">
      <c r="A939" s="2">
        <v>39185</v>
      </c>
      <c r="B939" s="13" t="s">
        <v>1503</v>
      </c>
      <c r="C939" s="14" t="s">
        <v>39</v>
      </c>
      <c r="D939" s="15">
        <v>45313</v>
      </c>
      <c r="E939" s="2">
        <v>0</v>
      </c>
      <c r="F939" s="14" t="s">
        <v>1225</v>
      </c>
      <c r="G939" t="s">
        <v>1504</v>
      </c>
      <c r="H939" s="14" t="s">
        <v>42</v>
      </c>
      <c r="I939" s="2">
        <v>1</v>
      </c>
      <c r="J939" s="2">
        <v>0</v>
      </c>
      <c r="K939" s="2">
        <v>0</v>
      </c>
      <c r="L939" s="2"/>
      <c r="M939" s="2">
        <v>0</v>
      </c>
      <c r="N939" s="14"/>
      <c r="O939" s="14"/>
      <c r="P939" s="2">
        <v>68.099999999999994</v>
      </c>
      <c r="Q939" s="2">
        <v>68.099999999999994</v>
      </c>
      <c r="R939" s="2">
        <v>54.48</v>
      </c>
      <c r="S939">
        <f t="shared" si="67"/>
        <v>54.48</v>
      </c>
      <c r="T939" t="s">
        <v>56</v>
      </c>
      <c r="U939" s="1">
        <f>_xlfn.XLOOKUP(T939,$Y$2:$Y$45,$AA$2:$AA$45)*(Q939-S939)</f>
        <v>1.1577</v>
      </c>
    </row>
    <row r="940" spans="1:21" hidden="1" x14ac:dyDescent="0.25">
      <c r="A940" s="2">
        <v>39198</v>
      </c>
      <c r="B940" s="13" t="s">
        <v>1265</v>
      </c>
      <c r="C940" s="14" t="s">
        <v>39</v>
      </c>
      <c r="D940" s="15">
        <v>45314</v>
      </c>
      <c r="E940" s="2">
        <v>0</v>
      </c>
      <c r="F940" s="14" t="s">
        <v>670</v>
      </c>
      <c r="G940" t="s">
        <v>671</v>
      </c>
      <c r="H940" s="14" t="s">
        <v>42</v>
      </c>
      <c r="I940" s="2">
        <v>1</v>
      </c>
      <c r="J940" s="2">
        <v>0</v>
      </c>
      <c r="K940" s="2">
        <v>0</v>
      </c>
      <c r="L940" s="2"/>
      <c r="M940" s="2">
        <v>0</v>
      </c>
      <c r="N940" s="14"/>
      <c r="O940" s="14"/>
      <c r="P940" s="2">
        <v>85</v>
      </c>
      <c r="Q940" s="2">
        <v>85</v>
      </c>
      <c r="R940" s="2">
        <v>67.989999999999995</v>
      </c>
      <c r="S940">
        <f t="shared" si="67"/>
        <v>67.989999999999995</v>
      </c>
      <c r="T940" t="s">
        <v>107</v>
      </c>
      <c r="U940" s="1">
        <f>_xlfn.XLOOKUP(T940,$Y$2:$Y$45,$AA$2:$AA$45)*(Q940-S940)</f>
        <v>0.68040000000000023</v>
      </c>
    </row>
    <row r="941" spans="1:21" hidden="1" x14ac:dyDescent="0.25">
      <c r="A941" s="2">
        <v>39199</v>
      </c>
      <c r="B941" s="13" t="s">
        <v>1067</v>
      </c>
      <c r="C941" s="14" t="s">
        <v>39</v>
      </c>
      <c r="D941" s="15">
        <v>45314</v>
      </c>
      <c r="E941" s="2">
        <v>0</v>
      </c>
      <c r="F941" s="14" t="s">
        <v>1505</v>
      </c>
      <c r="G941" t="s">
        <v>1264</v>
      </c>
      <c r="H941" s="14" t="s">
        <v>42</v>
      </c>
      <c r="I941" s="2">
        <v>1</v>
      </c>
      <c r="J941" s="2">
        <v>0</v>
      </c>
      <c r="K941" s="2">
        <v>0</v>
      </c>
      <c r="L941" s="2"/>
      <c r="M941" s="2">
        <v>0</v>
      </c>
      <c r="N941" s="14"/>
      <c r="O941" s="14"/>
      <c r="P941" s="2">
        <v>30</v>
      </c>
      <c r="Q941" s="2">
        <v>30</v>
      </c>
      <c r="R941" s="2">
        <v>23.42</v>
      </c>
      <c r="S941">
        <f t="shared" si="67"/>
        <v>23.42</v>
      </c>
      <c r="T941" t="s">
        <v>107</v>
      </c>
      <c r="U941" s="1">
        <f>_xlfn.XLOOKUP(T941,$Y$2:$Y$45,$AA$2:$AA$45)*(Q941-S941)</f>
        <v>0.26319999999999993</v>
      </c>
    </row>
    <row r="942" spans="1:21" hidden="1" x14ac:dyDescent="0.25">
      <c r="A942" s="2">
        <v>39206</v>
      </c>
      <c r="B942" s="13" t="s">
        <v>1506</v>
      </c>
      <c r="C942" s="14" t="s">
        <v>39</v>
      </c>
      <c r="D942" s="15">
        <v>45315</v>
      </c>
      <c r="E942" s="2">
        <v>43.54</v>
      </c>
      <c r="F942" s="14" t="s">
        <v>503</v>
      </c>
      <c r="G942" t="s">
        <v>504</v>
      </c>
      <c r="H942" s="14" t="s">
        <v>505</v>
      </c>
      <c r="I942" s="2">
        <v>1</v>
      </c>
      <c r="J942" s="2">
        <v>18</v>
      </c>
      <c r="K942" s="2">
        <v>5.38</v>
      </c>
      <c r="L942" s="2"/>
      <c r="M942" s="2">
        <v>18</v>
      </c>
      <c r="N942" s="14"/>
      <c r="O942" s="14"/>
      <c r="P942" s="2">
        <v>50</v>
      </c>
      <c r="Q942" s="2">
        <v>50</v>
      </c>
      <c r="R942" s="2">
        <v>0</v>
      </c>
      <c r="S942">
        <f t="shared" si="67"/>
        <v>0</v>
      </c>
      <c r="T942" t="s">
        <v>105</v>
      </c>
      <c r="U942">
        <f>_xlfn.XLOOKUP(T942,$Y$2:$Y$45,$AB$2:$AB$45)*(Q942)</f>
        <v>2</v>
      </c>
    </row>
    <row r="943" spans="1:21" hidden="1" x14ac:dyDescent="0.25">
      <c r="A943" s="2">
        <v>39206</v>
      </c>
      <c r="B943" s="13" t="s">
        <v>1506</v>
      </c>
      <c r="C943" s="14" t="s">
        <v>39</v>
      </c>
      <c r="D943" s="15">
        <v>45315</v>
      </c>
      <c r="E943" s="2">
        <v>43.54</v>
      </c>
      <c r="F943" s="14" t="s">
        <v>506</v>
      </c>
      <c r="G943" t="s">
        <v>507</v>
      </c>
      <c r="H943" s="14" t="s">
        <v>508</v>
      </c>
      <c r="I943" s="2">
        <v>2</v>
      </c>
      <c r="J943" s="2">
        <v>10.5</v>
      </c>
      <c r="K943" s="2">
        <v>3.21</v>
      </c>
      <c r="L943" s="2"/>
      <c r="M943" s="2">
        <v>21</v>
      </c>
      <c r="N943" s="14"/>
      <c r="O943" s="14"/>
      <c r="P943" s="2">
        <v>50</v>
      </c>
      <c r="Q943" s="2">
        <v>100</v>
      </c>
      <c r="R943" s="2">
        <v>0</v>
      </c>
      <c r="S943">
        <f t="shared" si="67"/>
        <v>0</v>
      </c>
      <c r="T943" t="s">
        <v>105</v>
      </c>
      <c r="U943">
        <f>_xlfn.XLOOKUP(T943,$Y$2:$Y$45,$AB$2:$AB$45)*(Q943)</f>
        <v>4</v>
      </c>
    </row>
    <row r="944" spans="1:21" hidden="1" x14ac:dyDescent="0.25">
      <c r="A944" s="2">
        <v>39206</v>
      </c>
      <c r="B944" s="13" t="s">
        <v>1506</v>
      </c>
      <c r="C944" s="14" t="s">
        <v>39</v>
      </c>
      <c r="D944" s="15">
        <v>45315</v>
      </c>
      <c r="E944" s="2">
        <v>43.54</v>
      </c>
      <c r="F944" s="14" t="s">
        <v>515</v>
      </c>
      <c r="G944" t="s">
        <v>516</v>
      </c>
      <c r="H944" s="14" t="s">
        <v>508</v>
      </c>
      <c r="I944" s="2">
        <v>3</v>
      </c>
      <c r="J944" s="2">
        <v>0.5</v>
      </c>
      <c r="K944" s="2">
        <v>0.17</v>
      </c>
      <c r="L944" s="2"/>
      <c r="M944" s="2">
        <v>1.5</v>
      </c>
      <c r="N944" s="14"/>
      <c r="O944" s="14"/>
      <c r="P944" s="2">
        <v>3</v>
      </c>
      <c r="Q944" s="2">
        <v>9</v>
      </c>
      <c r="R944" s="2">
        <v>9</v>
      </c>
      <c r="S944">
        <f t="shared" si="67"/>
        <v>27</v>
      </c>
      <c r="T944" t="s">
        <v>105</v>
      </c>
      <c r="U944">
        <f>_xlfn.XLOOKUP(T944,$Y$2:$Y$45,$AB$2:$AB$45)*(Q944)</f>
        <v>0.36</v>
      </c>
    </row>
    <row r="945" spans="1:21" hidden="1" x14ac:dyDescent="0.25">
      <c r="A945" s="2">
        <v>39207</v>
      </c>
      <c r="B945" s="13" t="s">
        <v>1507</v>
      </c>
      <c r="C945" s="14" t="s">
        <v>39</v>
      </c>
      <c r="D945" s="15">
        <v>45316</v>
      </c>
      <c r="E945" s="2">
        <v>0</v>
      </c>
      <c r="F945" s="14" t="s">
        <v>191</v>
      </c>
      <c r="G945" t="s">
        <v>900</v>
      </c>
      <c r="H945" s="14" t="s">
        <v>42</v>
      </c>
      <c r="I945" s="2">
        <v>1</v>
      </c>
      <c r="J945" s="2">
        <v>0</v>
      </c>
      <c r="K945" s="2">
        <v>0</v>
      </c>
      <c r="L945" s="2"/>
      <c r="M945" s="2">
        <v>0</v>
      </c>
      <c r="N945" s="14"/>
      <c r="O945" s="14"/>
      <c r="P945" s="2">
        <v>1081</v>
      </c>
      <c r="Q945" s="2">
        <v>1081</v>
      </c>
      <c r="R945" s="2">
        <v>919.34</v>
      </c>
      <c r="S945">
        <f t="shared" si="67"/>
        <v>919.34</v>
      </c>
      <c r="T945" t="s">
        <v>43</v>
      </c>
      <c r="U945" s="1">
        <f>_xlfn.XLOOKUP(T945,$Y$2:$Y$45,$AA$2:$AA$45)*(Q945-S945)</f>
        <v>13.741099999999998</v>
      </c>
    </row>
    <row r="946" spans="1:21" hidden="1" x14ac:dyDescent="0.25">
      <c r="A946" s="2">
        <v>39214</v>
      </c>
      <c r="B946" s="13" t="s">
        <v>1508</v>
      </c>
      <c r="C946" s="14" t="s">
        <v>39</v>
      </c>
      <c r="D946" s="15">
        <v>45315</v>
      </c>
      <c r="E946" s="2">
        <v>0</v>
      </c>
      <c r="F946" s="14" t="s">
        <v>1246</v>
      </c>
      <c r="G946" t="s">
        <v>1247</v>
      </c>
      <c r="H946" s="14" t="s">
        <v>42</v>
      </c>
      <c r="I946" s="2">
        <v>3</v>
      </c>
      <c r="J946" s="2">
        <v>0</v>
      </c>
      <c r="K946" s="2">
        <v>0</v>
      </c>
      <c r="L946" s="2"/>
      <c r="M946" s="2">
        <v>0</v>
      </c>
      <c r="N946" s="14"/>
      <c r="O946" s="14"/>
      <c r="P946" s="2">
        <v>80</v>
      </c>
      <c r="Q946" s="2">
        <v>240</v>
      </c>
      <c r="R946" s="2">
        <v>44.99</v>
      </c>
      <c r="S946">
        <f t="shared" si="67"/>
        <v>134.97</v>
      </c>
      <c r="T946" t="s">
        <v>107</v>
      </c>
      <c r="U946" s="1">
        <f>_xlfn.XLOOKUP(T946,$Y$2:$Y$45,$AA$2:$AA$45)*(Q946-S946)</f>
        <v>4.2012</v>
      </c>
    </row>
    <row r="947" spans="1:21" hidden="1" x14ac:dyDescent="0.25">
      <c r="A947" s="2">
        <v>39215</v>
      </c>
      <c r="B947" s="13" t="s">
        <v>1509</v>
      </c>
      <c r="C947" s="14" t="s">
        <v>39</v>
      </c>
      <c r="D947" s="15">
        <v>45314</v>
      </c>
      <c r="E947" s="2">
        <v>0</v>
      </c>
      <c r="F947" s="14" t="s">
        <v>1510</v>
      </c>
      <c r="G947" t="s">
        <v>1511</v>
      </c>
      <c r="H947" s="14" t="s">
        <v>42</v>
      </c>
      <c r="I947" s="2">
        <v>1</v>
      </c>
      <c r="J947" s="2">
        <v>0</v>
      </c>
      <c r="K947" s="2">
        <v>0</v>
      </c>
      <c r="L947" s="2"/>
      <c r="M947" s="2">
        <v>0</v>
      </c>
      <c r="N947" s="14"/>
      <c r="O947" s="14"/>
      <c r="P947" s="2">
        <v>914</v>
      </c>
      <c r="Q947" s="2">
        <v>914</v>
      </c>
      <c r="R947" s="2">
        <v>749.01</v>
      </c>
      <c r="S947">
        <f t="shared" si="67"/>
        <v>749.01</v>
      </c>
      <c r="T947" t="s">
        <v>107</v>
      </c>
      <c r="U947" s="1">
        <f>_xlfn.XLOOKUP(T947,$Y$2:$Y$45,$AA$2:$AA$45)*(Q947-S947)</f>
        <v>6.5996000000000006</v>
      </c>
    </row>
    <row r="948" spans="1:21" x14ac:dyDescent="0.25">
      <c r="A948" s="2">
        <v>39215</v>
      </c>
      <c r="B948" s="13" t="s">
        <v>1509</v>
      </c>
      <c r="C948" s="14" t="s">
        <v>39</v>
      </c>
      <c r="D948" s="15">
        <v>45314</v>
      </c>
      <c r="E948" s="2">
        <v>0</v>
      </c>
      <c r="F948" s="14" t="s">
        <v>260</v>
      </c>
      <c r="G948" t="s">
        <v>313</v>
      </c>
      <c r="H948" s="14" t="s">
        <v>93</v>
      </c>
      <c r="I948" s="2">
        <v>2</v>
      </c>
      <c r="J948" s="2">
        <v>0</v>
      </c>
      <c r="K948" s="2">
        <v>0</v>
      </c>
      <c r="L948" s="2"/>
      <c r="M948" s="2">
        <v>0</v>
      </c>
      <c r="N948" s="14"/>
      <c r="O948" s="14"/>
      <c r="P948" s="2">
        <v>185</v>
      </c>
      <c r="Q948" s="2">
        <v>370</v>
      </c>
      <c r="R948" s="2">
        <v>0</v>
      </c>
      <c r="S948">
        <f t="shared" si="67"/>
        <v>0</v>
      </c>
      <c r="T948" t="s">
        <v>107</v>
      </c>
      <c r="U948">
        <f>_xlfn.XLOOKUP(T948,$Y$2:$Y$45,$AB$2:$AB$45)*(Q948)</f>
        <v>14.8</v>
      </c>
    </row>
    <row r="949" spans="1:21" hidden="1" x14ac:dyDescent="0.25">
      <c r="A949" s="2">
        <v>39216</v>
      </c>
      <c r="B949" s="13" t="s">
        <v>1512</v>
      </c>
      <c r="C949" s="14" t="s">
        <v>39</v>
      </c>
      <c r="D949" s="15">
        <v>45315</v>
      </c>
      <c r="E949" s="2">
        <v>0</v>
      </c>
      <c r="F949" s="14" t="s">
        <v>1513</v>
      </c>
      <c r="G949" t="s">
        <v>1514</v>
      </c>
      <c r="H949" s="14" t="s">
        <v>42</v>
      </c>
      <c r="I949" s="2">
        <v>1</v>
      </c>
      <c r="J949" s="2">
        <v>0</v>
      </c>
      <c r="K949" s="2">
        <v>0</v>
      </c>
      <c r="L949" s="2"/>
      <c r="M949" s="2">
        <v>0</v>
      </c>
      <c r="N949" s="14"/>
      <c r="O949" s="14"/>
      <c r="P949" s="2">
        <v>280</v>
      </c>
      <c r="Q949" s="2">
        <v>280</v>
      </c>
      <c r="R949" s="2">
        <v>238</v>
      </c>
      <c r="S949">
        <f t="shared" si="67"/>
        <v>238</v>
      </c>
      <c r="T949" t="s">
        <v>107</v>
      </c>
      <c r="U949" s="1">
        <f>_xlfn.XLOOKUP(T949,$Y$2:$Y$45,$AA$2:$AA$45)*(Q949-S949)</f>
        <v>1.68</v>
      </c>
    </row>
    <row r="950" spans="1:21" hidden="1" x14ac:dyDescent="0.25">
      <c r="A950" s="2">
        <v>39216</v>
      </c>
      <c r="B950" s="13" t="s">
        <v>1512</v>
      </c>
      <c r="C950" s="14" t="s">
        <v>39</v>
      </c>
      <c r="D950" s="15">
        <v>45315</v>
      </c>
      <c r="E950" s="2">
        <v>0</v>
      </c>
      <c r="F950" s="14" t="s">
        <v>1227</v>
      </c>
      <c r="G950" t="s">
        <v>1515</v>
      </c>
      <c r="H950" s="14" t="s">
        <v>42</v>
      </c>
      <c r="I950" s="2">
        <v>1</v>
      </c>
      <c r="J950" s="2">
        <v>0</v>
      </c>
      <c r="K950" s="2">
        <v>0</v>
      </c>
      <c r="L950" s="2"/>
      <c r="M950" s="2">
        <v>0</v>
      </c>
      <c r="N950" s="14"/>
      <c r="O950" s="14"/>
      <c r="P950" s="2">
        <v>48.9</v>
      </c>
      <c r="Q950" s="2">
        <v>48.9</v>
      </c>
      <c r="R950" s="2">
        <v>38.15</v>
      </c>
      <c r="S950">
        <f t="shared" si="67"/>
        <v>38.15</v>
      </c>
      <c r="T950" t="s">
        <v>107</v>
      </c>
      <c r="U950" s="1">
        <f>_xlfn.XLOOKUP(T950,$Y$2:$Y$45,$AA$2:$AA$45)*(Q950-S950)</f>
        <v>0.43</v>
      </c>
    </row>
    <row r="951" spans="1:21" x14ac:dyDescent="0.25">
      <c r="A951" s="2">
        <v>39216</v>
      </c>
      <c r="B951" s="13" t="s">
        <v>1512</v>
      </c>
      <c r="C951" s="14" t="s">
        <v>39</v>
      </c>
      <c r="D951" s="15">
        <v>45315</v>
      </c>
      <c r="E951" s="2">
        <v>0</v>
      </c>
      <c r="F951" s="14" t="s">
        <v>260</v>
      </c>
      <c r="G951" t="s">
        <v>1516</v>
      </c>
      <c r="H951" s="14" t="s">
        <v>93</v>
      </c>
      <c r="I951" s="2">
        <v>2</v>
      </c>
      <c r="J951" s="2">
        <v>0</v>
      </c>
      <c r="K951" s="2">
        <v>0</v>
      </c>
      <c r="L951" s="2"/>
      <c r="M951" s="2">
        <v>0</v>
      </c>
      <c r="N951" s="14"/>
      <c r="O951" s="14"/>
      <c r="P951" s="2">
        <v>185</v>
      </c>
      <c r="Q951" s="2">
        <v>370</v>
      </c>
      <c r="R951" s="2">
        <v>0</v>
      </c>
      <c r="S951">
        <f t="shared" si="67"/>
        <v>0</v>
      </c>
      <c r="T951" t="s">
        <v>107</v>
      </c>
      <c r="U951">
        <f>_xlfn.XLOOKUP(T951,$Y$2:$Y$45,$AB$2:$AB$45)*(Q951)</f>
        <v>14.8</v>
      </c>
    </row>
    <row r="952" spans="1:21" hidden="1" x14ac:dyDescent="0.25">
      <c r="A952" s="2">
        <v>39219</v>
      </c>
      <c r="B952" s="13" t="s">
        <v>1517</v>
      </c>
      <c r="C952" s="14" t="s">
        <v>39</v>
      </c>
      <c r="D952" s="15">
        <v>45315</v>
      </c>
      <c r="E952" s="2">
        <v>0</v>
      </c>
      <c r="F952" s="14" t="s">
        <v>1518</v>
      </c>
      <c r="G952" t="s">
        <v>1519</v>
      </c>
      <c r="H952" s="14" t="s">
        <v>42</v>
      </c>
      <c r="I952" s="2">
        <v>1</v>
      </c>
      <c r="J952" s="2">
        <v>0</v>
      </c>
      <c r="K952" s="2">
        <v>0</v>
      </c>
      <c r="L952" s="2"/>
      <c r="M952" s="2">
        <v>0</v>
      </c>
      <c r="N952" s="14"/>
      <c r="O952" s="14"/>
      <c r="P952" s="2">
        <v>411.27</v>
      </c>
      <c r="Q952" s="2">
        <v>411.27</v>
      </c>
      <c r="R952" s="2">
        <v>361.92</v>
      </c>
      <c r="S952">
        <f t="shared" si="67"/>
        <v>361.92</v>
      </c>
      <c r="T952" t="s">
        <v>132</v>
      </c>
      <c r="U952" s="1">
        <f>_xlfn.XLOOKUP(T952,$Y$2:$Y$45,$AA$2:$AA$45)*(Q952-S952)</f>
        <v>3.9479999999999973</v>
      </c>
    </row>
    <row r="953" spans="1:21" hidden="1" x14ac:dyDescent="0.25">
      <c r="A953" s="2">
        <v>39221</v>
      </c>
      <c r="B953" s="13" t="s">
        <v>1520</v>
      </c>
      <c r="C953" s="14" t="s">
        <v>39</v>
      </c>
      <c r="D953" s="15">
        <v>45317</v>
      </c>
      <c r="E953" s="2">
        <v>0</v>
      </c>
      <c r="F953" s="14" t="s">
        <v>742</v>
      </c>
      <c r="G953" t="s">
        <v>743</v>
      </c>
      <c r="H953" s="14" t="s">
        <v>173</v>
      </c>
      <c r="I953" s="2">
        <v>3</v>
      </c>
      <c r="J953" s="2">
        <v>0</v>
      </c>
      <c r="K953" s="2">
        <v>0</v>
      </c>
      <c r="L953" s="2"/>
      <c r="M953" s="2">
        <v>0</v>
      </c>
      <c r="N953" s="14"/>
      <c r="O953" s="14"/>
      <c r="P953" s="2">
        <v>257</v>
      </c>
      <c r="Q953" s="2">
        <v>771</v>
      </c>
      <c r="R953" s="2">
        <v>210.22</v>
      </c>
      <c r="S953">
        <f t="shared" si="67"/>
        <v>630.66</v>
      </c>
      <c r="T953" t="s">
        <v>1874</v>
      </c>
      <c r="U953" s="1">
        <f>_xlfn.XLOOKUP(T953,$Y$2:$Y$45,$AA$2:$AA$45)*(Q953-S953)</f>
        <v>11.227200000000003</v>
      </c>
    </row>
    <row r="954" spans="1:21" x14ac:dyDescent="0.25">
      <c r="A954" s="2">
        <v>39222</v>
      </c>
      <c r="B954" s="13" t="s">
        <v>1521</v>
      </c>
      <c r="C954" s="14" t="s">
        <v>39</v>
      </c>
      <c r="D954" s="15">
        <v>45315</v>
      </c>
      <c r="E954" s="2">
        <v>0</v>
      </c>
      <c r="F954" s="14" t="s">
        <v>657</v>
      </c>
      <c r="G954" t="s">
        <v>657</v>
      </c>
      <c r="H954" s="14" t="s">
        <v>93</v>
      </c>
      <c r="I954" s="2">
        <v>-0.5</v>
      </c>
      <c r="J954" s="2">
        <v>0</v>
      </c>
      <c r="K954" s="2">
        <v>0</v>
      </c>
      <c r="L954" s="2"/>
      <c r="M954" s="2">
        <v>0</v>
      </c>
      <c r="N954" s="14"/>
      <c r="O954" s="14"/>
      <c r="P954" s="2">
        <v>135</v>
      </c>
      <c r="Q954" s="2">
        <v>-67.5</v>
      </c>
      <c r="R954" s="2">
        <v>0</v>
      </c>
      <c r="S954">
        <f t="shared" si="67"/>
        <v>0</v>
      </c>
      <c r="T954" t="s">
        <v>1874</v>
      </c>
      <c r="U954">
        <f>_xlfn.XLOOKUP(T954,$Y$2:$Y$45,$AB$2:$AB$45)*(Q954)</f>
        <v>-2.7</v>
      </c>
    </row>
    <row r="955" spans="1:21" x14ac:dyDescent="0.25">
      <c r="A955" s="2">
        <v>39222</v>
      </c>
      <c r="B955" s="13" t="s">
        <v>1521</v>
      </c>
      <c r="C955" s="14" t="s">
        <v>39</v>
      </c>
      <c r="D955" s="15">
        <v>45315</v>
      </c>
      <c r="E955" s="2">
        <v>0</v>
      </c>
      <c r="F955" s="14" t="s">
        <v>660</v>
      </c>
      <c r="G955" t="s">
        <v>661</v>
      </c>
      <c r="H955" s="14" t="s">
        <v>93</v>
      </c>
      <c r="I955" s="2">
        <v>-3</v>
      </c>
      <c r="J955" s="2">
        <v>0</v>
      </c>
      <c r="K955" s="2">
        <v>0</v>
      </c>
      <c r="L955" s="2"/>
      <c r="M955" s="2">
        <v>0</v>
      </c>
      <c r="N955" s="14"/>
      <c r="O955" s="14"/>
      <c r="P955" s="2">
        <v>295</v>
      </c>
      <c r="Q955" s="2">
        <v>-885</v>
      </c>
      <c r="R955" s="2">
        <v>0</v>
      </c>
      <c r="S955">
        <f t="shared" si="67"/>
        <v>0</v>
      </c>
      <c r="T955" t="s">
        <v>1874</v>
      </c>
      <c r="U955">
        <f>_xlfn.XLOOKUP(T955,$Y$2:$Y$45,$AB$2:$AB$45)*(Q955)</f>
        <v>-35.4</v>
      </c>
    </row>
    <row r="956" spans="1:21" hidden="1" x14ac:dyDescent="0.25">
      <c r="A956" s="2">
        <v>39223</v>
      </c>
      <c r="B956" s="13" t="s">
        <v>1522</v>
      </c>
      <c r="C956" s="14" t="s">
        <v>39</v>
      </c>
      <c r="D956" s="15">
        <v>45313</v>
      </c>
      <c r="E956" s="2">
        <v>0</v>
      </c>
      <c r="F956" s="14" t="s">
        <v>1523</v>
      </c>
      <c r="G956" t="s">
        <v>1231</v>
      </c>
      <c r="H956" s="14" t="s">
        <v>42</v>
      </c>
      <c r="I956" s="2">
        <v>1</v>
      </c>
      <c r="J956" s="2">
        <v>0</v>
      </c>
      <c r="K956" s="2">
        <v>0</v>
      </c>
      <c r="L956" s="2"/>
      <c r="M956" s="2">
        <v>0</v>
      </c>
      <c r="N956" s="14"/>
      <c r="O956" s="14"/>
      <c r="P956" s="2">
        <v>1069</v>
      </c>
      <c r="Q956" s="2">
        <v>1069</v>
      </c>
      <c r="R956" s="2">
        <v>876.41</v>
      </c>
      <c r="S956">
        <f t="shared" si="67"/>
        <v>876.41</v>
      </c>
      <c r="T956" t="s">
        <v>132</v>
      </c>
      <c r="U956" s="1">
        <f t="shared" ref="U956:U962" si="71">_xlfn.XLOOKUP(T956,$Y$2:$Y$45,$AA$2:$AA$45)*(Q956-S956)</f>
        <v>15.407200000000003</v>
      </c>
    </row>
    <row r="957" spans="1:21" hidden="1" x14ac:dyDescent="0.25">
      <c r="A957" s="2">
        <v>39224</v>
      </c>
      <c r="B957" s="13" t="s">
        <v>1524</v>
      </c>
      <c r="C957" s="14" t="s">
        <v>39</v>
      </c>
      <c r="D957" s="15">
        <v>45320</v>
      </c>
      <c r="E957" s="2">
        <v>0</v>
      </c>
      <c r="F957" s="14" t="s">
        <v>429</v>
      </c>
      <c r="G957" t="s">
        <v>665</v>
      </c>
      <c r="H957" s="14" t="s">
        <v>42</v>
      </c>
      <c r="I957" s="2">
        <v>1</v>
      </c>
      <c r="J957" s="2">
        <v>0</v>
      </c>
      <c r="K957" s="2">
        <v>0</v>
      </c>
      <c r="L957" s="2"/>
      <c r="M957" s="2">
        <v>0</v>
      </c>
      <c r="N957" s="14"/>
      <c r="O957" s="14"/>
      <c r="P957" s="2">
        <v>18</v>
      </c>
      <c r="Q957" s="2">
        <v>18</v>
      </c>
      <c r="R957" s="2">
        <v>0</v>
      </c>
      <c r="S957">
        <f t="shared" si="67"/>
        <v>0</v>
      </c>
      <c r="T957" t="s">
        <v>132</v>
      </c>
      <c r="U957" s="1">
        <f t="shared" si="71"/>
        <v>1.44</v>
      </c>
    </row>
    <row r="958" spans="1:21" hidden="1" x14ac:dyDescent="0.25">
      <c r="A958" s="2">
        <v>39224</v>
      </c>
      <c r="B958" s="13" t="s">
        <v>1524</v>
      </c>
      <c r="C958" s="14" t="s">
        <v>39</v>
      </c>
      <c r="D958" s="15">
        <v>45320</v>
      </c>
      <c r="E958" s="2">
        <v>0</v>
      </c>
      <c r="F958" s="14" t="s">
        <v>1525</v>
      </c>
      <c r="G958" t="s">
        <v>1526</v>
      </c>
      <c r="H958" s="14" t="s">
        <v>42</v>
      </c>
      <c r="I958" s="2">
        <v>1</v>
      </c>
      <c r="J958" s="2">
        <v>0</v>
      </c>
      <c r="K958" s="2">
        <v>0</v>
      </c>
      <c r="L958" s="2"/>
      <c r="M958" s="2">
        <v>0</v>
      </c>
      <c r="N958" s="14"/>
      <c r="O958" s="14"/>
      <c r="P958" s="2">
        <v>130</v>
      </c>
      <c r="Q958" s="2">
        <v>130</v>
      </c>
      <c r="R958" s="2">
        <v>96.21</v>
      </c>
      <c r="S958">
        <f t="shared" si="67"/>
        <v>96.21</v>
      </c>
      <c r="T958" t="s">
        <v>132</v>
      </c>
      <c r="U958" s="1">
        <f t="shared" si="71"/>
        <v>2.7032000000000007</v>
      </c>
    </row>
    <row r="959" spans="1:21" hidden="1" x14ac:dyDescent="0.25">
      <c r="A959" s="2">
        <v>39241</v>
      </c>
      <c r="B959" s="13" t="s">
        <v>1527</v>
      </c>
      <c r="C959" s="14" t="s">
        <v>39</v>
      </c>
      <c r="D959" s="15">
        <v>45320</v>
      </c>
      <c r="E959" s="2">
        <v>0</v>
      </c>
      <c r="F959" s="14" t="s">
        <v>1528</v>
      </c>
      <c r="G959" t="s">
        <v>1529</v>
      </c>
      <c r="H959" s="14" t="s">
        <v>42</v>
      </c>
      <c r="I959" s="2">
        <v>1</v>
      </c>
      <c r="J959" s="2">
        <v>0</v>
      </c>
      <c r="K959" s="2">
        <v>0</v>
      </c>
      <c r="L959" s="2"/>
      <c r="M959" s="2">
        <v>0</v>
      </c>
      <c r="N959" s="14"/>
      <c r="O959" s="14"/>
      <c r="P959" s="2">
        <v>644</v>
      </c>
      <c r="Q959" s="2">
        <v>644</v>
      </c>
      <c r="R959" s="2">
        <v>527.52</v>
      </c>
      <c r="S959">
        <f t="shared" si="67"/>
        <v>527.52</v>
      </c>
      <c r="T959" t="s">
        <v>1874</v>
      </c>
      <c r="U959" s="1">
        <f t="shared" si="71"/>
        <v>9.3184000000000022</v>
      </c>
    </row>
    <row r="960" spans="1:21" hidden="1" x14ac:dyDescent="0.25">
      <c r="A960" s="2">
        <v>39241</v>
      </c>
      <c r="B960" s="13" t="s">
        <v>1527</v>
      </c>
      <c r="C960" s="14" t="s">
        <v>39</v>
      </c>
      <c r="D960" s="15">
        <v>45320</v>
      </c>
      <c r="E960" s="2">
        <v>0</v>
      </c>
      <c r="F960" s="14" t="s">
        <v>1530</v>
      </c>
      <c r="G960" t="s">
        <v>1531</v>
      </c>
      <c r="H960" s="14" t="s">
        <v>42</v>
      </c>
      <c r="I960" s="2">
        <v>1</v>
      </c>
      <c r="J960" s="2">
        <v>0</v>
      </c>
      <c r="K960" s="2">
        <v>0</v>
      </c>
      <c r="L960" s="2"/>
      <c r="M960" s="2">
        <v>0</v>
      </c>
      <c r="N960" s="14"/>
      <c r="O960" s="14"/>
      <c r="P960" s="2">
        <v>1755</v>
      </c>
      <c r="Q960" s="2">
        <v>1755</v>
      </c>
      <c r="R960" s="2">
        <v>1438.4</v>
      </c>
      <c r="S960">
        <f t="shared" si="67"/>
        <v>1438.4</v>
      </c>
      <c r="T960" t="s">
        <v>1874</v>
      </c>
      <c r="U960" s="1">
        <f t="shared" si="71"/>
        <v>25.327999999999992</v>
      </c>
    </row>
    <row r="961" spans="1:21" hidden="1" x14ac:dyDescent="0.25">
      <c r="A961" s="2">
        <v>39242</v>
      </c>
      <c r="B961" s="13" t="s">
        <v>1532</v>
      </c>
      <c r="C961" s="14" t="s">
        <v>39</v>
      </c>
      <c r="D961" s="15">
        <v>45316</v>
      </c>
      <c r="E961" s="2">
        <v>0</v>
      </c>
      <c r="F961" s="14" t="s">
        <v>240</v>
      </c>
      <c r="G961" t="s">
        <v>241</v>
      </c>
      <c r="H961" s="14" t="s">
        <v>42</v>
      </c>
      <c r="I961" s="2">
        <v>1</v>
      </c>
      <c r="J961" s="2">
        <v>0</v>
      </c>
      <c r="K961" s="2">
        <v>0</v>
      </c>
      <c r="L961" s="2"/>
      <c r="M961" s="2">
        <v>0</v>
      </c>
      <c r="N961" s="14"/>
      <c r="O961" s="14"/>
      <c r="P961" s="2">
        <v>533</v>
      </c>
      <c r="Q961" s="2">
        <v>533</v>
      </c>
      <c r="R961" s="2">
        <v>436.8</v>
      </c>
      <c r="S961">
        <f t="shared" si="67"/>
        <v>436.8</v>
      </c>
      <c r="T961" t="s">
        <v>1874</v>
      </c>
      <c r="U961" s="1">
        <f t="shared" si="71"/>
        <v>7.6959999999999988</v>
      </c>
    </row>
    <row r="962" spans="1:21" hidden="1" x14ac:dyDescent="0.25">
      <c r="A962" s="2">
        <v>39243</v>
      </c>
      <c r="B962" s="13" t="s">
        <v>1533</v>
      </c>
      <c r="C962" s="14" t="s">
        <v>39</v>
      </c>
      <c r="D962" s="15">
        <v>45321</v>
      </c>
      <c r="E962" s="2">
        <v>0</v>
      </c>
      <c r="F962" s="14" t="s">
        <v>237</v>
      </c>
      <c r="G962" t="s">
        <v>238</v>
      </c>
      <c r="H962" s="14" t="s">
        <v>42</v>
      </c>
      <c r="I962" s="2">
        <v>1</v>
      </c>
      <c r="J962" s="2">
        <v>0</v>
      </c>
      <c r="K962" s="2">
        <v>0</v>
      </c>
      <c r="L962" s="2"/>
      <c r="M962" s="2">
        <v>0</v>
      </c>
      <c r="N962" s="14"/>
      <c r="O962" s="14"/>
      <c r="P962" s="2">
        <v>607</v>
      </c>
      <c r="Q962" s="2">
        <v>607</v>
      </c>
      <c r="R962" s="2">
        <v>497.28</v>
      </c>
      <c r="S962">
        <f t="shared" ref="S962:S1025" si="72">R962*I962</f>
        <v>497.28</v>
      </c>
      <c r="T962" t="s">
        <v>1874</v>
      </c>
      <c r="U962" s="1">
        <f t="shared" si="71"/>
        <v>8.7776000000000032</v>
      </c>
    </row>
    <row r="963" spans="1:21" x14ac:dyDescent="0.25">
      <c r="A963" s="2">
        <v>39244</v>
      </c>
      <c r="B963" s="13" t="s">
        <v>1534</v>
      </c>
      <c r="C963" s="14" t="s">
        <v>39</v>
      </c>
      <c r="D963" s="15">
        <v>45315</v>
      </c>
      <c r="E963" s="2">
        <v>0</v>
      </c>
      <c r="F963" s="14" t="s">
        <v>260</v>
      </c>
      <c r="G963" t="s">
        <v>313</v>
      </c>
      <c r="H963" s="14" t="s">
        <v>93</v>
      </c>
      <c r="I963" s="2">
        <v>4</v>
      </c>
      <c r="J963" s="2">
        <v>0</v>
      </c>
      <c r="K963" s="2">
        <v>0</v>
      </c>
      <c r="L963" s="2"/>
      <c r="M963" s="2">
        <v>0</v>
      </c>
      <c r="N963" s="14"/>
      <c r="O963" s="14"/>
      <c r="P963" s="2">
        <v>200</v>
      </c>
      <c r="Q963" s="2">
        <v>800</v>
      </c>
      <c r="R963" s="2">
        <v>0</v>
      </c>
      <c r="S963">
        <f t="shared" si="72"/>
        <v>0</v>
      </c>
      <c r="T963" t="s">
        <v>107</v>
      </c>
      <c r="U963">
        <f>_xlfn.XLOOKUP(T963,$Y$2:$Y$45,$AB$2:$AB$45)*(Q963)</f>
        <v>32</v>
      </c>
    </row>
    <row r="964" spans="1:21" hidden="1" x14ac:dyDescent="0.25">
      <c r="A964" s="2">
        <v>39244</v>
      </c>
      <c r="B964" s="13" t="s">
        <v>1534</v>
      </c>
      <c r="C964" s="14" t="s">
        <v>39</v>
      </c>
      <c r="D964" s="15">
        <v>45315</v>
      </c>
      <c r="E964" s="2">
        <v>0</v>
      </c>
      <c r="F964" s="14" t="s">
        <v>1535</v>
      </c>
      <c r="G964" t="s">
        <v>1536</v>
      </c>
      <c r="H964" s="14" t="s">
        <v>1364</v>
      </c>
      <c r="I964" s="2">
        <v>1</v>
      </c>
      <c r="J964" s="2">
        <v>0</v>
      </c>
      <c r="K964" s="2">
        <v>0</v>
      </c>
      <c r="L964" s="2"/>
      <c r="M964" s="2">
        <v>0</v>
      </c>
      <c r="N964" s="14"/>
      <c r="O964" s="14"/>
      <c r="P964" s="2">
        <v>300</v>
      </c>
      <c r="Q964" s="2">
        <v>300</v>
      </c>
      <c r="R964" s="2">
        <v>300</v>
      </c>
      <c r="S964">
        <f t="shared" si="72"/>
        <v>300</v>
      </c>
      <c r="T964" t="s">
        <v>107</v>
      </c>
      <c r="U964" s="1">
        <f t="shared" ref="U964:U969" si="73">_xlfn.XLOOKUP(T964,$Y$2:$Y$45,$AA$2:$AA$45)*(Q964-S964)</f>
        <v>0</v>
      </c>
    </row>
    <row r="965" spans="1:21" hidden="1" x14ac:dyDescent="0.25">
      <c r="A965" s="2">
        <v>39245</v>
      </c>
      <c r="B965" s="13" t="s">
        <v>1537</v>
      </c>
      <c r="C965" s="14" t="s">
        <v>39</v>
      </c>
      <c r="D965" s="15">
        <v>45320</v>
      </c>
      <c r="E965" s="2">
        <v>0</v>
      </c>
      <c r="F965" s="14" t="s">
        <v>1538</v>
      </c>
      <c r="G965" t="s">
        <v>1539</v>
      </c>
      <c r="H965" s="14" t="s">
        <v>42</v>
      </c>
      <c r="I965" s="2">
        <v>1</v>
      </c>
      <c r="J965" s="2">
        <v>0</v>
      </c>
      <c r="K965" s="2">
        <v>0</v>
      </c>
      <c r="L965" s="2"/>
      <c r="M965" s="2">
        <v>0</v>
      </c>
      <c r="N965" s="14"/>
      <c r="O965" s="14"/>
      <c r="P965" s="2">
        <v>379</v>
      </c>
      <c r="Q965" s="2">
        <v>379</v>
      </c>
      <c r="R965" s="2">
        <v>310.39999999999998</v>
      </c>
      <c r="S965">
        <f t="shared" si="72"/>
        <v>310.39999999999998</v>
      </c>
      <c r="T965" t="s">
        <v>1874</v>
      </c>
      <c r="U965" s="1">
        <f t="shared" si="73"/>
        <v>5.4880000000000022</v>
      </c>
    </row>
    <row r="966" spans="1:21" hidden="1" x14ac:dyDescent="0.25">
      <c r="A966" s="2">
        <v>39248</v>
      </c>
      <c r="B966" s="13" t="s">
        <v>1540</v>
      </c>
      <c r="C966" s="14" t="s">
        <v>39</v>
      </c>
      <c r="D966" s="15">
        <v>45320</v>
      </c>
      <c r="E966" s="2">
        <v>0</v>
      </c>
      <c r="F966" s="14" t="s">
        <v>240</v>
      </c>
      <c r="G966" t="s">
        <v>1541</v>
      </c>
      <c r="H966" s="14" t="s">
        <v>42</v>
      </c>
      <c r="I966" s="2">
        <v>1</v>
      </c>
      <c r="J966" s="2">
        <v>0</v>
      </c>
      <c r="K966" s="2">
        <v>0</v>
      </c>
      <c r="L966" s="2"/>
      <c r="M966" s="2">
        <v>0</v>
      </c>
      <c r="N966" s="14"/>
      <c r="O966" s="14"/>
      <c r="P966" s="2">
        <v>533</v>
      </c>
      <c r="Q966" s="2">
        <v>533</v>
      </c>
      <c r="R966" s="2">
        <v>436.8</v>
      </c>
      <c r="S966">
        <f t="shared" si="72"/>
        <v>436.8</v>
      </c>
      <c r="T966" t="s">
        <v>1874</v>
      </c>
      <c r="U966" s="1">
        <f t="shared" si="73"/>
        <v>7.6959999999999988</v>
      </c>
    </row>
    <row r="967" spans="1:21" hidden="1" x14ac:dyDescent="0.25">
      <c r="A967" s="2">
        <v>39248</v>
      </c>
      <c r="B967" s="13" t="s">
        <v>1540</v>
      </c>
      <c r="C967" s="14" t="s">
        <v>39</v>
      </c>
      <c r="D967" s="15">
        <v>45320</v>
      </c>
      <c r="E967" s="2">
        <v>0</v>
      </c>
      <c r="F967" s="14" t="s">
        <v>1542</v>
      </c>
      <c r="G967" t="s">
        <v>1543</v>
      </c>
      <c r="H967" s="14" t="s">
        <v>42</v>
      </c>
      <c r="I967" s="2">
        <v>1</v>
      </c>
      <c r="J967" s="2">
        <v>0</v>
      </c>
      <c r="K967" s="2">
        <v>0</v>
      </c>
      <c r="L967" s="2"/>
      <c r="M967" s="2">
        <v>0</v>
      </c>
      <c r="N967" s="14"/>
      <c r="O967" s="14"/>
      <c r="P967" s="2">
        <v>393</v>
      </c>
      <c r="Q967" s="2">
        <v>393</v>
      </c>
      <c r="R967" s="2">
        <v>322</v>
      </c>
      <c r="S967">
        <f t="shared" si="72"/>
        <v>322</v>
      </c>
      <c r="T967" t="s">
        <v>1874</v>
      </c>
      <c r="U967" s="1">
        <f t="shared" si="73"/>
        <v>5.68</v>
      </c>
    </row>
    <row r="968" spans="1:21" hidden="1" x14ac:dyDescent="0.25">
      <c r="A968" s="2">
        <v>39249</v>
      </c>
      <c r="B968" s="13" t="s">
        <v>1544</v>
      </c>
      <c r="C968" s="14" t="s">
        <v>39</v>
      </c>
      <c r="D968" s="15">
        <v>45315</v>
      </c>
      <c r="E968" s="2">
        <v>0</v>
      </c>
      <c r="F968" s="14" t="s">
        <v>1530</v>
      </c>
      <c r="G968" t="s">
        <v>1531</v>
      </c>
      <c r="H968" s="14" t="s">
        <v>42</v>
      </c>
      <c r="I968" s="2">
        <v>2</v>
      </c>
      <c r="J968" s="2">
        <v>0</v>
      </c>
      <c r="K968" s="2">
        <v>0</v>
      </c>
      <c r="L968" s="2"/>
      <c r="M968" s="2">
        <v>0</v>
      </c>
      <c r="N968" s="14"/>
      <c r="O968" s="14"/>
      <c r="P968" s="2">
        <v>1755</v>
      </c>
      <c r="Q968" s="2">
        <v>3510</v>
      </c>
      <c r="R968" s="2">
        <v>1438.4</v>
      </c>
      <c r="S968">
        <f t="shared" si="72"/>
        <v>2876.8</v>
      </c>
      <c r="T968" t="s">
        <v>1874</v>
      </c>
      <c r="U968" s="1">
        <f t="shared" si="73"/>
        <v>50.655999999999985</v>
      </c>
    </row>
    <row r="969" spans="1:21" hidden="1" x14ac:dyDescent="0.25">
      <c r="A969" s="2">
        <v>39255</v>
      </c>
      <c r="B969" s="13" t="s">
        <v>1545</v>
      </c>
      <c r="C969" s="14" t="s">
        <v>39</v>
      </c>
      <c r="D969" s="15">
        <v>45314</v>
      </c>
      <c r="E969" s="2">
        <v>0</v>
      </c>
      <c r="F969" s="14" t="s">
        <v>1546</v>
      </c>
      <c r="G969" t="s">
        <v>1547</v>
      </c>
      <c r="H969" s="14" t="s">
        <v>42</v>
      </c>
      <c r="I969" s="2">
        <v>1</v>
      </c>
      <c r="J969" s="2">
        <v>0</v>
      </c>
      <c r="K969" s="2">
        <v>0</v>
      </c>
      <c r="L969" s="2"/>
      <c r="M969" s="2">
        <v>0</v>
      </c>
      <c r="N969" s="14"/>
      <c r="O969" s="14"/>
      <c r="P969" s="2">
        <v>76</v>
      </c>
      <c r="Q969" s="2">
        <v>76</v>
      </c>
      <c r="R969" s="2">
        <v>62.28</v>
      </c>
      <c r="S969">
        <f t="shared" si="72"/>
        <v>62.28</v>
      </c>
      <c r="T969" t="s">
        <v>1874</v>
      </c>
      <c r="U969" s="1">
        <f t="shared" si="73"/>
        <v>1.0975999999999999</v>
      </c>
    </row>
    <row r="970" spans="1:21" x14ac:dyDescent="0.25">
      <c r="A970" s="2">
        <v>39258</v>
      </c>
      <c r="B970" s="13" t="s">
        <v>1548</v>
      </c>
      <c r="C970" s="14" t="s">
        <v>39</v>
      </c>
      <c r="D970" s="15">
        <v>45321</v>
      </c>
      <c r="E970" s="2">
        <v>0</v>
      </c>
      <c r="F970" s="14" t="s">
        <v>423</v>
      </c>
      <c r="G970" t="s">
        <v>424</v>
      </c>
      <c r="H970" s="14" t="s">
        <v>93</v>
      </c>
      <c r="I970" s="2">
        <v>65</v>
      </c>
      <c r="J970" s="2">
        <v>0</v>
      </c>
      <c r="K970" s="2">
        <v>0</v>
      </c>
      <c r="L970" s="2"/>
      <c r="M970" s="2">
        <v>0</v>
      </c>
      <c r="N970" s="14"/>
      <c r="O970" s="14"/>
      <c r="P970" s="2">
        <v>205</v>
      </c>
      <c r="Q970" s="2">
        <v>13325</v>
      </c>
      <c r="R970" s="2">
        <v>0</v>
      </c>
      <c r="S970">
        <f t="shared" si="72"/>
        <v>0</v>
      </c>
      <c r="T970" t="s">
        <v>43</v>
      </c>
      <c r="U970">
        <f>_xlfn.XLOOKUP(T970,$Y$2:$Y$45,$AB$2:$AB$45)*(Q970)</f>
        <v>533</v>
      </c>
    </row>
    <row r="971" spans="1:21" x14ac:dyDescent="0.25">
      <c r="A971" s="2">
        <v>39258</v>
      </c>
      <c r="B971" s="13" t="s">
        <v>1548</v>
      </c>
      <c r="C971" s="14" t="s">
        <v>39</v>
      </c>
      <c r="D971" s="15">
        <v>45321</v>
      </c>
      <c r="E971" s="2">
        <v>0</v>
      </c>
      <c r="F971" s="14" t="s">
        <v>1549</v>
      </c>
      <c r="G971" t="s">
        <v>1550</v>
      </c>
      <c r="H971" s="14" t="s">
        <v>93</v>
      </c>
      <c r="I971" s="2">
        <v>1</v>
      </c>
      <c r="J971" s="2">
        <v>0</v>
      </c>
      <c r="K971" s="2">
        <v>0</v>
      </c>
      <c r="L971" s="2"/>
      <c r="M971" s="2">
        <v>0</v>
      </c>
      <c r="N971" s="14"/>
      <c r="O971" s="14"/>
      <c r="P971" s="2">
        <v>-1300</v>
      </c>
      <c r="Q971" s="2">
        <v>-1300</v>
      </c>
      <c r="R971" s="2">
        <v>0.01</v>
      </c>
      <c r="S971">
        <f t="shared" si="72"/>
        <v>0.01</v>
      </c>
      <c r="T971" t="s">
        <v>43</v>
      </c>
      <c r="U971">
        <f>_xlfn.XLOOKUP(T971,$Y$2:$Y$45,$AB$2:$AB$45)*(Q971)</f>
        <v>-52</v>
      </c>
    </row>
    <row r="972" spans="1:21" hidden="1" x14ac:dyDescent="0.25">
      <c r="A972" s="2">
        <v>39259</v>
      </c>
      <c r="B972" s="13" t="s">
        <v>1551</v>
      </c>
      <c r="C972" s="14" t="s">
        <v>39</v>
      </c>
      <c r="D972" s="15">
        <v>45314</v>
      </c>
      <c r="E972" s="2">
        <v>0</v>
      </c>
      <c r="F972" s="14" t="s">
        <v>683</v>
      </c>
      <c r="G972" t="s">
        <v>684</v>
      </c>
      <c r="H972" s="14" t="s">
        <v>42</v>
      </c>
      <c r="I972" s="2">
        <v>3</v>
      </c>
      <c r="J972" s="2">
        <v>0</v>
      </c>
      <c r="K972" s="2">
        <v>0</v>
      </c>
      <c r="L972" s="2"/>
      <c r="M972" s="2">
        <v>0</v>
      </c>
      <c r="N972" s="14"/>
      <c r="O972" s="14"/>
      <c r="P972" s="2">
        <v>335.99</v>
      </c>
      <c r="Q972" s="2">
        <v>1007.97</v>
      </c>
      <c r="R972" s="2">
        <v>279.99</v>
      </c>
      <c r="S972">
        <f t="shared" si="72"/>
        <v>839.97</v>
      </c>
      <c r="T972" t="s">
        <v>132</v>
      </c>
      <c r="U972" s="1">
        <f>_xlfn.XLOOKUP(T972,$Y$2:$Y$45,$AA$2:$AA$45)*(Q972-S972)</f>
        <v>13.44</v>
      </c>
    </row>
    <row r="973" spans="1:21" hidden="1" x14ac:dyDescent="0.25">
      <c r="A973" s="2">
        <v>39266</v>
      </c>
      <c r="B973" s="13" t="s">
        <v>1552</v>
      </c>
      <c r="C973" s="14" t="s">
        <v>39</v>
      </c>
      <c r="D973" s="15">
        <v>45314</v>
      </c>
      <c r="E973" s="2">
        <v>0</v>
      </c>
      <c r="F973" s="14" t="s">
        <v>1553</v>
      </c>
      <c r="G973" t="s">
        <v>1554</v>
      </c>
      <c r="H973" s="14" t="s">
        <v>42</v>
      </c>
      <c r="I973" s="2">
        <v>24</v>
      </c>
      <c r="J973" s="2">
        <v>0</v>
      </c>
      <c r="K973" s="2">
        <v>0</v>
      </c>
      <c r="L973" s="2"/>
      <c r="M973" s="2">
        <v>0</v>
      </c>
      <c r="N973" s="14"/>
      <c r="O973" s="14"/>
      <c r="P973" s="2">
        <v>12</v>
      </c>
      <c r="Q973" s="2">
        <v>288</v>
      </c>
      <c r="R973" s="2">
        <v>9.5399999999999991</v>
      </c>
      <c r="S973">
        <f t="shared" si="72"/>
        <v>228.95999999999998</v>
      </c>
      <c r="T973" t="s">
        <v>51</v>
      </c>
      <c r="U973" s="1">
        <f>_xlfn.XLOOKUP(T973,$Y$2:$Y$45,$AA$2:$AA$45)*(Q973-S973)</f>
        <v>5.0184000000000024</v>
      </c>
    </row>
    <row r="974" spans="1:21" hidden="1" x14ac:dyDescent="0.25">
      <c r="A974" s="2">
        <v>39269</v>
      </c>
      <c r="B974" s="13" t="s">
        <v>1555</v>
      </c>
      <c r="C974" s="14" t="s">
        <v>39</v>
      </c>
      <c r="D974" s="15">
        <v>45316</v>
      </c>
      <c r="E974" s="2">
        <v>0</v>
      </c>
      <c r="F974" s="14" t="s">
        <v>1442</v>
      </c>
      <c r="G974" t="s">
        <v>1443</v>
      </c>
      <c r="H974" s="14" t="s">
        <v>42</v>
      </c>
      <c r="I974" s="2">
        <v>5</v>
      </c>
      <c r="J974" s="2">
        <v>0</v>
      </c>
      <c r="K974" s="2">
        <v>0</v>
      </c>
      <c r="L974" s="2"/>
      <c r="M974" s="2">
        <v>0</v>
      </c>
      <c r="N974" s="14"/>
      <c r="O974" s="14"/>
      <c r="P974" s="2">
        <v>968.36</v>
      </c>
      <c r="Q974" s="2">
        <v>4841.8</v>
      </c>
      <c r="R974" s="2">
        <v>842.05</v>
      </c>
      <c r="S974">
        <f t="shared" si="72"/>
        <v>4210.25</v>
      </c>
      <c r="T974" t="s">
        <v>1874</v>
      </c>
      <c r="U974" s="1">
        <f>_xlfn.XLOOKUP(T974,$Y$2:$Y$45,$AA$2:$AA$45)*(Q974-S974)</f>
        <v>50.524000000000015</v>
      </c>
    </row>
    <row r="975" spans="1:21" hidden="1" x14ac:dyDescent="0.25">
      <c r="A975" s="2">
        <v>39269</v>
      </c>
      <c r="B975" s="13" t="s">
        <v>1555</v>
      </c>
      <c r="C975" s="14" t="s">
        <v>39</v>
      </c>
      <c r="D975" s="15">
        <v>45316</v>
      </c>
      <c r="E975" s="2">
        <v>0</v>
      </c>
      <c r="F975" s="14" t="s">
        <v>686</v>
      </c>
      <c r="G975" t="s">
        <v>1556</v>
      </c>
      <c r="H975" s="14" t="s">
        <v>42</v>
      </c>
      <c r="I975" s="2">
        <v>5</v>
      </c>
      <c r="J975" s="2">
        <v>0</v>
      </c>
      <c r="K975" s="2">
        <v>0</v>
      </c>
      <c r="L975" s="2"/>
      <c r="M975" s="2">
        <v>0</v>
      </c>
      <c r="N975" s="14"/>
      <c r="O975" s="14"/>
      <c r="P975" s="2">
        <v>226.22</v>
      </c>
      <c r="Q975" s="2">
        <v>1131.0999999999999</v>
      </c>
      <c r="R975" s="2">
        <v>196.71</v>
      </c>
      <c r="S975">
        <f t="shared" si="72"/>
        <v>983.55000000000007</v>
      </c>
      <c r="T975" t="s">
        <v>1874</v>
      </c>
      <c r="U975" s="1">
        <f>_xlfn.XLOOKUP(T975,$Y$2:$Y$45,$AA$2:$AA$45)*(Q975-S975)</f>
        <v>11.803999999999988</v>
      </c>
    </row>
    <row r="976" spans="1:21" x14ac:dyDescent="0.25">
      <c r="A976" s="2">
        <v>39269</v>
      </c>
      <c r="B976" s="13" t="s">
        <v>1555</v>
      </c>
      <c r="C976" s="14" t="s">
        <v>39</v>
      </c>
      <c r="D976" s="15">
        <v>45316</v>
      </c>
      <c r="E976" s="2">
        <v>0</v>
      </c>
      <c r="F976" s="14" t="s">
        <v>533</v>
      </c>
      <c r="G976" t="s">
        <v>534</v>
      </c>
      <c r="H976" s="14" t="s">
        <v>93</v>
      </c>
      <c r="I976" s="2">
        <v>5</v>
      </c>
      <c r="J976" s="2">
        <v>0</v>
      </c>
      <c r="K976" s="2">
        <v>0</v>
      </c>
      <c r="L976" s="2"/>
      <c r="M976" s="2">
        <v>0</v>
      </c>
      <c r="N976" s="14"/>
      <c r="O976" s="14"/>
      <c r="P976" s="2">
        <v>149</v>
      </c>
      <c r="Q976" s="2">
        <v>745</v>
      </c>
      <c r="R976" s="2">
        <v>0</v>
      </c>
      <c r="S976">
        <f t="shared" si="72"/>
        <v>0</v>
      </c>
      <c r="T976" t="s">
        <v>1874</v>
      </c>
      <c r="U976">
        <f>_xlfn.XLOOKUP(T976,$Y$2:$Y$45,$AB$2:$AB$45)*(Q976)</f>
        <v>29.8</v>
      </c>
    </row>
    <row r="977" spans="1:21" hidden="1" x14ac:dyDescent="0.25">
      <c r="A977" s="2">
        <v>39270</v>
      </c>
      <c r="B977" s="13" t="s">
        <v>1557</v>
      </c>
      <c r="C977" s="14" t="s">
        <v>39</v>
      </c>
      <c r="D977" s="15">
        <v>45316</v>
      </c>
      <c r="E977" s="2">
        <v>0</v>
      </c>
      <c r="F977" s="14" t="s">
        <v>1411</v>
      </c>
      <c r="G977" t="s">
        <v>1412</v>
      </c>
      <c r="H977" s="14" t="s">
        <v>42</v>
      </c>
      <c r="I977" s="2">
        <v>4</v>
      </c>
      <c r="J977" s="2">
        <v>0</v>
      </c>
      <c r="K977" s="2">
        <v>0</v>
      </c>
      <c r="L977" s="2"/>
      <c r="M977" s="2">
        <v>0</v>
      </c>
      <c r="N977" s="14"/>
      <c r="O977" s="14"/>
      <c r="P977" s="2">
        <v>326.60000000000002</v>
      </c>
      <c r="Q977" s="2">
        <v>1306.4000000000001</v>
      </c>
      <c r="R977" s="2">
        <v>284</v>
      </c>
      <c r="S977">
        <f t="shared" si="72"/>
        <v>1136</v>
      </c>
      <c r="T977" t="s">
        <v>1874</v>
      </c>
      <c r="U977" s="1">
        <f>_xlfn.XLOOKUP(T977,$Y$2:$Y$45,$AA$2:$AA$45)*(Q977-S977)</f>
        <v>13.632000000000007</v>
      </c>
    </row>
    <row r="978" spans="1:21" hidden="1" x14ac:dyDescent="0.25">
      <c r="A978" s="2">
        <v>39270</v>
      </c>
      <c r="B978" s="13" t="s">
        <v>1557</v>
      </c>
      <c r="C978" s="14" t="s">
        <v>39</v>
      </c>
      <c r="D978" s="15">
        <v>45316</v>
      </c>
      <c r="E978" s="2">
        <v>0</v>
      </c>
      <c r="F978" s="14" t="s">
        <v>1558</v>
      </c>
      <c r="G978" t="s">
        <v>1559</v>
      </c>
      <c r="H978" s="14" t="s">
        <v>42</v>
      </c>
      <c r="I978" s="2">
        <v>4</v>
      </c>
      <c r="J978" s="2">
        <v>0</v>
      </c>
      <c r="K978" s="2">
        <v>0</v>
      </c>
      <c r="L978" s="2"/>
      <c r="M978" s="2">
        <v>0</v>
      </c>
      <c r="N978" s="14"/>
      <c r="O978" s="14"/>
      <c r="P978" s="2">
        <v>2159.27</v>
      </c>
      <c r="Q978" s="2">
        <v>8637.08</v>
      </c>
      <c r="R978" s="2">
        <v>1877.63</v>
      </c>
      <c r="S978">
        <f t="shared" si="72"/>
        <v>7510.52</v>
      </c>
      <c r="T978" t="s">
        <v>1874</v>
      </c>
      <c r="U978" s="1">
        <f>_xlfn.XLOOKUP(T978,$Y$2:$Y$45,$AA$2:$AA$45)*(Q978-S978)</f>
        <v>90.124799999999965</v>
      </c>
    </row>
    <row r="979" spans="1:21" x14ac:dyDescent="0.25">
      <c r="A979" s="2">
        <v>39270</v>
      </c>
      <c r="B979" s="13" t="s">
        <v>1557</v>
      </c>
      <c r="C979" s="14" t="s">
        <v>39</v>
      </c>
      <c r="D979" s="15">
        <v>45316</v>
      </c>
      <c r="E979" s="2">
        <v>0</v>
      </c>
      <c r="F979" s="14" t="s">
        <v>533</v>
      </c>
      <c r="G979" t="s">
        <v>534</v>
      </c>
      <c r="H979" s="14" t="s">
        <v>93</v>
      </c>
      <c r="I979" s="2">
        <v>4</v>
      </c>
      <c r="J979" s="2">
        <v>0</v>
      </c>
      <c r="K979" s="2">
        <v>0</v>
      </c>
      <c r="L979" s="2"/>
      <c r="M979" s="2">
        <v>0</v>
      </c>
      <c r="N979" s="14"/>
      <c r="O979" s="14"/>
      <c r="P979" s="2">
        <v>149</v>
      </c>
      <c r="Q979" s="2">
        <v>596</v>
      </c>
      <c r="R979" s="2">
        <v>0</v>
      </c>
      <c r="S979">
        <f t="shared" si="72"/>
        <v>0</v>
      </c>
      <c r="T979" t="s">
        <v>1874</v>
      </c>
      <c r="U979">
        <f>_xlfn.XLOOKUP(T979,$Y$2:$Y$45,$AB$2:$AB$45)*(Q979)</f>
        <v>23.84</v>
      </c>
    </row>
    <row r="980" spans="1:21" x14ac:dyDescent="0.25">
      <c r="A980" s="2">
        <v>39274</v>
      </c>
      <c r="B980" s="13" t="s">
        <v>1560</v>
      </c>
      <c r="C980" s="14" t="s">
        <v>39</v>
      </c>
      <c r="D980" s="15">
        <v>45316</v>
      </c>
      <c r="E980" s="2">
        <v>0</v>
      </c>
      <c r="F980" s="14" t="s">
        <v>260</v>
      </c>
      <c r="G980" t="s">
        <v>279</v>
      </c>
      <c r="H980" s="14" t="s">
        <v>93</v>
      </c>
      <c r="I980" s="2">
        <v>1</v>
      </c>
      <c r="J980" s="2">
        <v>0</v>
      </c>
      <c r="K980" s="2">
        <v>0</v>
      </c>
      <c r="L980" s="2"/>
      <c r="M980" s="2">
        <v>0</v>
      </c>
      <c r="N980" s="14"/>
      <c r="O980" s="14"/>
      <c r="P980" s="2">
        <v>200</v>
      </c>
      <c r="Q980" s="2">
        <v>200</v>
      </c>
      <c r="R980" s="2">
        <v>0</v>
      </c>
      <c r="S980">
        <f t="shared" si="72"/>
        <v>0</v>
      </c>
      <c r="T980" t="s">
        <v>132</v>
      </c>
      <c r="U980">
        <f>_xlfn.XLOOKUP(T980,$Y$2:$Y$45,$AB$2:$AB$45)*(Q980)</f>
        <v>8</v>
      </c>
    </row>
    <row r="981" spans="1:21" hidden="1" x14ac:dyDescent="0.25">
      <c r="A981" s="2">
        <v>39275</v>
      </c>
      <c r="B981" s="13" t="s">
        <v>1561</v>
      </c>
      <c r="C981" s="14" t="s">
        <v>39</v>
      </c>
      <c r="D981" s="15">
        <v>45315</v>
      </c>
      <c r="E981" s="2">
        <v>0</v>
      </c>
      <c r="F981" s="14" t="s">
        <v>1562</v>
      </c>
      <c r="G981" t="s">
        <v>1561</v>
      </c>
      <c r="H981" s="14" t="s">
        <v>42</v>
      </c>
      <c r="I981" s="2">
        <v>1</v>
      </c>
      <c r="J981" s="2">
        <v>0</v>
      </c>
      <c r="K981" s="2">
        <v>0</v>
      </c>
      <c r="L981" s="2"/>
      <c r="M981" s="2">
        <v>0</v>
      </c>
      <c r="N981" s="14"/>
      <c r="O981" s="14"/>
      <c r="P981" s="2">
        <v>1054</v>
      </c>
      <c r="Q981" s="2">
        <v>1054</v>
      </c>
      <c r="R981" s="2">
        <v>960.31</v>
      </c>
      <c r="S981">
        <f t="shared" si="72"/>
        <v>960.31</v>
      </c>
      <c r="T981" t="s">
        <v>56</v>
      </c>
      <c r="U981" s="1">
        <f>_xlfn.XLOOKUP(T981,$Y$2:$Y$45,$AA$2:$AA$45)*(Q981-S981)</f>
        <v>7.9636500000000048</v>
      </c>
    </row>
    <row r="982" spans="1:21" hidden="1" x14ac:dyDescent="0.25">
      <c r="A982" s="2">
        <v>39276</v>
      </c>
      <c r="B982" s="13" t="s">
        <v>1563</v>
      </c>
      <c r="C982" s="14" t="s">
        <v>39</v>
      </c>
      <c r="D982" s="15">
        <v>45314</v>
      </c>
      <c r="E982" s="2">
        <v>0</v>
      </c>
      <c r="F982" s="14" t="s">
        <v>1564</v>
      </c>
      <c r="G982" t="s">
        <v>1565</v>
      </c>
      <c r="H982" s="14" t="s">
        <v>42</v>
      </c>
      <c r="I982" s="2">
        <v>2</v>
      </c>
      <c r="J982" s="2">
        <v>0</v>
      </c>
      <c r="K982" s="2">
        <v>0</v>
      </c>
      <c r="L982" s="2"/>
      <c r="M982" s="2">
        <v>0</v>
      </c>
      <c r="N982" s="14"/>
      <c r="O982" s="14"/>
      <c r="P982" s="2">
        <v>120.41</v>
      </c>
      <c r="Q982" s="2">
        <v>240.82</v>
      </c>
      <c r="R982" s="2">
        <v>102.35</v>
      </c>
      <c r="S982">
        <f t="shared" si="72"/>
        <v>204.7</v>
      </c>
      <c r="T982" t="s">
        <v>132</v>
      </c>
      <c r="U982" s="1">
        <f>_xlfn.XLOOKUP(T982,$Y$2:$Y$45,$AA$2:$AA$45)*(Q982-S982)</f>
        <v>2.8896000000000006</v>
      </c>
    </row>
    <row r="983" spans="1:21" hidden="1" x14ac:dyDescent="0.25">
      <c r="A983" s="2">
        <v>39277</v>
      </c>
      <c r="B983" s="13" t="s">
        <v>1566</v>
      </c>
      <c r="C983" s="14" t="s">
        <v>39</v>
      </c>
      <c r="D983" s="15">
        <v>45322</v>
      </c>
      <c r="E983" s="2">
        <v>0</v>
      </c>
      <c r="F983" s="14" t="s">
        <v>1567</v>
      </c>
      <c r="G983" t="s">
        <v>1568</v>
      </c>
      <c r="H983" s="14" t="s">
        <v>42</v>
      </c>
      <c r="I983" s="2">
        <v>2</v>
      </c>
      <c r="J983" s="2">
        <v>0</v>
      </c>
      <c r="K983" s="2">
        <v>0</v>
      </c>
      <c r="L983" s="2"/>
      <c r="M983" s="2">
        <v>0</v>
      </c>
      <c r="N983" s="14"/>
      <c r="O983" s="14"/>
      <c r="P983" s="2">
        <v>964</v>
      </c>
      <c r="Q983" s="2">
        <v>1928</v>
      </c>
      <c r="R983" s="2">
        <v>770.9</v>
      </c>
      <c r="S983">
        <f t="shared" si="72"/>
        <v>1541.8</v>
      </c>
      <c r="T983" t="s">
        <v>150</v>
      </c>
      <c r="U983" s="1">
        <f>_xlfn.XLOOKUP(T983,$Y$2:$Y$45,$AA$2:$AA$45)*(Q983-S983)</f>
        <v>30.896000000000004</v>
      </c>
    </row>
    <row r="984" spans="1:21" hidden="1" x14ac:dyDescent="0.25">
      <c r="A984" s="2">
        <v>39278</v>
      </c>
      <c r="B984" s="13" t="s">
        <v>1569</v>
      </c>
      <c r="C984" s="14" t="s">
        <v>39</v>
      </c>
      <c r="D984" s="15">
        <v>45317</v>
      </c>
      <c r="E984" s="2">
        <v>0</v>
      </c>
      <c r="F984" s="14" t="s">
        <v>1570</v>
      </c>
      <c r="G984" t="s">
        <v>1571</v>
      </c>
      <c r="H984" s="14" t="s">
        <v>42</v>
      </c>
      <c r="I984" s="2">
        <v>1</v>
      </c>
      <c r="J984" s="2">
        <v>0</v>
      </c>
      <c r="K984" s="2">
        <v>0</v>
      </c>
      <c r="L984" s="2"/>
      <c r="M984" s="2">
        <v>0</v>
      </c>
      <c r="N984" s="14"/>
      <c r="O984" s="14"/>
      <c r="P984" s="2">
        <v>559</v>
      </c>
      <c r="Q984" s="2">
        <v>559</v>
      </c>
      <c r="R984" s="2">
        <v>462.6</v>
      </c>
      <c r="S984">
        <f t="shared" si="72"/>
        <v>462.6</v>
      </c>
      <c r="T984" t="s">
        <v>107</v>
      </c>
      <c r="U984" s="1">
        <f>_xlfn.XLOOKUP(T984,$Y$2:$Y$45,$AA$2:$AA$45)*(Q984-S984)</f>
        <v>3.855999999999999</v>
      </c>
    </row>
    <row r="985" spans="1:21" x14ac:dyDescent="0.25">
      <c r="A985" s="2">
        <v>39278</v>
      </c>
      <c r="B985" s="13" t="s">
        <v>1569</v>
      </c>
      <c r="C985" s="14" t="s">
        <v>39</v>
      </c>
      <c r="D985" s="15">
        <v>45317</v>
      </c>
      <c r="E985" s="2">
        <v>0</v>
      </c>
      <c r="F985" s="14" t="s">
        <v>260</v>
      </c>
      <c r="G985" t="s">
        <v>313</v>
      </c>
      <c r="H985" s="14" t="s">
        <v>93</v>
      </c>
      <c r="I985" s="2">
        <v>1</v>
      </c>
      <c r="J985" s="2">
        <v>0</v>
      </c>
      <c r="K985" s="2">
        <v>0</v>
      </c>
      <c r="L985" s="2"/>
      <c r="M985" s="2">
        <v>0</v>
      </c>
      <c r="N985" s="14"/>
      <c r="O985" s="14"/>
      <c r="P985" s="2">
        <v>185</v>
      </c>
      <c r="Q985" s="2">
        <v>185</v>
      </c>
      <c r="R985" s="2">
        <v>0</v>
      </c>
      <c r="S985">
        <f t="shared" si="72"/>
        <v>0</v>
      </c>
      <c r="T985" t="s">
        <v>107</v>
      </c>
      <c r="U985">
        <f>_xlfn.XLOOKUP(T985,$Y$2:$Y$45,$AB$2:$AB$45)*(Q985)</f>
        <v>7.4</v>
      </c>
    </row>
    <row r="986" spans="1:21" hidden="1" x14ac:dyDescent="0.25">
      <c r="A986" s="2">
        <v>39281</v>
      </c>
      <c r="B986" s="13" t="s">
        <v>1572</v>
      </c>
      <c r="C986" s="14" t="s">
        <v>39</v>
      </c>
      <c r="D986" s="15">
        <v>45316</v>
      </c>
      <c r="E986" s="2">
        <v>0</v>
      </c>
      <c r="F986" s="14" t="s">
        <v>1573</v>
      </c>
      <c r="G986" t="s">
        <v>1574</v>
      </c>
      <c r="H986" s="14" t="s">
        <v>42</v>
      </c>
      <c r="I986" s="2">
        <v>2</v>
      </c>
      <c r="J986" s="2">
        <v>0</v>
      </c>
      <c r="K986" s="2">
        <v>0</v>
      </c>
      <c r="L986" s="2"/>
      <c r="M986" s="2">
        <v>0</v>
      </c>
      <c r="N986" s="14"/>
      <c r="O986" s="14"/>
      <c r="P986" s="2">
        <v>33.32</v>
      </c>
      <c r="Q986" s="2">
        <v>66.64</v>
      </c>
      <c r="R986" s="2">
        <v>29.99</v>
      </c>
      <c r="S986">
        <f t="shared" si="72"/>
        <v>59.98</v>
      </c>
      <c r="T986" t="s">
        <v>132</v>
      </c>
      <c r="U986" s="1">
        <f>_xlfn.XLOOKUP(T986,$Y$2:$Y$45,$AA$2:$AA$45)*(Q986-S986)</f>
        <v>0.53280000000000027</v>
      </c>
    </row>
    <row r="987" spans="1:21" hidden="1" x14ac:dyDescent="0.25">
      <c r="A987" s="2">
        <v>39281</v>
      </c>
      <c r="B987" s="13" t="s">
        <v>1572</v>
      </c>
      <c r="C987" s="14" t="s">
        <v>39</v>
      </c>
      <c r="D987" s="15">
        <v>45316</v>
      </c>
      <c r="E987" s="2">
        <v>0</v>
      </c>
      <c r="F987" s="14" t="s">
        <v>1575</v>
      </c>
      <c r="G987" t="s">
        <v>1576</v>
      </c>
      <c r="H987" s="14" t="s">
        <v>42</v>
      </c>
      <c r="I987" s="2">
        <v>2</v>
      </c>
      <c r="J987" s="2">
        <v>0</v>
      </c>
      <c r="K987" s="2">
        <v>0</v>
      </c>
      <c r="L987" s="2"/>
      <c r="M987" s="2">
        <v>0</v>
      </c>
      <c r="N987" s="14"/>
      <c r="O987" s="14"/>
      <c r="P987" s="2">
        <v>1092.71</v>
      </c>
      <c r="Q987" s="2">
        <v>2185.42</v>
      </c>
      <c r="R987" s="2">
        <v>1049</v>
      </c>
      <c r="S987">
        <f t="shared" si="72"/>
        <v>2098</v>
      </c>
      <c r="T987" t="s">
        <v>132</v>
      </c>
      <c r="U987" s="1">
        <f>_xlfn.XLOOKUP(T987,$Y$2:$Y$45,$AA$2:$AA$45)*(Q987-S987)</f>
        <v>6.993600000000006</v>
      </c>
    </row>
    <row r="988" spans="1:21" hidden="1" x14ac:dyDescent="0.25">
      <c r="A988" s="2">
        <v>39281</v>
      </c>
      <c r="B988" s="13" t="s">
        <v>1572</v>
      </c>
      <c r="C988" s="14" t="s">
        <v>39</v>
      </c>
      <c r="D988" s="15">
        <v>45316</v>
      </c>
      <c r="E988" s="2">
        <v>0</v>
      </c>
      <c r="F988" s="14" t="s">
        <v>699</v>
      </c>
      <c r="G988" t="s">
        <v>631</v>
      </c>
      <c r="H988" s="14" t="s">
        <v>42</v>
      </c>
      <c r="I988" s="2">
        <v>2</v>
      </c>
      <c r="J988" s="2">
        <v>0</v>
      </c>
      <c r="K988" s="2">
        <v>0</v>
      </c>
      <c r="L988" s="2"/>
      <c r="M988" s="2">
        <v>0</v>
      </c>
      <c r="N988" s="14"/>
      <c r="O988" s="14"/>
      <c r="P988" s="2">
        <v>4</v>
      </c>
      <c r="Q988" s="2">
        <v>8</v>
      </c>
      <c r="R988" s="2">
        <v>4</v>
      </c>
      <c r="S988">
        <f t="shared" si="72"/>
        <v>8</v>
      </c>
      <c r="T988" t="s">
        <v>132</v>
      </c>
      <c r="U988" s="1">
        <f>_xlfn.XLOOKUP(T988,$Y$2:$Y$45,$AA$2:$AA$45)*(Q988-S988)</f>
        <v>0</v>
      </c>
    </row>
    <row r="989" spans="1:21" hidden="1" x14ac:dyDescent="0.25">
      <c r="A989" s="2">
        <v>39281</v>
      </c>
      <c r="B989" s="13" t="s">
        <v>1572</v>
      </c>
      <c r="C989" s="14" t="s">
        <v>39</v>
      </c>
      <c r="D989" s="15">
        <v>45316</v>
      </c>
      <c r="E989" s="2">
        <v>0</v>
      </c>
      <c r="F989" s="14" t="s">
        <v>1577</v>
      </c>
      <c r="G989" t="s">
        <v>1578</v>
      </c>
      <c r="H989" s="14" t="s">
        <v>42</v>
      </c>
      <c r="I989" s="2">
        <v>2</v>
      </c>
      <c r="J989" s="2">
        <v>0</v>
      </c>
      <c r="K989" s="2">
        <v>0</v>
      </c>
      <c r="L989" s="2"/>
      <c r="M989" s="2">
        <v>0</v>
      </c>
      <c r="N989" s="14"/>
      <c r="O989" s="14"/>
      <c r="P989" s="2">
        <v>32.99</v>
      </c>
      <c r="Q989" s="2">
        <v>65.98</v>
      </c>
      <c r="R989" s="2">
        <v>29.99</v>
      </c>
      <c r="S989">
        <f t="shared" si="72"/>
        <v>59.98</v>
      </c>
      <c r="T989" t="s">
        <v>132</v>
      </c>
      <c r="U989" s="1">
        <f>_xlfn.XLOOKUP(T989,$Y$2:$Y$45,$AA$2:$AA$45)*(Q989-S989)</f>
        <v>0.48000000000000059</v>
      </c>
    </row>
    <row r="990" spans="1:21" x14ac:dyDescent="0.25">
      <c r="A990" s="2">
        <v>39281</v>
      </c>
      <c r="B990" s="13" t="s">
        <v>1572</v>
      </c>
      <c r="C990" s="14" t="s">
        <v>39</v>
      </c>
      <c r="D990" s="15">
        <v>45316</v>
      </c>
      <c r="E990" s="2">
        <v>0</v>
      </c>
      <c r="F990" s="14" t="s">
        <v>260</v>
      </c>
      <c r="G990" t="s">
        <v>279</v>
      </c>
      <c r="H990" s="14" t="s">
        <v>93</v>
      </c>
      <c r="I990" s="2">
        <v>2</v>
      </c>
      <c r="J990" s="2">
        <v>0</v>
      </c>
      <c r="K990" s="2">
        <v>0</v>
      </c>
      <c r="L990" s="2"/>
      <c r="M990" s="2">
        <v>0</v>
      </c>
      <c r="N990" s="14"/>
      <c r="O990" s="14"/>
      <c r="P990" s="2">
        <v>200</v>
      </c>
      <c r="Q990" s="2">
        <v>400</v>
      </c>
      <c r="R990" s="2">
        <v>0</v>
      </c>
      <c r="S990">
        <f t="shared" si="72"/>
        <v>0</v>
      </c>
      <c r="T990" t="s">
        <v>132</v>
      </c>
      <c r="U990">
        <f>_xlfn.XLOOKUP(T990,$Y$2:$Y$45,$AB$2:$AB$45)*(Q990)</f>
        <v>16</v>
      </c>
    </row>
    <row r="991" spans="1:21" x14ac:dyDescent="0.25">
      <c r="A991" s="2">
        <v>39282</v>
      </c>
      <c r="B991" s="13" t="s">
        <v>1579</v>
      </c>
      <c r="C991" s="14" t="s">
        <v>39</v>
      </c>
      <c r="D991" s="15">
        <v>45315</v>
      </c>
      <c r="E991" s="2">
        <v>0</v>
      </c>
      <c r="F991" s="14" t="s">
        <v>260</v>
      </c>
      <c r="G991" t="s">
        <v>279</v>
      </c>
      <c r="H991" s="14" t="s">
        <v>93</v>
      </c>
      <c r="I991" s="2">
        <v>2</v>
      </c>
      <c r="J991" s="2">
        <v>0</v>
      </c>
      <c r="K991" s="2">
        <v>0</v>
      </c>
      <c r="L991" s="2"/>
      <c r="M991" s="2">
        <v>0</v>
      </c>
      <c r="N991" s="14"/>
      <c r="O991" s="14"/>
      <c r="P991" s="2">
        <v>200</v>
      </c>
      <c r="Q991" s="2">
        <v>400</v>
      </c>
      <c r="R991" s="2">
        <v>0</v>
      </c>
      <c r="S991">
        <f t="shared" si="72"/>
        <v>0</v>
      </c>
      <c r="T991" t="s">
        <v>80</v>
      </c>
      <c r="U991">
        <f>_xlfn.XLOOKUP(T991,$Y$2:$Y$45,$AB$2:$AB$45)*(Q991)</f>
        <v>16</v>
      </c>
    </row>
    <row r="992" spans="1:21" hidden="1" x14ac:dyDescent="0.25">
      <c r="A992" s="2">
        <v>39282</v>
      </c>
      <c r="B992" s="13" t="s">
        <v>1579</v>
      </c>
      <c r="C992" s="14" t="s">
        <v>39</v>
      </c>
      <c r="D992" s="15">
        <v>45315</v>
      </c>
      <c r="E992" s="2">
        <v>0</v>
      </c>
      <c r="F992" s="14" t="s">
        <v>994</v>
      </c>
      <c r="G992" t="s">
        <v>995</v>
      </c>
      <c r="H992" s="14" t="s">
        <v>42</v>
      </c>
      <c r="I992" s="2">
        <v>2</v>
      </c>
      <c r="J992" s="2">
        <v>0</v>
      </c>
      <c r="K992" s="2">
        <v>0</v>
      </c>
      <c r="L992" s="2"/>
      <c r="M992" s="2">
        <v>0</v>
      </c>
      <c r="N992" s="14"/>
      <c r="O992" s="14"/>
      <c r="P992" s="2">
        <v>681.94</v>
      </c>
      <c r="Q992" s="2">
        <v>1363.88</v>
      </c>
      <c r="R992" s="2">
        <v>633.12</v>
      </c>
      <c r="S992">
        <f t="shared" si="72"/>
        <v>1266.24</v>
      </c>
      <c r="T992" t="s">
        <v>80</v>
      </c>
      <c r="U992" s="1">
        <f>_xlfn.XLOOKUP(T992,$Y$2:$Y$45,$AA$2:$AA$45)*(Q992-S992)</f>
        <v>3.9056000000000042</v>
      </c>
    </row>
    <row r="993" spans="1:21" hidden="1" x14ac:dyDescent="0.25">
      <c r="A993" s="2">
        <v>39284</v>
      </c>
      <c r="B993" s="13" t="s">
        <v>1580</v>
      </c>
      <c r="C993" s="14" t="s">
        <v>39</v>
      </c>
      <c r="D993" s="15">
        <v>45315</v>
      </c>
      <c r="E993" s="2">
        <v>0</v>
      </c>
      <c r="F993" s="14" t="s">
        <v>1581</v>
      </c>
      <c r="G993" t="s">
        <v>1582</v>
      </c>
      <c r="H993" s="14" t="s">
        <v>42</v>
      </c>
      <c r="I993" s="2">
        <v>1</v>
      </c>
      <c r="J993" s="2">
        <v>0</v>
      </c>
      <c r="K993" s="2">
        <v>0</v>
      </c>
      <c r="L993" s="2"/>
      <c r="M993" s="2">
        <v>0</v>
      </c>
      <c r="N993" s="14"/>
      <c r="O993" s="14"/>
      <c r="P993" s="2">
        <v>135</v>
      </c>
      <c r="Q993" s="2">
        <v>135</v>
      </c>
      <c r="R993" s="2">
        <v>73.2</v>
      </c>
      <c r="S993">
        <f t="shared" si="72"/>
        <v>73.2</v>
      </c>
      <c r="T993" t="s">
        <v>140</v>
      </c>
      <c r="U993" s="1">
        <f>_xlfn.XLOOKUP(T993,$Y$2:$Y$45,$AA$2:$AA$45)*(Q993-S993)</f>
        <v>4.944</v>
      </c>
    </row>
    <row r="994" spans="1:21" hidden="1" x14ac:dyDescent="0.25">
      <c r="A994" s="2">
        <v>39290</v>
      </c>
      <c r="B994" s="13" t="s">
        <v>1583</v>
      </c>
      <c r="C994" s="14" t="s">
        <v>39</v>
      </c>
      <c r="D994" s="15">
        <v>45315</v>
      </c>
      <c r="E994" s="2">
        <v>0</v>
      </c>
      <c r="F994" s="14" t="s">
        <v>1584</v>
      </c>
      <c r="G994" t="s">
        <v>1585</v>
      </c>
      <c r="H994" s="14" t="s">
        <v>42</v>
      </c>
      <c r="I994" s="2">
        <v>2</v>
      </c>
      <c r="J994" s="2">
        <v>0</v>
      </c>
      <c r="K994" s="2">
        <v>0</v>
      </c>
      <c r="L994" s="2"/>
      <c r="M994" s="2">
        <v>0</v>
      </c>
      <c r="N994" s="14"/>
      <c r="O994" s="14"/>
      <c r="P994" s="2">
        <v>368.98</v>
      </c>
      <c r="Q994" s="2">
        <v>737.96</v>
      </c>
      <c r="R994" s="2">
        <v>290.82</v>
      </c>
      <c r="S994">
        <f t="shared" si="72"/>
        <v>581.64</v>
      </c>
      <c r="T994" t="s">
        <v>107</v>
      </c>
      <c r="U994" s="1">
        <f>_xlfn.XLOOKUP(T994,$Y$2:$Y$45,$AA$2:$AA$45)*(Q994-S994)</f>
        <v>6.2528000000000024</v>
      </c>
    </row>
    <row r="995" spans="1:21" hidden="1" x14ac:dyDescent="0.25">
      <c r="A995" s="2">
        <v>39290</v>
      </c>
      <c r="B995" s="13" t="s">
        <v>1583</v>
      </c>
      <c r="C995" s="14" t="s">
        <v>39</v>
      </c>
      <c r="D995" s="15">
        <v>45315</v>
      </c>
      <c r="E995" s="2">
        <v>0</v>
      </c>
      <c r="F995" s="14" t="s">
        <v>1058</v>
      </c>
      <c r="G995" t="s">
        <v>1059</v>
      </c>
      <c r="H995" s="14" t="s">
        <v>42</v>
      </c>
      <c r="I995" s="2">
        <v>-2</v>
      </c>
      <c r="J995" s="2">
        <v>0</v>
      </c>
      <c r="K995" s="2">
        <v>0</v>
      </c>
      <c r="L995" s="2"/>
      <c r="M995" s="2">
        <v>0</v>
      </c>
      <c r="N995" s="14"/>
      <c r="O995" s="14"/>
      <c r="P995" s="2">
        <v>368.98</v>
      </c>
      <c r="Q995" s="2">
        <v>-737.96</v>
      </c>
      <c r="R995" s="2">
        <v>295.18</v>
      </c>
      <c r="S995">
        <f t="shared" si="72"/>
        <v>-590.36</v>
      </c>
      <c r="T995" t="s">
        <v>107</v>
      </c>
      <c r="U995" s="1">
        <f>_xlfn.XLOOKUP(T995,$Y$2:$Y$45,$AA$2:$AA$45)*(Q995-S995)</f>
        <v>-5.9040000000000008</v>
      </c>
    </row>
    <row r="996" spans="1:21" hidden="1" x14ac:dyDescent="0.25">
      <c r="A996" s="2">
        <v>39292</v>
      </c>
      <c r="B996" s="13" t="s">
        <v>1586</v>
      </c>
      <c r="C996" s="14" t="s">
        <v>39</v>
      </c>
      <c r="D996" s="15">
        <v>45316</v>
      </c>
      <c r="E996" s="2">
        <v>0</v>
      </c>
      <c r="F996" s="14" t="s">
        <v>1587</v>
      </c>
      <c r="G996" t="s">
        <v>1588</v>
      </c>
      <c r="H996" s="14" t="s">
        <v>42</v>
      </c>
      <c r="I996" s="2">
        <v>1</v>
      </c>
      <c r="J996" s="2">
        <v>0</v>
      </c>
      <c r="K996" s="2">
        <v>0</v>
      </c>
      <c r="L996" s="2"/>
      <c r="M996" s="2">
        <v>0</v>
      </c>
      <c r="N996" s="14"/>
      <c r="O996" s="14"/>
      <c r="P996" s="2">
        <v>699</v>
      </c>
      <c r="Q996" s="2">
        <v>699</v>
      </c>
      <c r="R996" s="2">
        <v>558.17999999999995</v>
      </c>
      <c r="S996">
        <f t="shared" si="72"/>
        <v>558.17999999999995</v>
      </c>
      <c r="T996" t="s">
        <v>107</v>
      </c>
      <c r="U996" s="1">
        <f>_xlfn.XLOOKUP(T996,$Y$2:$Y$45,$AA$2:$AA$45)*(Q996-S996)</f>
        <v>5.6328000000000022</v>
      </c>
    </row>
    <row r="997" spans="1:21" x14ac:dyDescent="0.25">
      <c r="A997" s="2">
        <v>39293</v>
      </c>
      <c r="B997" s="13" t="s">
        <v>1589</v>
      </c>
      <c r="C997" s="14" t="s">
        <v>39</v>
      </c>
      <c r="D997" s="15">
        <v>45315</v>
      </c>
      <c r="E997" s="2">
        <v>0</v>
      </c>
      <c r="F997" s="14" t="s">
        <v>260</v>
      </c>
      <c r="G997" t="s">
        <v>279</v>
      </c>
      <c r="H997" s="14" t="s">
        <v>93</v>
      </c>
      <c r="I997" s="2">
        <v>1</v>
      </c>
      <c r="J997" s="2">
        <v>0</v>
      </c>
      <c r="K997" s="2">
        <v>0</v>
      </c>
      <c r="L997" s="2"/>
      <c r="M997" s="2">
        <v>0</v>
      </c>
      <c r="N997" s="14"/>
      <c r="O997" s="14"/>
      <c r="P997" s="2">
        <v>200</v>
      </c>
      <c r="Q997" s="2">
        <v>200</v>
      </c>
      <c r="R997" s="2">
        <v>0</v>
      </c>
      <c r="S997">
        <f t="shared" si="72"/>
        <v>0</v>
      </c>
      <c r="T997" t="s">
        <v>140</v>
      </c>
      <c r="U997">
        <f>_xlfn.XLOOKUP(T997,$Y$2:$Y$45,$AB$2:$AB$45)*(Q997)</f>
        <v>8</v>
      </c>
    </row>
    <row r="998" spans="1:21" hidden="1" x14ac:dyDescent="0.25">
      <c r="A998" s="2">
        <v>39293</v>
      </c>
      <c r="B998" s="13" t="s">
        <v>1589</v>
      </c>
      <c r="C998" s="14" t="s">
        <v>39</v>
      </c>
      <c r="D998" s="15">
        <v>45315</v>
      </c>
      <c r="E998" s="2">
        <v>0</v>
      </c>
      <c r="F998" s="14" t="s">
        <v>1590</v>
      </c>
      <c r="G998" t="s">
        <v>1591</v>
      </c>
      <c r="H998" s="14" t="s">
        <v>42</v>
      </c>
      <c r="I998" s="2">
        <v>1</v>
      </c>
      <c r="J998" s="2">
        <v>0</v>
      </c>
      <c r="K998" s="2">
        <v>0</v>
      </c>
      <c r="L998" s="2"/>
      <c r="M998" s="2">
        <v>0</v>
      </c>
      <c r="N998" s="14"/>
      <c r="O998" s="14"/>
      <c r="P998" s="2">
        <v>839.43</v>
      </c>
      <c r="Q998" s="2">
        <v>839.43</v>
      </c>
      <c r="R998" s="2">
        <v>690.55</v>
      </c>
      <c r="S998">
        <f t="shared" si="72"/>
        <v>690.55</v>
      </c>
      <c r="T998" t="s">
        <v>140</v>
      </c>
      <c r="U998" s="1">
        <f t="shared" ref="U998:U1009" si="74">_xlfn.XLOOKUP(T998,$Y$2:$Y$45,$AA$2:$AA$45)*(Q998-S998)</f>
        <v>11.910399999999999</v>
      </c>
    </row>
    <row r="999" spans="1:21" hidden="1" x14ac:dyDescent="0.25">
      <c r="A999" s="2">
        <v>39307</v>
      </c>
      <c r="B999" s="13" t="s">
        <v>1592</v>
      </c>
      <c r="C999" s="14" t="s">
        <v>39</v>
      </c>
      <c r="D999" s="15">
        <v>45321</v>
      </c>
      <c r="E999" s="2">
        <v>0</v>
      </c>
      <c r="F999" s="14" t="s">
        <v>1593</v>
      </c>
      <c r="G999" t="s">
        <v>1594</v>
      </c>
      <c r="H999" s="14" t="s">
        <v>42</v>
      </c>
      <c r="I999" s="2">
        <v>1</v>
      </c>
      <c r="J999" s="2">
        <v>0</v>
      </c>
      <c r="K999" s="2">
        <v>0</v>
      </c>
      <c r="L999" s="2"/>
      <c r="M999" s="2">
        <v>0</v>
      </c>
      <c r="N999" s="14"/>
      <c r="O999" s="14"/>
      <c r="P999" s="2">
        <v>1219.94</v>
      </c>
      <c r="Q999" s="2">
        <v>1219.94</v>
      </c>
      <c r="R999" s="2">
        <v>1000.35</v>
      </c>
      <c r="S999">
        <f t="shared" si="72"/>
        <v>1000.35</v>
      </c>
      <c r="T999" t="s">
        <v>47</v>
      </c>
      <c r="U999" s="1">
        <f t="shared" si="74"/>
        <v>18.665150000000004</v>
      </c>
    </row>
    <row r="1000" spans="1:21" hidden="1" x14ac:dyDescent="0.25">
      <c r="A1000" s="2">
        <v>39307</v>
      </c>
      <c r="B1000" s="13" t="s">
        <v>1592</v>
      </c>
      <c r="C1000" s="14" t="s">
        <v>39</v>
      </c>
      <c r="D1000" s="15">
        <v>45321</v>
      </c>
      <c r="E1000" s="2">
        <v>0</v>
      </c>
      <c r="F1000" s="14" t="s">
        <v>1595</v>
      </c>
      <c r="G1000" t="s">
        <v>1596</v>
      </c>
      <c r="H1000" s="14" t="s">
        <v>42</v>
      </c>
      <c r="I1000" s="2">
        <v>1</v>
      </c>
      <c r="J1000" s="2">
        <v>0</v>
      </c>
      <c r="K1000" s="2">
        <v>0</v>
      </c>
      <c r="L1000" s="2"/>
      <c r="M1000" s="2">
        <v>0</v>
      </c>
      <c r="N1000" s="14"/>
      <c r="O1000" s="14"/>
      <c r="P1000" s="2">
        <v>252.57</v>
      </c>
      <c r="Q1000" s="2">
        <v>252.57</v>
      </c>
      <c r="R1000" s="2">
        <v>207.11</v>
      </c>
      <c r="S1000">
        <f t="shared" si="72"/>
        <v>207.11</v>
      </c>
      <c r="T1000" t="s">
        <v>47</v>
      </c>
      <c r="U1000" s="1">
        <f t="shared" si="74"/>
        <v>3.8640999999999988</v>
      </c>
    </row>
    <row r="1001" spans="1:21" hidden="1" x14ac:dyDescent="0.25">
      <c r="A1001" s="2">
        <v>39308</v>
      </c>
      <c r="B1001" s="13" t="s">
        <v>1597</v>
      </c>
      <c r="C1001" s="14" t="s">
        <v>39</v>
      </c>
      <c r="D1001" s="15">
        <v>45322</v>
      </c>
      <c r="E1001" s="2">
        <v>0</v>
      </c>
      <c r="F1001" s="14" t="s">
        <v>747</v>
      </c>
      <c r="G1001" t="s">
        <v>746</v>
      </c>
      <c r="H1001" s="14" t="s">
        <v>42</v>
      </c>
      <c r="I1001" s="2">
        <v>2</v>
      </c>
      <c r="J1001" s="2">
        <v>0</v>
      </c>
      <c r="K1001" s="2">
        <v>0</v>
      </c>
      <c r="L1001" s="2"/>
      <c r="M1001" s="2">
        <v>0</v>
      </c>
      <c r="N1001" s="14"/>
      <c r="O1001" s="14"/>
      <c r="P1001" s="2">
        <v>573</v>
      </c>
      <c r="Q1001" s="2">
        <v>1146</v>
      </c>
      <c r="R1001" s="2">
        <v>475.59</v>
      </c>
      <c r="S1001">
        <f t="shared" si="72"/>
        <v>951.18</v>
      </c>
      <c r="T1001" t="s">
        <v>132</v>
      </c>
      <c r="U1001" s="1">
        <f t="shared" si="74"/>
        <v>15.585600000000005</v>
      </c>
    </row>
    <row r="1002" spans="1:21" hidden="1" x14ac:dyDescent="0.25">
      <c r="A1002" s="2">
        <v>39308</v>
      </c>
      <c r="B1002" s="13" t="s">
        <v>1597</v>
      </c>
      <c r="C1002" s="14" t="s">
        <v>39</v>
      </c>
      <c r="D1002" s="15">
        <v>45322</v>
      </c>
      <c r="E1002" s="2">
        <v>0</v>
      </c>
      <c r="F1002" s="14" t="s">
        <v>1598</v>
      </c>
      <c r="G1002" t="s">
        <v>1599</v>
      </c>
      <c r="H1002" s="14" t="s">
        <v>42</v>
      </c>
      <c r="I1002" s="2">
        <v>1</v>
      </c>
      <c r="J1002" s="2">
        <v>0</v>
      </c>
      <c r="K1002" s="2">
        <v>0</v>
      </c>
      <c r="L1002" s="2"/>
      <c r="M1002" s="2">
        <v>0</v>
      </c>
      <c r="N1002" s="14"/>
      <c r="O1002" s="14"/>
      <c r="P1002" s="2">
        <v>1368.29</v>
      </c>
      <c r="Q1002" s="2">
        <v>1368.29</v>
      </c>
      <c r="R1002" s="2">
        <v>1135.68</v>
      </c>
      <c r="S1002">
        <f t="shared" si="72"/>
        <v>1135.68</v>
      </c>
      <c r="T1002" t="s">
        <v>132</v>
      </c>
      <c r="U1002" s="1">
        <f t="shared" si="74"/>
        <v>18.608799999999992</v>
      </c>
    </row>
    <row r="1003" spans="1:21" hidden="1" x14ac:dyDescent="0.25">
      <c r="A1003" s="2">
        <v>39308</v>
      </c>
      <c r="B1003" s="13" t="s">
        <v>1597</v>
      </c>
      <c r="C1003" s="14" t="s">
        <v>39</v>
      </c>
      <c r="D1003" s="15">
        <v>45322</v>
      </c>
      <c r="E1003" s="2">
        <v>0</v>
      </c>
      <c r="F1003" s="14" t="s">
        <v>1600</v>
      </c>
      <c r="G1003" t="s">
        <v>746</v>
      </c>
      <c r="H1003" s="14" t="s">
        <v>42</v>
      </c>
      <c r="I1003" s="2">
        <v>1</v>
      </c>
      <c r="J1003" s="2">
        <v>0</v>
      </c>
      <c r="K1003" s="2">
        <v>0</v>
      </c>
      <c r="L1003" s="2"/>
      <c r="M1003" s="2">
        <v>0</v>
      </c>
      <c r="N1003" s="14"/>
      <c r="O1003" s="14"/>
      <c r="P1003" s="2">
        <v>660.07</v>
      </c>
      <c r="Q1003" s="2">
        <v>660.07</v>
      </c>
      <c r="R1003" s="2">
        <v>547.86</v>
      </c>
      <c r="S1003">
        <f t="shared" si="72"/>
        <v>547.86</v>
      </c>
      <c r="T1003" t="s">
        <v>132</v>
      </c>
      <c r="U1003" s="1">
        <f t="shared" si="74"/>
        <v>8.9768000000000026</v>
      </c>
    </row>
    <row r="1004" spans="1:21" hidden="1" x14ac:dyDescent="0.25">
      <c r="A1004" s="2">
        <v>39309</v>
      </c>
      <c r="B1004" s="13" t="s">
        <v>1601</v>
      </c>
      <c r="C1004" s="14" t="s">
        <v>39</v>
      </c>
      <c r="D1004" s="15">
        <v>45321</v>
      </c>
      <c r="E1004" s="2">
        <v>0</v>
      </c>
      <c r="F1004" s="14" t="s">
        <v>1602</v>
      </c>
      <c r="G1004" t="s">
        <v>1603</v>
      </c>
      <c r="H1004" s="14" t="s">
        <v>42</v>
      </c>
      <c r="I1004" s="2">
        <v>2</v>
      </c>
      <c r="J1004" s="2">
        <v>0</v>
      </c>
      <c r="K1004" s="2">
        <v>0</v>
      </c>
      <c r="L1004" s="2"/>
      <c r="M1004" s="2">
        <v>0</v>
      </c>
      <c r="N1004" s="14"/>
      <c r="O1004" s="14"/>
      <c r="P1004" s="2">
        <v>353.16</v>
      </c>
      <c r="Q1004" s="2">
        <v>706.32</v>
      </c>
      <c r="R1004" s="2">
        <v>335.5</v>
      </c>
      <c r="S1004">
        <f t="shared" si="72"/>
        <v>671</v>
      </c>
      <c r="T1004" t="s">
        <v>51</v>
      </c>
      <c r="U1004" s="1">
        <f t="shared" si="74"/>
        <v>3.0022000000000046</v>
      </c>
    </row>
    <row r="1005" spans="1:21" hidden="1" x14ac:dyDescent="0.25">
      <c r="A1005" s="2">
        <v>39313</v>
      </c>
      <c r="B1005" s="13" t="s">
        <v>1604</v>
      </c>
      <c r="C1005" s="14" t="s">
        <v>39</v>
      </c>
      <c r="D1005" s="15">
        <v>45317</v>
      </c>
      <c r="E1005" s="2">
        <v>0</v>
      </c>
      <c r="F1005" s="14" t="s">
        <v>1605</v>
      </c>
      <c r="G1005" t="s">
        <v>1606</v>
      </c>
      <c r="H1005" s="14" t="s">
        <v>42</v>
      </c>
      <c r="I1005" s="2">
        <v>2</v>
      </c>
      <c r="J1005" s="2">
        <v>0</v>
      </c>
      <c r="K1005" s="2">
        <v>0</v>
      </c>
      <c r="L1005" s="2"/>
      <c r="M1005" s="2">
        <v>0</v>
      </c>
      <c r="N1005" s="14"/>
      <c r="O1005" s="14"/>
      <c r="P1005" s="2">
        <v>155.66</v>
      </c>
      <c r="Q1005" s="2">
        <v>311.32</v>
      </c>
      <c r="R1005" s="2">
        <v>135.36000000000001</v>
      </c>
      <c r="S1005">
        <f t="shared" si="72"/>
        <v>270.72000000000003</v>
      </c>
      <c r="T1005" t="s">
        <v>132</v>
      </c>
      <c r="U1005" s="1">
        <f t="shared" si="74"/>
        <v>3.2479999999999976</v>
      </c>
    </row>
    <row r="1006" spans="1:21" hidden="1" x14ac:dyDescent="0.25">
      <c r="A1006" s="2">
        <v>39313</v>
      </c>
      <c r="B1006" s="13" t="s">
        <v>1604</v>
      </c>
      <c r="C1006" s="14" t="s">
        <v>39</v>
      </c>
      <c r="D1006" s="15">
        <v>45317</v>
      </c>
      <c r="E1006" s="2">
        <v>0</v>
      </c>
      <c r="F1006" s="14" t="s">
        <v>1607</v>
      </c>
      <c r="G1006" t="s">
        <v>1608</v>
      </c>
      <c r="H1006" s="14" t="s">
        <v>42</v>
      </c>
      <c r="I1006" s="2">
        <v>1</v>
      </c>
      <c r="J1006" s="2">
        <v>0</v>
      </c>
      <c r="K1006" s="2">
        <v>0</v>
      </c>
      <c r="L1006" s="2"/>
      <c r="M1006" s="2">
        <v>0</v>
      </c>
      <c r="N1006" s="14"/>
      <c r="O1006" s="14"/>
      <c r="P1006" s="2">
        <v>1947</v>
      </c>
      <c r="Q1006" s="2">
        <v>1947</v>
      </c>
      <c r="R1006" s="2">
        <v>1595.9</v>
      </c>
      <c r="S1006">
        <f t="shared" si="72"/>
        <v>1595.9</v>
      </c>
      <c r="T1006" t="s">
        <v>132</v>
      </c>
      <c r="U1006" s="1">
        <f t="shared" si="74"/>
        <v>28.087999999999994</v>
      </c>
    </row>
    <row r="1007" spans="1:21" hidden="1" x14ac:dyDescent="0.25">
      <c r="A1007" s="2">
        <v>39313</v>
      </c>
      <c r="B1007" s="13" t="s">
        <v>1604</v>
      </c>
      <c r="C1007" s="14" t="s">
        <v>39</v>
      </c>
      <c r="D1007" s="15">
        <v>45317</v>
      </c>
      <c r="E1007" s="2">
        <v>0</v>
      </c>
      <c r="F1007" s="14" t="s">
        <v>1609</v>
      </c>
      <c r="G1007" t="s">
        <v>1610</v>
      </c>
      <c r="H1007" s="14" t="s">
        <v>146</v>
      </c>
      <c r="I1007" s="2">
        <v>1</v>
      </c>
      <c r="J1007" s="2">
        <v>0</v>
      </c>
      <c r="K1007" s="2">
        <v>0</v>
      </c>
      <c r="L1007" s="2"/>
      <c r="M1007" s="2">
        <v>0</v>
      </c>
      <c r="N1007" s="14"/>
      <c r="O1007" s="14"/>
      <c r="P1007" s="2">
        <v>45.3</v>
      </c>
      <c r="Q1007" s="2">
        <v>45.3</v>
      </c>
      <c r="R1007" s="2">
        <v>39.39</v>
      </c>
      <c r="S1007">
        <f t="shared" si="72"/>
        <v>39.39</v>
      </c>
      <c r="T1007" t="s">
        <v>132</v>
      </c>
      <c r="U1007" s="1">
        <f t="shared" si="74"/>
        <v>0.47279999999999972</v>
      </c>
    </row>
    <row r="1008" spans="1:21" hidden="1" x14ac:dyDescent="0.25">
      <c r="A1008" s="2">
        <v>39313</v>
      </c>
      <c r="B1008" s="13" t="s">
        <v>1604</v>
      </c>
      <c r="C1008" s="14" t="s">
        <v>39</v>
      </c>
      <c r="D1008" s="15">
        <v>45317</v>
      </c>
      <c r="E1008" s="2">
        <v>0</v>
      </c>
      <c r="F1008" s="14" t="s">
        <v>1611</v>
      </c>
      <c r="G1008" t="s">
        <v>1612</v>
      </c>
      <c r="H1008" s="14" t="s">
        <v>42</v>
      </c>
      <c r="I1008" s="2">
        <v>1</v>
      </c>
      <c r="J1008" s="2">
        <v>0</v>
      </c>
      <c r="K1008" s="2">
        <v>0</v>
      </c>
      <c r="L1008" s="2"/>
      <c r="M1008" s="2">
        <v>0</v>
      </c>
      <c r="N1008" s="14"/>
      <c r="O1008" s="14"/>
      <c r="P1008" s="2">
        <v>281.52</v>
      </c>
      <c r="Q1008" s="2">
        <v>281.52</v>
      </c>
      <c r="R1008" s="2">
        <v>244.8</v>
      </c>
      <c r="S1008">
        <f t="shared" si="72"/>
        <v>244.8</v>
      </c>
      <c r="T1008" t="s">
        <v>132</v>
      </c>
      <c r="U1008" s="1">
        <f t="shared" si="74"/>
        <v>2.9375999999999975</v>
      </c>
    </row>
    <row r="1009" spans="1:21" hidden="1" x14ac:dyDescent="0.25">
      <c r="A1009" s="2">
        <v>39313</v>
      </c>
      <c r="B1009" s="13" t="s">
        <v>1604</v>
      </c>
      <c r="C1009" s="14" t="s">
        <v>39</v>
      </c>
      <c r="D1009" s="15">
        <v>45317</v>
      </c>
      <c r="E1009" s="2">
        <v>0</v>
      </c>
      <c r="F1009" s="14" t="s">
        <v>1613</v>
      </c>
      <c r="G1009" t="s">
        <v>1614</v>
      </c>
      <c r="H1009" s="14" t="s">
        <v>42</v>
      </c>
      <c r="I1009" s="2">
        <v>1</v>
      </c>
      <c r="J1009" s="2">
        <v>0</v>
      </c>
      <c r="K1009" s="2">
        <v>0</v>
      </c>
      <c r="L1009" s="2"/>
      <c r="M1009" s="2">
        <v>0</v>
      </c>
      <c r="N1009" s="14"/>
      <c r="O1009" s="14"/>
      <c r="P1009" s="2">
        <v>74.8</v>
      </c>
      <c r="Q1009" s="2">
        <v>74.8</v>
      </c>
      <c r="R1009" s="2">
        <v>65.040000000000006</v>
      </c>
      <c r="S1009">
        <f t="shared" si="72"/>
        <v>65.040000000000006</v>
      </c>
      <c r="T1009" t="s">
        <v>132</v>
      </c>
      <c r="U1009" s="1">
        <f t="shared" si="74"/>
        <v>0.78079999999999927</v>
      </c>
    </row>
    <row r="1010" spans="1:21" x14ac:dyDescent="0.25">
      <c r="A1010" s="2">
        <v>39313</v>
      </c>
      <c r="B1010" s="13" t="s">
        <v>1604</v>
      </c>
      <c r="C1010" s="14" t="s">
        <v>39</v>
      </c>
      <c r="D1010" s="15">
        <v>45317</v>
      </c>
      <c r="E1010" s="2">
        <v>0</v>
      </c>
      <c r="F1010" s="14" t="s">
        <v>455</v>
      </c>
      <c r="G1010" t="s">
        <v>598</v>
      </c>
      <c r="H1010" s="14" t="s">
        <v>93</v>
      </c>
      <c r="I1010" s="2">
        <v>2</v>
      </c>
      <c r="J1010" s="2">
        <v>0</v>
      </c>
      <c r="K1010" s="2">
        <v>0</v>
      </c>
      <c r="L1010" s="2"/>
      <c r="M1010" s="2">
        <v>0</v>
      </c>
      <c r="N1010" s="14"/>
      <c r="O1010" s="14"/>
      <c r="P1010" s="2">
        <v>120</v>
      </c>
      <c r="Q1010" s="2">
        <v>240</v>
      </c>
      <c r="R1010" s="2">
        <v>0</v>
      </c>
      <c r="S1010">
        <f t="shared" si="72"/>
        <v>0</v>
      </c>
      <c r="T1010" t="s">
        <v>132</v>
      </c>
      <c r="U1010">
        <f t="shared" ref="U1010:U1015" si="75">_xlfn.XLOOKUP(T1010,$Y$2:$Y$45,$AB$2:$AB$45)*(Q1010)</f>
        <v>9.6</v>
      </c>
    </row>
    <row r="1011" spans="1:21" x14ac:dyDescent="0.25">
      <c r="A1011" s="2">
        <v>39316</v>
      </c>
      <c r="B1011" s="13" t="s">
        <v>1615</v>
      </c>
      <c r="C1011" s="14" t="s">
        <v>39</v>
      </c>
      <c r="D1011" s="15">
        <v>45321</v>
      </c>
      <c r="E1011" s="2">
        <v>0</v>
      </c>
      <c r="F1011" s="14" t="s">
        <v>297</v>
      </c>
      <c r="G1011" t="s">
        <v>1616</v>
      </c>
      <c r="H1011" s="14" t="s">
        <v>93</v>
      </c>
      <c r="I1011" s="2">
        <v>5</v>
      </c>
      <c r="J1011" s="2">
        <v>0</v>
      </c>
      <c r="K1011" s="2">
        <v>0</v>
      </c>
      <c r="L1011" s="2"/>
      <c r="M1011" s="2">
        <v>0</v>
      </c>
      <c r="N1011" s="14"/>
      <c r="O1011" s="14"/>
      <c r="P1011" s="2">
        <v>150</v>
      </c>
      <c r="Q1011" s="2">
        <v>750</v>
      </c>
      <c r="R1011" s="2">
        <v>0</v>
      </c>
      <c r="S1011">
        <f t="shared" si="72"/>
        <v>0</v>
      </c>
      <c r="T1011" t="s">
        <v>132</v>
      </c>
      <c r="U1011">
        <f t="shared" si="75"/>
        <v>30</v>
      </c>
    </row>
    <row r="1012" spans="1:21" x14ac:dyDescent="0.25">
      <c r="A1012" s="2">
        <v>39316</v>
      </c>
      <c r="B1012" s="13" t="s">
        <v>1615</v>
      </c>
      <c r="C1012" s="14" t="s">
        <v>39</v>
      </c>
      <c r="D1012" s="15">
        <v>45321</v>
      </c>
      <c r="E1012" s="2">
        <v>0</v>
      </c>
      <c r="F1012" s="14" t="s">
        <v>260</v>
      </c>
      <c r="G1012" t="s">
        <v>1617</v>
      </c>
      <c r="H1012" s="14" t="s">
        <v>93</v>
      </c>
      <c r="I1012" s="2">
        <v>2</v>
      </c>
      <c r="J1012" s="2">
        <v>0</v>
      </c>
      <c r="K1012" s="2">
        <v>0</v>
      </c>
      <c r="L1012" s="2"/>
      <c r="M1012" s="2">
        <v>0</v>
      </c>
      <c r="N1012" s="14"/>
      <c r="O1012" s="14"/>
      <c r="P1012" s="2">
        <v>150</v>
      </c>
      <c r="Q1012" s="2">
        <v>300</v>
      </c>
      <c r="R1012" s="2">
        <v>0</v>
      </c>
      <c r="S1012">
        <f t="shared" si="72"/>
        <v>0</v>
      </c>
      <c r="T1012" t="s">
        <v>132</v>
      </c>
      <c r="U1012">
        <f t="shared" si="75"/>
        <v>12</v>
      </c>
    </row>
    <row r="1013" spans="1:21" x14ac:dyDescent="0.25">
      <c r="A1013" s="2">
        <v>39316</v>
      </c>
      <c r="B1013" s="13" t="s">
        <v>1615</v>
      </c>
      <c r="C1013" s="14" t="s">
        <v>39</v>
      </c>
      <c r="D1013" s="15">
        <v>45321</v>
      </c>
      <c r="E1013" s="2">
        <v>0</v>
      </c>
      <c r="F1013" s="14" t="s">
        <v>260</v>
      </c>
      <c r="G1013" t="s">
        <v>1618</v>
      </c>
      <c r="H1013" s="14" t="s">
        <v>93</v>
      </c>
      <c r="I1013" s="2">
        <v>2</v>
      </c>
      <c r="J1013" s="2">
        <v>0</v>
      </c>
      <c r="K1013" s="2">
        <v>0</v>
      </c>
      <c r="L1013" s="2"/>
      <c r="M1013" s="2">
        <v>0</v>
      </c>
      <c r="N1013" s="14"/>
      <c r="O1013" s="14"/>
      <c r="P1013" s="2">
        <v>150</v>
      </c>
      <c r="Q1013" s="2">
        <v>300</v>
      </c>
      <c r="R1013" s="2">
        <v>0</v>
      </c>
      <c r="S1013">
        <f t="shared" si="72"/>
        <v>0</v>
      </c>
      <c r="T1013" t="s">
        <v>132</v>
      </c>
      <c r="U1013">
        <f t="shared" si="75"/>
        <v>12</v>
      </c>
    </row>
    <row r="1014" spans="1:21" x14ac:dyDescent="0.25">
      <c r="A1014" s="2">
        <v>39316</v>
      </c>
      <c r="B1014" s="13" t="s">
        <v>1615</v>
      </c>
      <c r="C1014" s="14" t="s">
        <v>39</v>
      </c>
      <c r="D1014" s="15">
        <v>45321</v>
      </c>
      <c r="E1014" s="2">
        <v>0</v>
      </c>
      <c r="F1014" s="14" t="s">
        <v>260</v>
      </c>
      <c r="G1014" t="s">
        <v>1619</v>
      </c>
      <c r="H1014" s="14" t="s">
        <v>93</v>
      </c>
      <c r="I1014" s="2">
        <v>1</v>
      </c>
      <c r="J1014" s="2">
        <v>0</v>
      </c>
      <c r="K1014" s="2">
        <v>0</v>
      </c>
      <c r="L1014" s="2"/>
      <c r="M1014" s="2">
        <v>0</v>
      </c>
      <c r="N1014" s="14"/>
      <c r="O1014" s="14"/>
      <c r="P1014" s="2">
        <v>150</v>
      </c>
      <c r="Q1014" s="2">
        <v>150</v>
      </c>
      <c r="R1014" s="2">
        <v>0</v>
      </c>
      <c r="S1014">
        <f t="shared" si="72"/>
        <v>0</v>
      </c>
      <c r="T1014" t="s">
        <v>132</v>
      </c>
      <c r="U1014">
        <f t="shared" si="75"/>
        <v>6</v>
      </c>
    </row>
    <row r="1015" spans="1:21" x14ac:dyDescent="0.25">
      <c r="A1015" s="2">
        <v>39316</v>
      </c>
      <c r="B1015" s="13" t="s">
        <v>1615</v>
      </c>
      <c r="C1015" s="14" t="s">
        <v>39</v>
      </c>
      <c r="D1015" s="15">
        <v>45321</v>
      </c>
      <c r="E1015" s="2">
        <v>0</v>
      </c>
      <c r="F1015" s="14" t="s">
        <v>260</v>
      </c>
      <c r="G1015" t="s">
        <v>1620</v>
      </c>
      <c r="H1015" s="14" t="s">
        <v>93</v>
      </c>
      <c r="I1015" s="2">
        <v>2</v>
      </c>
      <c r="J1015" s="2">
        <v>0</v>
      </c>
      <c r="K1015" s="2">
        <v>0</v>
      </c>
      <c r="L1015" s="2"/>
      <c r="M1015" s="2">
        <v>0</v>
      </c>
      <c r="N1015" s="14"/>
      <c r="O1015" s="14"/>
      <c r="P1015" s="2">
        <v>150</v>
      </c>
      <c r="Q1015" s="2">
        <v>300</v>
      </c>
      <c r="R1015" s="2">
        <v>0</v>
      </c>
      <c r="S1015">
        <f t="shared" si="72"/>
        <v>0</v>
      </c>
      <c r="T1015" t="s">
        <v>132</v>
      </c>
      <c r="U1015">
        <f t="shared" si="75"/>
        <v>12</v>
      </c>
    </row>
    <row r="1016" spans="1:21" hidden="1" x14ac:dyDescent="0.25">
      <c r="A1016" s="2">
        <v>39320</v>
      </c>
      <c r="B1016" s="13" t="s">
        <v>1621</v>
      </c>
      <c r="C1016" s="14" t="s">
        <v>39</v>
      </c>
      <c r="D1016" s="15">
        <v>45315</v>
      </c>
      <c r="E1016" s="2">
        <v>0</v>
      </c>
      <c r="F1016" s="14" t="s">
        <v>1622</v>
      </c>
      <c r="G1016" t="s">
        <v>1623</v>
      </c>
      <c r="H1016" s="14" t="s">
        <v>42</v>
      </c>
      <c r="I1016" s="2">
        <v>1</v>
      </c>
      <c r="J1016" s="2">
        <v>0</v>
      </c>
      <c r="K1016" s="2">
        <v>0</v>
      </c>
      <c r="L1016" s="2"/>
      <c r="M1016" s="2">
        <v>0</v>
      </c>
      <c r="N1016" s="14"/>
      <c r="O1016" s="14"/>
      <c r="P1016" s="2">
        <v>216</v>
      </c>
      <c r="Q1016" s="2">
        <v>216</v>
      </c>
      <c r="R1016" s="2">
        <v>172.23</v>
      </c>
      <c r="S1016">
        <f t="shared" si="72"/>
        <v>172.23</v>
      </c>
      <c r="T1016" t="s">
        <v>1875</v>
      </c>
      <c r="U1016" s="1">
        <f>_xlfn.XLOOKUP(T1016,$Y$2:$Y$45,$AA$2:$AA$45,0)*(Q1016-S1016)</f>
        <v>0</v>
      </c>
    </row>
    <row r="1017" spans="1:21" hidden="1" x14ac:dyDescent="0.25">
      <c r="A1017" s="2">
        <v>39320</v>
      </c>
      <c r="B1017" s="13" t="s">
        <v>1621</v>
      </c>
      <c r="C1017" s="14" t="s">
        <v>39</v>
      </c>
      <c r="D1017" s="15">
        <v>45315</v>
      </c>
      <c r="E1017" s="2">
        <v>0</v>
      </c>
      <c r="F1017" s="14" t="s">
        <v>1622</v>
      </c>
      <c r="G1017" t="s">
        <v>1624</v>
      </c>
      <c r="H1017" s="14" t="s">
        <v>42</v>
      </c>
      <c r="I1017" s="2">
        <v>1</v>
      </c>
      <c r="J1017" s="2">
        <v>0</v>
      </c>
      <c r="K1017" s="2">
        <v>0</v>
      </c>
      <c r="L1017" s="2"/>
      <c r="M1017" s="2">
        <v>0</v>
      </c>
      <c r="N1017" s="14"/>
      <c r="O1017" s="14"/>
      <c r="P1017" s="2">
        <v>1536</v>
      </c>
      <c r="Q1017" s="2">
        <v>1536</v>
      </c>
      <c r="R1017" s="2">
        <v>1225.06</v>
      </c>
      <c r="S1017">
        <f t="shared" si="72"/>
        <v>1225.06</v>
      </c>
      <c r="T1017" t="s">
        <v>1875</v>
      </c>
      <c r="U1017" s="1">
        <f>_xlfn.XLOOKUP(T1017,$Y$2:$Y$45,$AA$2:$AA$45,0)*(Q1017-S1017)</f>
        <v>0</v>
      </c>
    </row>
    <row r="1018" spans="1:21" hidden="1" x14ac:dyDescent="0.25">
      <c r="A1018" s="2">
        <v>39324</v>
      </c>
      <c r="B1018" s="13" t="s">
        <v>1625</v>
      </c>
      <c r="C1018" s="14" t="s">
        <v>39</v>
      </c>
      <c r="D1018" s="15">
        <v>45317</v>
      </c>
      <c r="E1018" s="2">
        <v>0</v>
      </c>
      <c r="F1018" s="14" t="s">
        <v>1125</v>
      </c>
      <c r="G1018" t="s">
        <v>1126</v>
      </c>
      <c r="H1018" s="14" t="s">
        <v>42</v>
      </c>
      <c r="I1018" s="2">
        <v>2</v>
      </c>
      <c r="J1018" s="2">
        <v>0</v>
      </c>
      <c r="K1018" s="2">
        <v>0</v>
      </c>
      <c r="L1018" s="2"/>
      <c r="M1018" s="2">
        <v>0</v>
      </c>
      <c r="N1018" s="14"/>
      <c r="O1018" s="14"/>
      <c r="P1018" s="2">
        <v>169.87</v>
      </c>
      <c r="Q1018" s="2">
        <v>339.74</v>
      </c>
      <c r="R1018" s="2">
        <v>135</v>
      </c>
      <c r="S1018">
        <f t="shared" si="72"/>
        <v>270</v>
      </c>
      <c r="T1018" t="s">
        <v>140</v>
      </c>
      <c r="U1018" s="1">
        <f>_xlfn.XLOOKUP(T1018,$Y$2:$Y$45,$AA$2:$AA$45)*(Q1018-S1018)</f>
        <v>5.579200000000001</v>
      </c>
    </row>
    <row r="1019" spans="1:21" hidden="1" x14ac:dyDescent="0.25">
      <c r="A1019" s="2">
        <v>39324</v>
      </c>
      <c r="B1019" s="13" t="s">
        <v>1625</v>
      </c>
      <c r="C1019" s="14" t="s">
        <v>39</v>
      </c>
      <c r="D1019" s="15">
        <v>45317</v>
      </c>
      <c r="E1019" s="2">
        <v>0</v>
      </c>
      <c r="F1019" s="14" t="s">
        <v>630</v>
      </c>
      <c r="G1019" t="s">
        <v>631</v>
      </c>
      <c r="H1019" s="14" t="s">
        <v>42</v>
      </c>
      <c r="I1019" s="2">
        <v>2</v>
      </c>
      <c r="J1019" s="2">
        <v>0</v>
      </c>
      <c r="K1019" s="2">
        <v>0</v>
      </c>
      <c r="L1019" s="2"/>
      <c r="M1019" s="2">
        <v>0</v>
      </c>
      <c r="N1019" s="14"/>
      <c r="O1019" s="14"/>
      <c r="P1019" s="2">
        <v>5</v>
      </c>
      <c r="Q1019" s="2">
        <v>10</v>
      </c>
      <c r="R1019" s="2">
        <v>5</v>
      </c>
      <c r="S1019">
        <f t="shared" si="72"/>
        <v>10</v>
      </c>
      <c r="T1019" t="s">
        <v>140</v>
      </c>
      <c r="U1019" s="1">
        <f>_xlfn.XLOOKUP(T1019,$Y$2:$Y$45,$AA$2:$AA$45)*(Q1019-S1019)</f>
        <v>0</v>
      </c>
    </row>
    <row r="1020" spans="1:21" hidden="1" x14ac:dyDescent="0.25">
      <c r="A1020" s="2">
        <v>39326</v>
      </c>
      <c r="B1020" s="13" t="s">
        <v>1626</v>
      </c>
      <c r="C1020" s="14" t="s">
        <v>39</v>
      </c>
      <c r="D1020" s="15">
        <v>45317</v>
      </c>
      <c r="E1020" s="2">
        <v>0</v>
      </c>
      <c r="F1020" s="14" t="s">
        <v>994</v>
      </c>
      <c r="G1020" t="s">
        <v>995</v>
      </c>
      <c r="H1020" s="14" t="s">
        <v>42</v>
      </c>
      <c r="I1020" s="2">
        <v>1</v>
      </c>
      <c r="J1020" s="2">
        <v>0</v>
      </c>
      <c r="K1020" s="2">
        <v>0</v>
      </c>
      <c r="L1020" s="2"/>
      <c r="M1020" s="2">
        <v>0</v>
      </c>
      <c r="N1020" s="14"/>
      <c r="O1020" s="14"/>
      <c r="P1020" s="2">
        <v>774</v>
      </c>
      <c r="Q1020" s="2">
        <v>774</v>
      </c>
      <c r="R1020" s="2">
        <v>633.29999999999995</v>
      </c>
      <c r="S1020">
        <f t="shared" si="72"/>
        <v>633.29999999999995</v>
      </c>
      <c r="T1020" t="s">
        <v>132</v>
      </c>
      <c r="U1020" s="1">
        <f>_xlfn.XLOOKUP(T1020,$Y$2:$Y$45,$AA$2:$AA$45)*(Q1020-S1020)</f>
        <v>11.256000000000004</v>
      </c>
    </row>
    <row r="1021" spans="1:21" hidden="1" x14ac:dyDescent="0.25">
      <c r="A1021" s="2">
        <v>39326</v>
      </c>
      <c r="B1021" s="13" t="s">
        <v>1626</v>
      </c>
      <c r="C1021" s="14" t="s">
        <v>39</v>
      </c>
      <c r="D1021" s="15">
        <v>45317</v>
      </c>
      <c r="E1021" s="2">
        <v>0</v>
      </c>
      <c r="F1021" s="14" t="s">
        <v>862</v>
      </c>
      <c r="G1021" t="s">
        <v>863</v>
      </c>
      <c r="H1021" s="14" t="s">
        <v>42</v>
      </c>
      <c r="I1021" s="2">
        <v>1</v>
      </c>
      <c r="J1021" s="2">
        <v>0</v>
      </c>
      <c r="K1021" s="2">
        <v>0</v>
      </c>
      <c r="L1021" s="2"/>
      <c r="M1021" s="2">
        <v>0</v>
      </c>
      <c r="N1021" s="14"/>
      <c r="O1021" s="14"/>
      <c r="P1021" s="2">
        <v>46</v>
      </c>
      <c r="Q1021" s="2">
        <v>46</v>
      </c>
      <c r="R1021" s="2">
        <v>37.35</v>
      </c>
      <c r="S1021">
        <f t="shared" si="72"/>
        <v>37.35</v>
      </c>
      <c r="T1021" t="s">
        <v>132</v>
      </c>
      <c r="U1021" s="1">
        <f>_xlfn.XLOOKUP(T1021,$Y$2:$Y$45,$AA$2:$AA$45)*(Q1021-S1021)</f>
        <v>0.69199999999999995</v>
      </c>
    </row>
    <row r="1022" spans="1:21" x14ac:dyDescent="0.25">
      <c r="A1022" s="2">
        <v>39326</v>
      </c>
      <c r="B1022" s="13" t="s">
        <v>1626</v>
      </c>
      <c r="C1022" s="14" t="s">
        <v>39</v>
      </c>
      <c r="D1022" s="15">
        <v>45317</v>
      </c>
      <c r="E1022" s="2">
        <v>0</v>
      </c>
      <c r="F1022" s="14" t="s">
        <v>455</v>
      </c>
      <c r="G1022" t="s">
        <v>598</v>
      </c>
      <c r="H1022" s="14" t="s">
        <v>93</v>
      </c>
      <c r="I1022" s="2">
        <v>2</v>
      </c>
      <c r="J1022" s="2">
        <v>0</v>
      </c>
      <c r="K1022" s="2">
        <v>0</v>
      </c>
      <c r="L1022" s="2"/>
      <c r="M1022" s="2">
        <v>0</v>
      </c>
      <c r="N1022" s="14"/>
      <c r="O1022" s="14"/>
      <c r="P1022" s="2">
        <v>120</v>
      </c>
      <c r="Q1022" s="2">
        <v>240</v>
      </c>
      <c r="R1022" s="2">
        <v>0</v>
      </c>
      <c r="S1022">
        <f t="shared" si="72"/>
        <v>0</v>
      </c>
      <c r="T1022" t="s">
        <v>132</v>
      </c>
      <c r="U1022">
        <f>_xlfn.XLOOKUP(T1022,$Y$2:$Y$45,$AB$2:$AB$45)*(Q1022)</f>
        <v>9.6</v>
      </c>
    </row>
    <row r="1023" spans="1:21" hidden="1" x14ac:dyDescent="0.25">
      <c r="A1023" s="2">
        <v>39327</v>
      </c>
      <c r="B1023" s="13" t="s">
        <v>1627</v>
      </c>
      <c r="C1023" s="14" t="s">
        <v>39</v>
      </c>
      <c r="D1023" s="15">
        <v>45321</v>
      </c>
      <c r="E1023" s="2">
        <v>0</v>
      </c>
      <c r="F1023" s="14" t="s">
        <v>1628</v>
      </c>
      <c r="G1023" t="s">
        <v>1629</v>
      </c>
      <c r="H1023" s="14" t="s">
        <v>42</v>
      </c>
      <c r="I1023" s="2">
        <v>42</v>
      </c>
      <c r="J1023" s="2">
        <v>0</v>
      </c>
      <c r="K1023" s="2">
        <v>0</v>
      </c>
      <c r="L1023" s="2"/>
      <c r="M1023" s="2">
        <v>0</v>
      </c>
      <c r="N1023" s="14"/>
      <c r="O1023" s="14"/>
      <c r="P1023" s="2">
        <v>2.84</v>
      </c>
      <c r="Q1023" s="2">
        <v>119.28</v>
      </c>
      <c r="R1023" s="2">
        <v>1.99</v>
      </c>
      <c r="S1023">
        <f t="shared" si="72"/>
        <v>83.58</v>
      </c>
      <c r="T1023" t="s">
        <v>132</v>
      </c>
      <c r="U1023" s="1">
        <f t="shared" ref="U1023:U1030" si="76">_xlfn.XLOOKUP(T1023,$Y$2:$Y$45,$AA$2:$AA$45)*(Q1023-S1023)</f>
        <v>2.8560000000000003</v>
      </c>
    </row>
    <row r="1024" spans="1:21" hidden="1" x14ac:dyDescent="0.25">
      <c r="A1024" s="2">
        <v>39327</v>
      </c>
      <c r="B1024" s="13" t="s">
        <v>1627</v>
      </c>
      <c r="C1024" s="14" t="s">
        <v>39</v>
      </c>
      <c r="D1024" s="15">
        <v>45321</v>
      </c>
      <c r="E1024" s="2">
        <v>0</v>
      </c>
      <c r="F1024" s="14" t="s">
        <v>1630</v>
      </c>
      <c r="G1024" t="s">
        <v>1631</v>
      </c>
      <c r="H1024" s="14" t="s">
        <v>42</v>
      </c>
      <c r="I1024" s="2">
        <v>14</v>
      </c>
      <c r="J1024" s="2">
        <v>0</v>
      </c>
      <c r="K1024" s="2">
        <v>0</v>
      </c>
      <c r="L1024" s="2"/>
      <c r="M1024" s="2">
        <v>0</v>
      </c>
      <c r="N1024" s="14"/>
      <c r="O1024" s="14"/>
      <c r="P1024" s="2">
        <v>3.79</v>
      </c>
      <c r="Q1024" s="2">
        <v>53.06</v>
      </c>
      <c r="R1024" s="2">
        <v>2.65</v>
      </c>
      <c r="S1024">
        <f t="shared" si="72"/>
        <v>37.1</v>
      </c>
      <c r="T1024" t="s">
        <v>132</v>
      </c>
      <c r="U1024" s="1">
        <f t="shared" si="76"/>
        <v>1.2768000000000002</v>
      </c>
    </row>
    <row r="1025" spans="1:21" hidden="1" x14ac:dyDescent="0.25">
      <c r="A1025" s="2">
        <v>39327</v>
      </c>
      <c r="B1025" s="13" t="s">
        <v>1627</v>
      </c>
      <c r="C1025" s="14" t="s">
        <v>39</v>
      </c>
      <c r="D1025" s="15">
        <v>45321</v>
      </c>
      <c r="E1025" s="2">
        <v>0</v>
      </c>
      <c r="F1025" s="14" t="s">
        <v>1632</v>
      </c>
      <c r="G1025" t="s">
        <v>1633</v>
      </c>
      <c r="H1025" s="14" t="s">
        <v>42</v>
      </c>
      <c r="I1025" s="2">
        <v>42</v>
      </c>
      <c r="J1025" s="2">
        <v>0</v>
      </c>
      <c r="K1025" s="2">
        <v>0</v>
      </c>
      <c r="L1025" s="2"/>
      <c r="M1025" s="2">
        <v>0</v>
      </c>
      <c r="N1025" s="14"/>
      <c r="O1025" s="14"/>
      <c r="P1025" s="2">
        <v>3.57</v>
      </c>
      <c r="Q1025" s="2">
        <v>149.94</v>
      </c>
      <c r="R1025" s="2">
        <v>2.5</v>
      </c>
      <c r="S1025">
        <f t="shared" si="72"/>
        <v>105</v>
      </c>
      <c r="T1025" t="s">
        <v>132</v>
      </c>
      <c r="U1025" s="1">
        <f t="shared" si="76"/>
        <v>3.5951999999999997</v>
      </c>
    </row>
    <row r="1026" spans="1:21" hidden="1" x14ac:dyDescent="0.25">
      <c r="A1026" s="2">
        <v>39327</v>
      </c>
      <c r="B1026" s="13" t="s">
        <v>1627</v>
      </c>
      <c r="C1026" s="14" t="s">
        <v>39</v>
      </c>
      <c r="D1026" s="15">
        <v>45321</v>
      </c>
      <c r="E1026" s="2">
        <v>0</v>
      </c>
      <c r="F1026" s="14" t="s">
        <v>1634</v>
      </c>
      <c r="G1026" t="s">
        <v>1635</v>
      </c>
      <c r="H1026" s="14" t="s">
        <v>42</v>
      </c>
      <c r="I1026" s="2">
        <v>6</v>
      </c>
      <c r="J1026" s="2">
        <v>0</v>
      </c>
      <c r="K1026" s="2">
        <v>0</v>
      </c>
      <c r="L1026" s="2"/>
      <c r="M1026" s="2">
        <v>0</v>
      </c>
      <c r="N1026" s="14"/>
      <c r="O1026" s="14"/>
      <c r="P1026" s="2">
        <v>5.71</v>
      </c>
      <c r="Q1026" s="2">
        <v>34.26</v>
      </c>
      <c r="R1026" s="2">
        <v>4</v>
      </c>
      <c r="S1026">
        <f t="shared" ref="S1026:S1089" si="77">R1026*I1026</f>
        <v>24</v>
      </c>
      <c r="T1026" t="s">
        <v>132</v>
      </c>
      <c r="U1026" s="1">
        <f t="shared" si="76"/>
        <v>0.82079999999999986</v>
      </c>
    </row>
    <row r="1027" spans="1:21" hidden="1" x14ac:dyDescent="0.25">
      <c r="A1027" s="2">
        <v>39327</v>
      </c>
      <c r="B1027" s="13" t="s">
        <v>1627</v>
      </c>
      <c r="C1027" s="14" t="s">
        <v>39</v>
      </c>
      <c r="D1027" s="15">
        <v>45321</v>
      </c>
      <c r="E1027" s="2">
        <v>0</v>
      </c>
      <c r="F1027" s="14" t="s">
        <v>1636</v>
      </c>
      <c r="G1027" t="s">
        <v>1637</v>
      </c>
      <c r="H1027" s="14" t="s">
        <v>42</v>
      </c>
      <c r="I1027" s="2">
        <v>6</v>
      </c>
      <c r="J1027" s="2">
        <v>0</v>
      </c>
      <c r="K1027" s="2">
        <v>0</v>
      </c>
      <c r="L1027" s="2"/>
      <c r="M1027" s="2">
        <v>0</v>
      </c>
      <c r="N1027" s="14"/>
      <c r="O1027" s="14"/>
      <c r="P1027" s="2">
        <v>5.36</v>
      </c>
      <c r="Q1027" s="2">
        <v>32.159999999999997</v>
      </c>
      <c r="R1027" s="2">
        <v>3.75</v>
      </c>
      <c r="S1027">
        <f t="shared" si="77"/>
        <v>22.5</v>
      </c>
      <c r="T1027" t="s">
        <v>132</v>
      </c>
      <c r="U1027" s="1">
        <f t="shared" si="76"/>
        <v>0.77279999999999971</v>
      </c>
    </row>
    <row r="1028" spans="1:21" hidden="1" x14ac:dyDescent="0.25">
      <c r="A1028" s="2">
        <v>39330</v>
      </c>
      <c r="B1028" s="13" t="s">
        <v>1638</v>
      </c>
      <c r="C1028" s="14" t="s">
        <v>39</v>
      </c>
      <c r="D1028" s="15">
        <v>45322</v>
      </c>
      <c r="E1028" s="2">
        <v>0</v>
      </c>
      <c r="F1028" s="14" t="s">
        <v>1639</v>
      </c>
      <c r="G1028" t="s">
        <v>1640</v>
      </c>
      <c r="H1028" s="14" t="s">
        <v>42</v>
      </c>
      <c r="I1028" s="2">
        <v>1</v>
      </c>
      <c r="J1028" s="2">
        <v>0</v>
      </c>
      <c r="K1028" s="2">
        <v>0</v>
      </c>
      <c r="L1028" s="2"/>
      <c r="M1028" s="2">
        <v>0</v>
      </c>
      <c r="N1028" s="14"/>
      <c r="O1028" s="14"/>
      <c r="P1028" s="2">
        <v>62.72</v>
      </c>
      <c r="Q1028" s="2">
        <v>62.72</v>
      </c>
      <c r="R1028" s="2">
        <v>56.45</v>
      </c>
      <c r="S1028">
        <f t="shared" si="77"/>
        <v>56.45</v>
      </c>
      <c r="T1028" t="s">
        <v>140</v>
      </c>
      <c r="U1028" s="1">
        <f t="shared" si="76"/>
        <v>0.50159999999999971</v>
      </c>
    </row>
    <row r="1029" spans="1:21" hidden="1" x14ac:dyDescent="0.25">
      <c r="A1029" s="2">
        <v>39336</v>
      </c>
      <c r="B1029" s="13" t="s">
        <v>1641</v>
      </c>
      <c r="C1029" s="14" t="s">
        <v>39</v>
      </c>
      <c r="D1029" s="15">
        <v>45316</v>
      </c>
      <c r="E1029" s="2">
        <v>0</v>
      </c>
      <c r="F1029" s="14" t="s">
        <v>1642</v>
      </c>
      <c r="G1029" t="s">
        <v>1643</v>
      </c>
      <c r="H1029" s="14" t="s">
        <v>42</v>
      </c>
      <c r="I1029" s="2">
        <v>1</v>
      </c>
      <c r="J1029" s="2">
        <v>0</v>
      </c>
      <c r="K1029" s="2">
        <v>0</v>
      </c>
      <c r="L1029" s="2"/>
      <c r="M1029" s="2">
        <v>0</v>
      </c>
      <c r="N1029" s="14"/>
      <c r="O1029" s="14"/>
      <c r="P1029" s="2">
        <v>1390</v>
      </c>
      <c r="Q1029" s="2">
        <v>1390</v>
      </c>
      <c r="R1029" s="2">
        <v>1139</v>
      </c>
      <c r="S1029">
        <f t="shared" si="77"/>
        <v>1139</v>
      </c>
      <c r="T1029" t="s">
        <v>1874</v>
      </c>
      <c r="U1029" s="1">
        <f t="shared" si="76"/>
        <v>20.080000000000002</v>
      </c>
    </row>
    <row r="1030" spans="1:21" hidden="1" x14ac:dyDescent="0.25">
      <c r="A1030" s="2">
        <v>39336</v>
      </c>
      <c r="B1030" s="13" t="s">
        <v>1641</v>
      </c>
      <c r="C1030" s="14" t="s">
        <v>39</v>
      </c>
      <c r="D1030" s="15">
        <v>45316</v>
      </c>
      <c r="E1030" s="2">
        <v>0</v>
      </c>
      <c r="F1030" s="14" t="s">
        <v>495</v>
      </c>
      <c r="G1030" t="s">
        <v>496</v>
      </c>
      <c r="H1030" s="14" t="s">
        <v>42</v>
      </c>
      <c r="I1030" s="2">
        <v>1</v>
      </c>
      <c r="J1030" s="2">
        <v>0</v>
      </c>
      <c r="K1030" s="2">
        <v>0</v>
      </c>
      <c r="L1030" s="2"/>
      <c r="M1030" s="2">
        <v>0</v>
      </c>
      <c r="N1030" s="14"/>
      <c r="O1030" s="14"/>
      <c r="P1030" s="2">
        <v>74</v>
      </c>
      <c r="Q1030" s="2">
        <v>74</v>
      </c>
      <c r="R1030" s="2">
        <v>60.54</v>
      </c>
      <c r="S1030">
        <f t="shared" si="77"/>
        <v>60.54</v>
      </c>
      <c r="T1030" t="s">
        <v>1874</v>
      </c>
      <c r="U1030" s="1">
        <f t="shared" si="76"/>
        <v>1.0768000000000002</v>
      </c>
    </row>
    <row r="1031" spans="1:21" x14ac:dyDescent="0.25">
      <c r="A1031" s="2">
        <v>39336</v>
      </c>
      <c r="B1031" s="13" t="s">
        <v>1641</v>
      </c>
      <c r="C1031" s="14" t="s">
        <v>39</v>
      </c>
      <c r="D1031" s="15">
        <v>45316</v>
      </c>
      <c r="E1031" s="2">
        <v>0</v>
      </c>
      <c r="F1031" s="14" t="s">
        <v>152</v>
      </c>
      <c r="G1031" t="s">
        <v>153</v>
      </c>
      <c r="H1031" s="14" t="s">
        <v>93</v>
      </c>
      <c r="I1031" s="2">
        <v>6</v>
      </c>
      <c r="J1031" s="2">
        <v>0</v>
      </c>
      <c r="K1031" s="2">
        <v>0</v>
      </c>
      <c r="L1031" s="2"/>
      <c r="M1031" s="2">
        <v>0</v>
      </c>
      <c r="N1031" s="14"/>
      <c r="O1031" s="14"/>
      <c r="P1031" s="2">
        <v>225</v>
      </c>
      <c r="Q1031" s="2">
        <v>1350</v>
      </c>
      <c r="R1031" s="2">
        <v>0</v>
      </c>
      <c r="S1031">
        <f t="shared" si="77"/>
        <v>0</v>
      </c>
      <c r="T1031" t="s">
        <v>1874</v>
      </c>
      <c r="U1031">
        <f>_xlfn.XLOOKUP(T1031,$Y$2:$Y$45,$AB$2:$AB$45)*(Q1031)</f>
        <v>54</v>
      </c>
    </row>
    <row r="1032" spans="1:21" hidden="1" x14ac:dyDescent="0.25">
      <c r="A1032" s="2">
        <v>39338</v>
      </c>
      <c r="B1032" s="13" t="s">
        <v>1644</v>
      </c>
      <c r="C1032" s="14" t="s">
        <v>39</v>
      </c>
      <c r="D1032" s="15">
        <v>45316</v>
      </c>
      <c r="E1032" s="2">
        <v>0</v>
      </c>
      <c r="F1032" s="14" t="s">
        <v>1645</v>
      </c>
      <c r="G1032" t="s">
        <v>1646</v>
      </c>
      <c r="H1032" s="14" t="s">
        <v>42</v>
      </c>
      <c r="I1032" s="2">
        <v>5</v>
      </c>
      <c r="J1032" s="2">
        <v>0</v>
      </c>
      <c r="K1032" s="2">
        <v>0</v>
      </c>
      <c r="L1032" s="2"/>
      <c r="M1032" s="2">
        <v>0</v>
      </c>
      <c r="N1032" s="14"/>
      <c r="O1032" s="14"/>
      <c r="P1032" s="2">
        <v>342</v>
      </c>
      <c r="Q1032" s="2">
        <v>1710</v>
      </c>
      <c r="R1032" s="2">
        <v>276.95</v>
      </c>
      <c r="S1032">
        <f t="shared" si="77"/>
        <v>1384.75</v>
      </c>
      <c r="T1032" t="s">
        <v>107</v>
      </c>
      <c r="U1032" s="1">
        <f>_xlfn.XLOOKUP(T1032,$Y$2:$Y$45,$AA$2:$AA$45)*(Q1032-S1032)</f>
        <v>13.01</v>
      </c>
    </row>
    <row r="1033" spans="1:21" hidden="1" x14ac:dyDescent="0.25">
      <c r="A1033" s="2">
        <v>39338</v>
      </c>
      <c r="B1033" s="13" t="s">
        <v>1644</v>
      </c>
      <c r="C1033" s="14" t="s">
        <v>39</v>
      </c>
      <c r="D1033" s="15">
        <v>45316</v>
      </c>
      <c r="E1033" s="2">
        <v>0</v>
      </c>
      <c r="F1033" s="14" t="s">
        <v>643</v>
      </c>
      <c r="G1033" t="s">
        <v>1464</v>
      </c>
      <c r="H1033" s="14" t="s">
        <v>42</v>
      </c>
      <c r="I1033" s="2">
        <v>5</v>
      </c>
      <c r="J1033" s="2">
        <v>0</v>
      </c>
      <c r="K1033" s="2">
        <v>0</v>
      </c>
      <c r="L1033" s="2"/>
      <c r="M1033" s="2">
        <v>0</v>
      </c>
      <c r="N1033" s="14"/>
      <c r="O1033" s="14"/>
      <c r="P1033" s="2">
        <v>835</v>
      </c>
      <c r="Q1033" s="2">
        <v>4175</v>
      </c>
      <c r="R1033" s="2">
        <v>640.70000000000005</v>
      </c>
      <c r="S1033">
        <f t="shared" si="77"/>
        <v>3203.5</v>
      </c>
      <c r="T1033" t="s">
        <v>107</v>
      </c>
      <c r="U1033" s="1">
        <f>_xlfn.XLOOKUP(T1033,$Y$2:$Y$45,$AA$2:$AA$45)*(Q1033-S1033)</f>
        <v>38.86</v>
      </c>
    </row>
    <row r="1034" spans="1:21" hidden="1" x14ac:dyDescent="0.25">
      <c r="A1034" s="2">
        <v>39338</v>
      </c>
      <c r="B1034" s="13" t="s">
        <v>1644</v>
      </c>
      <c r="C1034" s="14" t="s">
        <v>39</v>
      </c>
      <c r="D1034" s="15">
        <v>45316</v>
      </c>
      <c r="E1034" s="2">
        <v>0</v>
      </c>
      <c r="F1034" s="14" t="s">
        <v>1647</v>
      </c>
      <c r="G1034" t="s">
        <v>1648</v>
      </c>
      <c r="H1034" s="14" t="s">
        <v>42</v>
      </c>
      <c r="I1034" s="2">
        <v>5</v>
      </c>
      <c r="J1034" s="2">
        <v>0</v>
      </c>
      <c r="K1034" s="2">
        <v>0</v>
      </c>
      <c r="L1034" s="2"/>
      <c r="M1034" s="2">
        <v>0</v>
      </c>
      <c r="N1034" s="14"/>
      <c r="O1034" s="14"/>
      <c r="P1034" s="2">
        <v>47</v>
      </c>
      <c r="Q1034" s="2">
        <v>235</v>
      </c>
      <c r="R1034" s="2">
        <v>37.840000000000003</v>
      </c>
      <c r="S1034">
        <f t="shared" si="77"/>
        <v>189.20000000000002</v>
      </c>
      <c r="T1034" t="s">
        <v>107</v>
      </c>
      <c r="U1034" s="1">
        <f>_xlfn.XLOOKUP(T1034,$Y$2:$Y$45,$AA$2:$AA$45)*(Q1034-S1034)</f>
        <v>1.8319999999999994</v>
      </c>
    </row>
    <row r="1035" spans="1:21" hidden="1" x14ac:dyDescent="0.25">
      <c r="A1035" s="2">
        <v>39338</v>
      </c>
      <c r="B1035" s="13" t="s">
        <v>1644</v>
      </c>
      <c r="C1035" s="14" t="s">
        <v>39</v>
      </c>
      <c r="D1035" s="15">
        <v>45316</v>
      </c>
      <c r="E1035" s="2">
        <v>0</v>
      </c>
      <c r="F1035" s="14" t="s">
        <v>495</v>
      </c>
      <c r="G1035" t="s">
        <v>496</v>
      </c>
      <c r="H1035" s="14" t="s">
        <v>42</v>
      </c>
      <c r="I1035" s="2">
        <v>5</v>
      </c>
      <c r="J1035" s="2">
        <v>0</v>
      </c>
      <c r="K1035" s="2">
        <v>0</v>
      </c>
      <c r="L1035" s="2"/>
      <c r="M1035" s="2">
        <v>0</v>
      </c>
      <c r="N1035" s="14"/>
      <c r="O1035" s="14"/>
      <c r="P1035" s="2">
        <v>81</v>
      </c>
      <c r="Q1035" s="2">
        <v>405</v>
      </c>
      <c r="R1035" s="2">
        <v>65.680000000000007</v>
      </c>
      <c r="S1035">
        <f t="shared" si="77"/>
        <v>328.40000000000003</v>
      </c>
      <c r="T1035" t="s">
        <v>107</v>
      </c>
      <c r="U1035" s="1">
        <f>_xlfn.XLOOKUP(T1035,$Y$2:$Y$45,$AA$2:$AA$45)*(Q1035-S1035)</f>
        <v>3.0639999999999987</v>
      </c>
    </row>
    <row r="1036" spans="1:21" hidden="1" x14ac:dyDescent="0.25">
      <c r="A1036" s="2">
        <v>39340</v>
      </c>
      <c r="B1036" s="13" t="s">
        <v>1649</v>
      </c>
      <c r="C1036" s="14" t="s">
        <v>39</v>
      </c>
      <c r="D1036" s="15">
        <v>45316</v>
      </c>
      <c r="E1036" s="2">
        <v>0</v>
      </c>
      <c r="F1036" s="14" t="s">
        <v>1650</v>
      </c>
      <c r="G1036" t="s">
        <v>1651</v>
      </c>
      <c r="H1036" s="14" t="s">
        <v>42</v>
      </c>
      <c r="I1036" s="2">
        <v>1</v>
      </c>
      <c r="J1036" s="2">
        <v>0</v>
      </c>
      <c r="K1036" s="2">
        <v>0</v>
      </c>
      <c r="L1036" s="2"/>
      <c r="M1036" s="2">
        <v>0</v>
      </c>
      <c r="N1036" s="14"/>
      <c r="O1036" s="14"/>
      <c r="P1036" s="2">
        <v>636</v>
      </c>
      <c r="Q1036" s="2">
        <v>636</v>
      </c>
      <c r="R1036" s="2">
        <v>508.25</v>
      </c>
      <c r="S1036">
        <f t="shared" si="77"/>
        <v>508.25</v>
      </c>
      <c r="T1036" t="s">
        <v>150</v>
      </c>
      <c r="U1036" s="1">
        <f>_xlfn.XLOOKUP(T1036,$Y$2:$Y$45,$AA$2:$AA$45)*(Q1036-S1036)</f>
        <v>10.220000000000001</v>
      </c>
    </row>
    <row r="1037" spans="1:21" x14ac:dyDescent="0.25">
      <c r="A1037" s="2">
        <v>39343</v>
      </c>
      <c r="B1037" s="13" t="s">
        <v>1652</v>
      </c>
      <c r="C1037" s="14" t="s">
        <v>39</v>
      </c>
      <c r="D1037" s="15">
        <v>45321</v>
      </c>
      <c r="E1037" s="2">
        <v>0</v>
      </c>
      <c r="F1037" s="14" t="s">
        <v>152</v>
      </c>
      <c r="G1037" t="s">
        <v>153</v>
      </c>
      <c r="H1037" s="14" t="s">
        <v>93</v>
      </c>
      <c r="I1037" s="2">
        <v>8</v>
      </c>
      <c r="J1037" s="2">
        <v>0</v>
      </c>
      <c r="K1037" s="2">
        <v>0</v>
      </c>
      <c r="L1037" s="2"/>
      <c r="M1037" s="2">
        <v>0</v>
      </c>
      <c r="N1037" s="14"/>
      <c r="O1037" s="14"/>
      <c r="P1037" s="2">
        <v>180</v>
      </c>
      <c r="Q1037" s="2">
        <v>1440</v>
      </c>
      <c r="R1037" s="2">
        <v>0</v>
      </c>
      <c r="S1037">
        <f t="shared" si="77"/>
        <v>0</v>
      </c>
      <c r="T1037" t="s">
        <v>107</v>
      </c>
      <c r="U1037">
        <f>_xlfn.XLOOKUP(T1037,$Y$2:$Y$45,$AB$2:$AB$45)*(Q1037)</f>
        <v>57.6</v>
      </c>
    </row>
    <row r="1038" spans="1:21" hidden="1" x14ac:dyDescent="0.25">
      <c r="A1038" s="2">
        <v>39343</v>
      </c>
      <c r="B1038" s="13" t="s">
        <v>1652</v>
      </c>
      <c r="C1038" s="14" t="s">
        <v>39</v>
      </c>
      <c r="D1038" s="15">
        <v>45321</v>
      </c>
      <c r="E1038" s="2">
        <v>0</v>
      </c>
      <c r="F1038" s="14" t="s">
        <v>1653</v>
      </c>
      <c r="G1038" t="s">
        <v>1654</v>
      </c>
      <c r="H1038" s="14" t="s">
        <v>42</v>
      </c>
      <c r="I1038" s="2">
        <v>1</v>
      </c>
      <c r="J1038" s="2">
        <v>0</v>
      </c>
      <c r="K1038" s="2">
        <v>0</v>
      </c>
      <c r="L1038" s="2"/>
      <c r="M1038" s="2">
        <v>0</v>
      </c>
      <c r="N1038" s="14"/>
      <c r="O1038" s="14"/>
      <c r="P1038" s="2">
        <v>1272</v>
      </c>
      <c r="Q1038" s="2">
        <v>1272</v>
      </c>
      <c r="R1038" s="2">
        <v>974.11</v>
      </c>
      <c r="S1038">
        <f t="shared" si="77"/>
        <v>974.11</v>
      </c>
      <c r="T1038" t="s">
        <v>107</v>
      </c>
      <c r="U1038" s="1">
        <f t="shared" ref="U1038:U1045" si="78">_xlfn.XLOOKUP(T1038,$Y$2:$Y$45,$AA$2:$AA$45)*(Q1038-S1038)</f>
        <v>11.9156</v>
      </c>
    </row>
    <row r="1039" spans="1:21" hidden="1" x14ac:dyDescent="0.25">
      <c r="A1039" s="2">
        <v>39343</v>
      </c>
      <c r="B1039" s="13" t="s">
        <v>1652</v>
      </c>
      <c r="C1039" s="14" t="s">
        <v>39</v>
      </c>
      <c r="D1039" s="15">
        <v>45321</v>
      </c>
      <c r="E1039" s="2">
        <v>0</v>
      </c>
      <c r="F1039" s="14" t="s">
        <v>1655</v>
      </c>
      <c r="G1039" t="s">
        <v>1656</v>
      </c>
      <c r="H1039" s="14" t="s">
        <v>42</v>
      </c>
      <c r="I1039" s="2">
        <v>1</v>
      </c>
      <c r="J1039" s="2">
        <v>0</v>
      </c>
      <c r="K1039" s="2">
        <v>0</v>
      </c>
      <c r="L1039" s="2"/>
      <c r="M1039" s="2">
        <v>0</v>
      </c>
      <c r="N1039" s="14"/>
      <c r="O1039" s="14"/>
      <c r="P1039" s="2">
        <v>297</v>
      </c>
      <c r="Q1039" s="2">
        <v>297</v>
      </c>
      <c r="R1039" s="2">
        <v>91.16</v>
      </c>
      <c r="S1039">
        <f t="shared" si="77"/>
        <v>91.16</v>
      </c>
      <c r="T1039" t="s">
        <v>107</v>
      </c>
      <c r="U1039" s="1">
        <f t="shared" si="78"/>
        <v>8.2336000000000009</v>
      </c>
    </row>
    <row r="1040" spans="1:21" hidden="1" x14ac:dyDescent="0.25">
      <c r="A1040" s="2">
        <v>39343</v>
      </c>
      <c r="B1040" s="13" t="s">
        <v>1652</v>
      </c>
      <c r="C1040" s="14" t="s">
        <v>39</v>
      </c>
      <c r="D1040" s="15">
        <v>45321</v>
      </c>
      <c r="E1040" s="2">
        <v>0</v>
      </c>
      <c r="F1040" s="14" t="s">
        <v>1657</v>
      </c>
      <c r="G1040" t="s">
        <v>1658</v>
      </c>
      <c r="H1040" s="14" t="s">
        <v>42</v>
      </c>
      <c r="I1040" s="2">
        <v>1</v>
      </c>
      <c r="J1040" s="2">
        <v>0</v>
      </c>
      <c r="K1040" s="2">
        <v>0</v>
      </c>
      <c r="L1040" s="2"/>
      <c r="M1040" s="2">
        <v>0</v>
      </c>
      <c r="N1040" s="14"/>
      <c r="O1040" s="14"/>
      <c r="P1040" s="2">
        <v>159</v>
      </c>
      <c r="Q1040" s="2">
        <v>159</v>
      </c>
      <c r="R1040" s="2">
        <v>122.43</v>
      </c>
      <c r="S1040">
        <f t="shared" si="77"/>
        <v>122.43</v>
      </c>
      <c r="T1040" t="s">
        <v>107</v>
      </c>
      <c r="U1040" s="1">
        <f t="shared" si="78"/>
        <v>1.4627999999999997</v>
      </c>
    </row>
    <row r="1041" spans="1:21" hidden="1" x14ac:dyDescent="0.25">
      <c r="A1041" s="2">
        <v>39343</v>
      </c>
      <c r="B1041" s="13" t="s">
        <v>1652</v>
      </c>
      <c r="C1041" s="14" t="s">
        <v>39</v>
      </c>
      <c r="D1041" s="15">
        <v>45321</v>
      </c>
      <c r="E1041" s="2">
        <v>0</v>
      </c>
      <c r="F1041" s="14" t="s">
        <v>1659</v>
      </c>
      <c r="G1041" t="s">
        <v>1660</v>
      </c>
      <c r="H1041" s="14" t="s">
        <v>42</v>
      </c>
      <c r="I1041" s="2">
        <v>1</v>
      </c>
      <c r="J1041" s="2">
        <v>0</v>
      </c>
      <c r="K1041" s="2">
        <v>0</v>
      </c>
      <c r="L1041" s="2"/>
      <c r="M1041" s="2">
        <v>0</v>
      </c>
      <c r="N1041" s="14"/>
      <c r="O1041" s="14"/>
      <c r="P1041" s="2">
        <v>14</v>
      </c>
      <c r="Q1041" s="2">
        <v>14</v>
      </c>
      <c r="R1041" s="2">
        <v>11.18</v>
      </c>
      <c r="S1041">
        <f t="shared" si="77"/>
        <v>11.18</v>
      </c>
      <c r="T1041" t="s">
        <v>107</v>
      </c>
      <c r="U1041" s="1">
        <f t="shared" si="78"/>
        <v>0.11280000000000001</v>
      </c>
    </row>
    <row r="1042" spans="1:21" hidden="1" x14ac:dyDescent="0.25">
      <c r="A1042" s="2">
        <v>39343</v>
      </c>
      <c r="B1042" s="13" t="s">
        <v>1652</v>
      </c>
      <c r="C1042" s="14" t="s">
        <v>39</v>
      </c>
      <c r="D1042" s="15">
        <v>45321</v>
      </c>
      <c r="E1042" s="2">
        <v>0</v>
      </c>
      <c r="F1042" s="14" t="s">
        <v>1661</v>
      </c>
      <c r="G1042" t="s">
        <v>1662</v>
      </c>
      <c r="H1042" s="14" t="s">
        <v>42</v>
      </c>
      <c r="I1042" s="2">
        <v>1</v>
      </c>
      <c r="J1042" s="2">
        <v>0</v>
      </c>
      <c r="K1042" s="2">
        <v>0</v>
      </c>
      <c r="L1042" s="2"/>
      <c r="M1042" s="2">
        <v>0</v>
      </c>
      <c r="N1042" s="14"/>
      <c r="O1042" s="14"/>
      <c r="P1042" s="2">
        <v>266</v>
      </c>
      <c r="Q1042" s="2">
        <v>266</v>
      </c>
      <c r="R1042" s="2">
        <v>185.79</v>
      </c>
      <c r="S1042">
        <f t="shared" si="77"/>
        <v>185.79</v>
      </c>
      <c r="T1042" t="s">
        <v>107</v>
      </c>
      <c r="U1042" s="1">
        <f t="shared" si="78"/>
        <v>3.2084000000000006</v>
      </c>
    </row>
    <row r="1043" spans="1:21" hidden="1" x14ac:dyDescent="0.25">
      <c r="A1043" s="2">
        <v>39343</v>
      </c>
      <c r="B1043" s="13" t="s">
        <v>1652</v>
      </c>
      <c r="C1043" s="14" t="s">
        <v>39</v>
      </c>
      <c r="D1043" s="15">
        <v>45321</v>
      </c>
      <c r="E1043" s="2">
        <v>0</v>
      </c>
      <c r="F1043" s="14" t="s">
        <v>1663</v>
      </c>
      <c r="G1043" t="s">
        <v>1664</v>
      </c>
      <c r="H1043" s="14" t="s">
        <v>42</v>
      </c>
      <c r="I1043" s="2">
        <v>1</v>
      </c>
      <c r="J1043" s="2">
        <v>0</v>
      </c>
      <c r="K1043" s="2">
        <v>0</v>
      </c>
      <c r="L1043" s="2"/>
      <c r="M1043" s="2">
        <v>0</v>
      </c>
      <c r="N1043" s="14"/>
      <c r="O1043" s="14"/>
      <c r="P1043" s="2">
        <v>35</v>
      </c>
      <c r="Q1043" s="2">
        <v>35</v>
      </c>
      <c r="R1043" s="2">
        <v>28.18</v>
      </c>
      <c r="S1043">
        <f t="shared" si="77"/>
        <v>28.18</v>
      </c>
      <c r="T1043" t="s">
        <v>107</v>
      </c>
      <c r="U1043" s="1">
        <f t="shared" si="78"/>
        <v>0.27280000000000004</v>
      </c>
    </row>
    <row r="1044" spans="1:21" hidden="1" x14ac:dyDescent="0.25">
      <c r="A1044" s="2">
        <v>39348</v>
      </c>
      <c r="B1044" s="13" t="s">
        <v>1665</v>
      </c>
      <c r="C1044" s="14" t="s">
        <v>39</v>
      </c>
      <c r="D1044" s="15">
        <v>45321</v>
      </c>
      <c r="E1044" s="2">
        <v>0</v>
      </c>
      <c r="F1044" s="14" t="s">
        <v>1666</v>
      </c>
      <c r="G1044" t="s">
        <v>1667</v>
      </c>
      <c r="H1044" s="14" t="s">
        <v>42</v>
      </c>
      <c r="I1044" s="2">
        <v>1</v>
      </c>
      <c r="J1044" s="2">
        <v>0</v>
      </c>
      <c r="K1044" s="2">
        <v>0</v>
      </c>
      <c r="L1044" s="2"/>
      <c r="M1044" s="2">
        <v>0</v>
      </c>
      <c r="N1044" s="14"/>
      <c r="O1044" s="14"/>
      <c r="P1044" s="2">
        <v>985</v>
      </c>
      <c r="Q1044" s="2">
        <v>985</v>
      </c>
      <c r="R1044" s="2">
        <v>848.82</v>
      </c>
      <c r="S1044">
        <f t="shared" si="77"/>
        <v>848.82</v>
      </c>
      <c r="T1044" t="s">
        <v>56</v>
      </c>
      <c r="U1044" s="1">
        <f t="shared" si="78"/>
        <v>11.575299999999997</v>
      </c>
    </row>
    <row r="1045" spans="1:21" hidden="1" x14ac:dyDescent="0.25">
      <c r="A1045" s="2">
        <v>39351</v>
      </c>
      <c r="B1045" s="13" t="s">
        <v>1668</v>
      </c>
      <c r="C1045" s="14" t="s">
        <v>39</v>
      </c>
      <c r="D1045" s="15">
        <v>45321</v>
      </c>
      <c r="E1045" s="2">
        <v>0</v>
      </c>
      <c r="F1045" s="14" t="s">
        <v>217</v>
      </c>
      <c r="G1045" t="s">
        <v>218</v>
      </c>
      <c r="H1045" s="14" t="s">
        <v>173</v>
      </c>
      <c r="I1045" s="2">
        <v>1</v>
      </c>
      <c r="J1045" s="2">
        <v>0</v>
      </c>
      <c r="K1045" s="2">
        <v>0</v>
      </c>
      <c r="L1045" s="2"/>
      <c r="M1045" s="2">
        <v>0</v>
      </c>
      <c r="N1045" s="14"/>
      <c r="O1045" s="14"/>
      <c r="P1045" s="2">
        <v>83</v>
      </c>
      <c r="Q1045" s="2">
        <v>83</v>
      </c>
      <c r="R1045" s="2">
        <v>67.989999999999995</v>
      </c>
      <c r="S1045">
        <f t="shared" si="77"/>
        <v>67.989999999999995</v>
      </c>
      <c r="T1045" t="s">
        <v>132</v>
      </c>
      <c r="U1045" s="1">
        <f t="shared" si="78"/>
        <v>1.2008000000000005</v>
      </c>
    </row>
    <row r="1046" spans="1:21" x14ac:dyDescent="0.25">
      <c r="A1046" s="2">
        <v>39351</v>
      </c>
      <c r="B1046" s="13" t="s">
        <v>1668</v>
      </c>
      <c r="C1046" s="14" t="s">
        <v>39</v>
      </c>
      <c r="D1046" s="15">
        <v>45321</v>
      </c>
      <c r="E1046" s="2">
        <v>0</v>
      </c>
      <c r="F1046" s="14" t="s">
        <v>219</v>
      </c>
      <c r="G1046" t="s">
        <v>220</v>
      </c>
      <c r="H1046" s="14" t="s">
        <v>93</v>
      </c>
      <c r="I1046" s="2">
        <v>1</v>
      </c>
      <c r="J1046" s="2">
        <v>0</v>
      </c>
      <c r="K1046" s="2">
        <v>0</v>
      </c>
      <c r="L1046" s="2"/>
      <c r="M1046" s="2">
        <v>0</v>
      </c>
      <c r="N1046" s="14"/>
      <c r="O1046" s="14"/>
      <c r="P1046" s="2">
        <v>149</v>
      </c>
      <c r="Q1046" s="2">
        <v>149</v>
      </c>
      <c r="R1046" s="2">
        <v>0</v>
      </c>
      <c r="S1046">
        <f t="shared" si="77"/>
        <v>0</v>
      </c>
      <c r="T1046" t="s">
        <v>132</v>
      </c>
      <c r="U1046">
        <f>_xlfn.XLOOKUP(T1046,$Y$2:$Y$45,$AB$2:$AB$45)*(Q1046)</f>
        <v>5.96</v>
      </c>
    </row>
    <row r="1047" spans="1:21" hidden="1" x14ac:dyDescent="0.25">
      <c r="A1047" s="2">
        <v>39356</v>
      </c>
      <c r="B1047" s="13" t="s">
        <v>1669</v>
      </c>
      <c r="C1047" s="14" t="s">
        <v>39</v>
      </c>
      <c r="D1047" s="15">
        <v>45317</v>
      </c>
      <c r="E1047" s="2">
        <v>0</v>
      </c>
      <c r="F1047" s="14" t="s">
        <v>200</v>
      </c>
      <c r="G1047" t="s">
        <v>1670</v>
      </c>
      <c r="H1047" s="14" t="s">
        <v>42</v>
      </c>
      <c r="I1047" s="2">
        <v>13</v>
      </c>
      <c r="J1047" s="2">
        <v>0</v>
      </c>
      <c r="K1047" s="2">
        <v>0</v>
      </c>
      <c r="L1047" s="2"/>
      <c r="M1047" s="2">
        <v>0</v>
      </c>
      <c r="N1047" s="14"/>
      <c r="O1047" s="14"/>
      <c r="P1047" s="2">
        <v>392</v>
      </c>
      <c r="Q1047" s="2">
        <v>5096</v>
      </c>
      <c r="R1047" s="2">
        <v>321.24</v>
      </c>
      <c r="S1047">
        <f t="shared" si="77"/>
        <v>4176.12</v>
      </c>
      <c r="T1047" t="s">
        <v>107</v>
      </c>
      <c r="U1047" s="1">
        <f>_xlfn.XLOOKUP(T1047,$Y$2:$Y$45,$AA$2:$AA$45)*(Q1047-S1047)</f>
        <v>36.795200000000008</v>
      </c>
    </row>
    <row r="1048" spans="1:21" hidden="1" x14ac:dyDescent="0.25">
      <c r="A1048" s="2">
        <v>39357</v>
      </c>
      <c r="B1048" s="13" t="s">
        <v>1671</v>
      </c>
      <c r="C1048" s="14" t="s">
        <v>39</v>
      </c>
      <c r="D1048" s="15">
        <v>45316</v>
      </c>
      <c r="E1048" s="2">
        <v>0</v>
      </c>
      <c r="F1048" s="14" t="s">
        <v>1672</v>
      </c>
      <c r="G1048" t="s">
        <v>1673</v>
      </c>
      <c r="H1048" s="14" t="s">
        <v>42</v>
      </c>
      <c r="I1048" s="2">
        <v>1</v>
      </c>
      <c r="J1048" s="2">
        <v>0</v>
      </c>
      <c r="K1048" s="2">
        <v>0</v>
      </c>
      <c r="L1048" s="2"/>
      <c r="M1048" s="2">
        <v>0</v>
      </c>
      <c r="N1048" s="14"/>
      <c r="O1048" s="14"/>
      <c r="P1048" s="2">
        <v>644</v>
      </c>
      <c r="Q1048" s="2">
        <v>644</v>
      </c>
      <c r="R1048" s="2">
        <v>570.84</v>
      </c>
      <c r="S1048">
        <f t="shared" si="77"/>
        <v>570.84</v>
      </c>
      <c r="T1048" t="s">
        <v>61</v>
      </c>
      <c r="U1048" s="1">
        <f>_xlfn.XLOOKUP(T1048,$Y$2:$Y$45,$AA$2:$AA$45)*(Q1048-S1048)</f>
        <v>0</v>
      </c>
    </row>
    <row r="1049" spans="1:21" hidden="1" x14ac:dyDescent="0.25">
      <c r="A1049" s="2">
        <v>39361</v>
      </c>
      <c r="B1049" s="13" t="s">
        <v>1674</v>
      </c>
      <c r="C1049" s="14" t="s">
        <v>39</v>
      </c>
      <c r="D1049" s="15">
        <v>45317</v>
      </c>
      <c r="E1049" s="2">
        <v>0</v>
      </c>
      <c r="F1049" s="14" t="s">
        <v>1675</v>
      </c>
      <c r="G1049" t="s">
        <v>1676</v>
      </c>
      <c r="H1049" s="14" t="s">
        <v>42</v>
      </c>
      <c r="I1049" s="2">
        <v>41</v>
      </c>
      <c r="J1049" s="2">
        <v>0</v>
      </c>
      <c r="K1049" s="2">
        <v>0</v>
      </c>
      <c r="L1049" s="2"/>
      <c r="M1049" s="2">
        <v>0</v>
      </c>
      <c r="N1049" s="14"/>
      <c r="O1049" s="14"/>
      <c r="P1049" s="2">
        <v>615</v>
      </c>
      <c r="Q1049" s="2">
        <v>25215</v>
      </c>
      <c r="R1049" s="2">
        <v>430.14</v>
      </c>
      <c r="S1049">
        <f t="shared" si="77"/>
        <v>17635.739999999998</v>
      </c>
      <c r="T1049" t="s">
        <v>51</v>
      </c>
      <c r="U1049" s="1">
        <f>_xlfn.XLOOKUP(T1049,$Y$2:$Y$45,$AA$2:$AA$45)*(Q1049-S1049)</f>
        <v>644.23710000000017</v>
      </c>
    </row>
    <row r="1050" spans="1:21" hidden="1" x14ac:dyDescent="0.25">
      <c r="A1050" s="2">
        <v>39361</v>
      </c>
      <c r="B1050" s="13" t="s">
        <v>1674</v>
      </c>
      <c r="C1050" s="14" t="s">
        <v>39</v>
      </c>
      <c r="D1050" s="15">
        <v>45317</v>
      </c>
      <c r="E1050" s="2">
        <v>0</v>
      </c>
      <c r="F1050" s="14" t="s">
        <v>1675</v>
      </c>
      <c r="G1050" t="s">
        <v>1676</v>
      </c>
      <c r="H1050" s="14" t="s">
        <v>42</v>
      </c>
      <c r="I1050" s="2">
        <v>-41</v>
      </c>
      <c r="J1050" s="2">
        <v>0</v>
      </c>
      <c r="K1050" s="2">
        <v>0</v>
      </c>
      <c r="L1050" s="2"/>
      <c r="M1050" s="2">
        <v>0</v>
      </c>
      <c r="N1050" s="14"/>
      <c r="O1050" s="14"/>
      <c r="P1050" s="2">
        <v>1371.07</v>
      </c>
      <c r="Q1050" s="2">
        <v>-56213.87</v>
      </c>
      <c r="R1050" s="2">
        <v>430.14</v>
      </c>
      <c r="S1050">
        <f t="shared" si="77"/>
        <v>-17635.739999999998</v>
      </c>
      <c r="T1050" t="s">
        <v>51</v>
      </c>
      <c r="U1050" s="1">
        <v>0</v>
      </c>
    </row>
    <row r="1051" spans="1:21" x14ac:dyDescent="0.25">
      <c r="A1051" s="2">
        <v>39361</v>
      </c>
      <c r="B1051" s="13" t="s">
        <v>1674</v>
      </c>
      <c r="C1051" s="14" t="s">
        <v>39</v>
      </c>
      <c r="D1051" s="15">
        <v>45317</v>
      </c>
      <c r="E1051" s="2">
        <v>0</v>
      </c>
      <c r="F1051" s="14" t="s">
        <v>1677</v>
      </c>
      <c r="G1051" t="s">
        <v>1678</v>
      </c>
      <c r="H1051" s="14" t="s">
        <v>93</v>
      </c>
      <c r="I1051" s="2">
        <v>175</v>
      </c>
      <c r="J1051" s="2">
        <v>0</v>
      </c>
      <c r="K1051" s="2">
        <v>0</v>
      </c>
      <c r="L1051" s="2"/>
      <c r="M1051" s="2">
        <v>0</v>
      </c>
      <c r="N1051" s="14"/>
      <c r="O1051" s="14"/>
      <c r="P1051" s="2">
        <v>180</v>
      </c>
      <c r="Q1051" s="2">
        <v>31500</v>
      </c>
      <c r="R1051" s="2">
        <v>0</v>
      </c>
      <c r="S1051">
        <f t="shared" si="77"/>
        <v>0</v>
      </c>
      <c r="T1051" t="s">
        <v>51</v>
      </c>
      <c r="U1051">
        <f>_xlfn.XLOOKUP(T1051,$Y$2:$Y$45,$AB$2:$AB$45)*(Q1051)</f>
        <v>1260</v>
      </c>
    </row>
    <row r="1052" spans="1:21" hidden="1" x14ac:dyDescent="0.25">
      <c r="A1052" s="2">
        <v>39365</v>
      </c>
      <c r="B1052" s="13" t="s">
        <v>1679</v>
      </c>
      <c r="C1052" s="14" t="s">
        <v>39</v>
      </c>
      <c r="D1052" s="15">
        <v>45321</v>
      </c>
      <c r="E1052" s="2">
        <v>0</v>
      </c>
      <c r="F1052" s="14" t="s">
        <v>1567</v>
      </c>
      <c r="G1052" t="s">
        <v>1568</v>
      </c>
      <c r="H1052" s="14" t="s">
        <v>42</v>
      </c>
      <c r="I1052" s="2">
        <v>3</v>
      </c>
      <c r="J1052" s="2">
        <v>0</v>
      </c>
      <c r="K1052" s="2">
        <v>0</v>
      </c>
      <c r="L1052" s="2"/>
      <c r="M1052" s="2">
        <v>0</v>
      </c>
      <c r="N1052" s="14"/>
      <c r="O1052" s="14"/>
      <c r="P1052" s="2">
        <v>911.24</v>
      </c>
      <c r="Q1052" s="2">
        <v>2733.72</v>
      </c>
      <c r="R1052" s="2">
        <v>774.55</v>
      </c>
      <c r="S1052">
        <f t="shared" si="77"/>
        <v>2323.6499999999996</v>
      </c>
      <c r="T1052" t="s">
        <v>140</v>
      </c>
      <c r="U1052" s="1">
        <f>_xlfn.XLOOKUP(T1052,$Y$2:$Y$45,$AA$2:$AA$45)*(Q1052-S1052)</f>
        <v>32.805600000000013</v>
      </c>
    </row>
    <row r="1053" spans="1:21" x14ac:dyDescent="0.25">
      <c r="A1053" s="2">
        <v>39365</v>
      </c>
      <c r="B1053" s="13" t="s">
        <v>1679</v>
      </c>
      <c r="C1053" s="14" t="s">
        <v>39</v>
      </c>
      <c r="D1053" s="15">
        <v>45321</v>
      </c>
      <c r="E1053" s="2">
        <v>0</v>
      </c>
      <c r="F1053" s="14" t="s">
        <v>260</v>
      </c>
      <c r="G1053" t="s">
        <v>279</v>
      </c>
      <c r="H1053" s="14" t="s">
        <v>93</v>
      </c>
      <c r="I1053" s="2">
        <v>3</v>
      </c>
      <c r="J1053" s="2">
        <v>0</v>
      </c>
      <c r="K1053" s="2">
        <v>0</v>
      </c>
      <c r="L1053" s="2"/>
      <c r="M1053" s="2">
        <v>0</v>
      </c>
      <c r="N1053" s="14"/>
      <c r="O1053" s="14"/>
      <c r="P1053" s="2">
        <v>100</v>
      </c>
      <c r="Q1053" s="2">
        <v>300</v>
      </c>
      <c r="R1053" s="2">
        <v>0</v>
      </c>
      <c r="S1053">
        <f t="shared" si="77"/>
        <v>0</v>
      </c>
      <c r="T1053" t="s">
        <v>140</v>
      </c>
      <c r="U1053">
        <f>_xlfn.XLOOKUP(T1053,$Y$2:$Y$45,$AB$2:$AB$45)*(Q1053)</f>
        <v>12</v>
      </c>
    </row>
    <row r="1054" spans="1:21" hidden="1" x14ac:dyDescent="0.25">
      <c r="A1054" s="2">
        <v>39367</v>
      </c>
      <c r="B1054" s="13" t="s">
        <v>1680</v>
      </c>
      <c r="C1054" s="14" t="s">
        <v>39</v>
      </c>
      <c r="D1054" s="15">
        <v>45317</v>
      </c>
      <c r="E1054" s="2">
        <v>0</v>
      </c>
      <c r="F1054" s="14" t="s">
        <v>602</v>
      </c>
      <c r="G1054" t="s">
        <v>603</v>
      </c>
      <c r="H1054" s="14" t="s">
        <v>42</v>
      </c>
      <c r="I1054" s="2">
        <v>2</v>
      </c>
      <c r="J1054" s="2">
        <v>0</v>
      </c>
      <c r="K1054" s="2">
        <v>0</v>
      </c>
      <c r="L1054" s="2"/>
      <c r="M1054" s="2">
        <v>0</v>
      </c>
      <c r="N1054" s="14"/>
      <c r="O1054" s="14"/>
      <c r="P1054" s="2">
        <v>49.58</v>
      </c>
      <c r="Q1054" s="2">
        <v>99.16</v>
      </c>
      <c r="R1054" s="2">
        <v>42.14</v>
      </c>
      <c r="S1054">
        <f t="shared" si="77"/>
        <v>84.28</v>
      </c>
      <c r="T1054" t="s">
        <v>1874</v>
      </c>
      <c r="U1054" s="1">
        <f t="shared" ref="U1054:U1094" si="79">_xlfn.XLOOKUP(T1054,$Y$2:$Y$45,$AA$2:$AA$45)*(Q1054-S1054)</f>
        <v>1.1903999999999997</v>
      </c>
    </row>
    <row r="1055" spans="1:21" hidden="1" x14ac:dyDescent="0.25">
      <c r="A1055" s="2">
        <v>39375</v>
      </c>
      <c r="B1055" s="13" t="s">
        <v>1681</v>
      </c>
      <c r="C1055" s="14" t="s">
        <v>39</v>
      </c>
      <c r="D1055" s="15">
        <v>45317</v>
      </c>
      <c r="E1055" s="2">
        <v>0</v>
      </c>
      <c r="F1055" s="14" t="s">
        <v>1197</v>
      </c>
      <c r="G1055" t="s">
        <v>1198</v>
      </c>
      <c r="H1055" s="14" t="s">
        <v>42</v>
      </c>
      <c r="I1055" s="2">
        <v>1</v>
      </c>
      <c r="J1055" s="2">
        <v>0</v>
      </c>
      <c r="K1055" s="2">
        <v>0</v>
      </c>
      <c r="L1055" s="2"/>
      <c r="M1055" s="2">
        <v>0</v>
      </c>
      <c r="N1055" s="14"/>
      <c r="O1055" s="14"/>
      <c r="P1055" s="2">
        <v>1034</v>
      </c>
      <c r="Q1055" s="2">
        <v>1034</v>
      </c>
      <c r="R1055" s="2">
        <v>775.11</v>
      </c>
      <c r="S1055">
        <f t="shared" si="77"/>
        <v>775.11</v>
      </c>
      <c r="T1055" t="s">
        <v>61</v>
      </c>
      <c r="U1055" s="1">
        <f t="shared" si="79"/>
        <v>0</v>
      </c>
    </row>
    <row r="1056" spans="1:21" hidden="1" x14ac:dyDescent="0.25">
      <c r="A1056" s="2">
        <v>39376</v>
      </c>
      <c r="B1056" s="13" t="s">
        <v>1682</v>
      </c>
      <c r="C1056" s="14" t="s">
        <v>39</v>
      </c>
      <c r="D1056" s="15">
        <v>45321</v>
      </c>
      <c r="E1056" s="2">
        <v>0</v>
      </c>
      <c r="F1056" s="14" t="s">
        <v>1683</v>
      </c>
      <c r="G1056" t="s">
        <v>1684</v>
      </c>
      <c r="H1056" s="14" t="s">
        <v>1685</v>
      </c>
      <c r="I1056" s="2">
        <v>1</v>
      </c>
      <c r="J1056" s="2">
        <v>0</v>
      </c>
      <c r="K1056" s="2">
        <v>0</v>
      </c>
      <c r="L1056" s="2"/>
      <c r="M1056" s="2">
        <v>0</v>
      </c>
      <c r="N1056" s="14"/>
      <c r="O1056" s="14"/>
      <c r="P1056" s="2">
        <v>234.04</v>
      </c>
      <c r="Q1056" s="2">
        <v>234.04</v>
      </c>
      <c r="R1056" s="2">
        <v>187.23</v>
      </c>
      <c r="S1056">
        <f t="shared" si="77"/>
        <v>187.23</v>
      </c>
      <c r="T1056" t="s">
        <v>132</v>
      </c>
      <c r="U1056" s="1">
        <f t="shared" si="79"/>
        <v>3.7448000000000001</v>
      </c>
    </row>
    <row r="1057" spans="1:21" hidden="1" x14ac:dyDescent="0.25">
      <c r="A1057" s="2">
        <v>39376</v>
      </c>
      <c r="B1057" s="13" t="s">
        <v>1682</v>
      </c>
      <c r="C1057" s="14" t="s">
        <v>39</v>
      </c>
      <c r="D1057" s="15">
        <v>45321</v>
      </c>
      <c r="E1057" s="2">
        <v>0</v>
      </c>
      <c r="F1057" s="14" t="s">
        <v>1686</v>
      </c>
      <c r="G1057" t="s">
        <v>1687</v>
      </c>
      <c r="H1057" s="14" t="s">
        <v>42</v>
      </c>
      <c r="I1057" s="2">
        <v>1</v>
      </c>
      <c r="J1057" s="2">
        <v>0</v>
      </c>
      <c r="K1057" s="2">
        <v>0</v>
      </c>
      <c r="L1057" s="2"/>
      <c r="M1057" s="2">
        <v>0</v>
      </c>
      <c r="N1057" s="14"/>
      <c r="O1057" s="14"/>
      <c r="P1057" s="2">
        <v>392</v>
      </c>
      <c r="Q1057" s="2">
        <v>392</v>
      </c>
      <c r="R1057" s="2">
        <v>280.08</v>
      </c>
      <c r="S1057">
        <f t="shared" si="77"/>
        <v>280.08</v>
      </c>
      <c r="T1057" t="s">
        <v>132</v>
      </c>
      <c r="U1057" s="1">
        <f t="shared" si="79"/>
        <v>8.9536000000000016</v>
      </c>
    </row>
    <row r="1058" spans="1:21" hidden="1" x14ac:dyDescent="0.25">
      <c r="A1058" s="2">
        <v>39376</v>
      </c>
      <c r="B1058" s="13" t="s">
        <v>1682</v>
      </c>
      <c r="C1058" s="14" t="s">
        <v>39</v>
      </c>
      <c r="D1058" s="15">
        <v>45321</v>
      </c>
      <c r="E1058" s="2">
        <v>0</v>
      </c>
      <c r="F1058" s="14" t="s">
        <v>1688</v>
      </c>
      <c r="G1058" t="s">
        <v>1689</v>
      </c>
      <c r="H1058" s="14" t="s">
        <v>1685</v>
      </c>
      <c r="I1058" s="2">
        <v>1</v>
      </c>
      <c r="J1058" s="2">
        <v>0</v>
      </c>
      <c r="K1058" s="2">
        <v>0</v>
      </c>
      <c r="L1058" s="2"/>
      <c r="M1058" s="2">
        <v>0</v>
      </c>
      <c r="N1058" s="14"/>
      <c r="O1058" s="14"/>
      <c r="P1058" s="2">
        <v>282.17</v>
      </c>
      <c r="Q1058" s="2">
        <v>282.17</v>
      </c>
      <c r="R1058" s="2">
        <v>225.74</v>
      </c>
      <c r="S1058">
        <f t="shared" si="77"/>
        <v>225.74</v>
      </c>
      <c r="T1058" t="s">
        <v>132</v>
      </c>
      <c r="U1058" s="1">
        <f t="shared" si="79"/>
        <v>4.5144000000000011</v>
      </c>
    </row>
    <row r="1059" spans="1:21" hidden="1" x14ac:dyDescent="0.25">
      <c r="A1059" s="2">
        <v>39376</v>
      </c>
      <c r="B1059" s="13" t="s">
        <v>1682</v>
      </c>
      <c r="C1059" s="14" t="s">
        <v>39</v>
      </c>
      <c r="D1059" s="15">
        <v>45321</v>
      </c>
      <c r="E1059" s="2">
        <v>0</v>
      </c>
      <c r="F1059" s="14" t="s">
        <v>1688</v>
      </c>
      <c r="G1059" t="s">
        <v>1689</v>
      </c>
      <c r="H1059" s="14" t="s">
        <v>1685</v>
      </c>
      <c r="I1059" s="2">
        <v>1</v>
      </c>
      <c r="J1059" s="2">
        <v>0</v>
      </c>
      <c r="K1059" s="2">
        <v>0</v>
      </c>
      <c r="L1059" s="2"/>
      <c r="M1059" s="2">
        <v>0</v>
      </c>
      <c r="N1059" s="14"/>
      <c r="O1059" s="14"/>
      <c r="P1059" s="2">
        <v>282.17</v>
      </c>
      <c r="Q1059" s="2">
        <v>282.17</v>
      </c>
      <c r="R1059" s="2">
        <v>225.74</v>
      </c>
      <c r="S1059">
        <f t="shared" si="77"/>
        <v>225.74</v>
      </c>
      <c r="T1059" t="s">
        <v>132</v>
      </c>
      <c r="U1059" s="1">
        <f t="shared" si="79"/>
        <v>4.5144000000000011</v>
      </c>
    </row>
    <row r="1060" spans="1:21" hidden="1" x14ac:dyDescent="0.25">
      <c r="A1060" s="2">
        <v>39376</v>
      </c>
      <c r="B1060" s="13" t="s">
        <v>1682</v>
      </c>
      <c r="C1060" s="14" t="s">
        <v>39</v>
      </c>
      <c r="D1060" s="15">
        <v>45321</v>
      </c>
      <c r="E1060" s="2">
        <v>0</v>
      </c>
      <c r="F1060" s="14" t="s">
        <v>1683</v>
      </c>
      <c r="G1060" t="s">
        <v>1684</v>
      </c>
      <c r="H1060" s="14" t="s">
        <v>1685</v>
      </c>
      <c r="I1060" s="2">
        <v>1</v>
      </c>
      <c r="J1060" s="2">
        <v>0</v>
      </c>
      <c r="K1060" s="2">
        <v>0</v>
      </c>
      <c r="L1060" s="2"/>
      <c r="M1060" s="2">
        <v>0</v>
      </c>
      <c r="N1060" s="14"/>
      <c r="O1060" s="14"/>
      <c r="P1060" s="2">
        <v>234.04</v>
      </c>
      <c r="Q1060" s="2">
        <v>234.04</v>
      </c>
      <c r="R1060" s="2">
        <v>187.23</v>
      </c>
      <c r="S1060">
        <f t="shared" si="77"/>
        <v>187.23</v>
      </c>
      <c r="T1060" t="s">
        <v>132</v>
      </c>
      <c r="U1060" s="1">
        <f t="shared" si="79"/>
        <v>3.7448000000000001</v>
      </c>
    </row>
    <row r="1061" spans="1:21" hidden="1" x14ac:dyDescent="0.25">
      <c r="A1061" s="2">
        <v>39377</v>
      </c>
      <c r="B1061" s="13" t="s">
        <v>1690</v>
      </c>
      <c r="C1061" s="14" t="s">
        <v>39</v>
      </c>
      <c r="D1061" s="15">
        <v>45317</v>
      </c>
      <c r="E1061" s="2">
        <v>0</v>
      </c>
      <c r="F1061" s="14" t="s">
        <v>1170</v>
      </c>
      <c r="G1061" t="s">
        <v>1171</v>
      </c>
      <c r="H1061" s="14" t="s">
        <v>42</v>
      </c>
      <c r="I1061" s="2">
        <v>1</v>
      </c>
      <c r="J1061" s="2">
        <v>0</v>
      </c>
      <c r="K1061" s="2">
        <v>0</v>
      </c>
      <c r="L1061" s="2"/>
      <c r="M1061" s="2">
        <v>0</v>
      </c>
      <c r="N1061" s="14"/>
      <c r="O1061" s="14"/>
      <c r="P1061" s="2">
        <v>1779</v>
      </c>
      <c r="Q1061" s="2">
        <v>1779</v>
      </c>
      <c r="R1061" s="2">
        <v>1390.86</v>
      </c>
      <c r="S1061">
        <f t="shared" si="77"/>
        <v>1390.86</v>
      </c>
      <c r="T1061" t="s">
        <v>61</v>
      </c>
      <c r="U1061" s="1">
        <f t="shared" si="79"/>
        <v>0</v>
      </c>
    </row>
    <row r="1062" spans="1:21" hidden="1" x14ac:dyDescent="0.25">
      <c r="A1062" s="2">
        <v>39377</v>
      </c>
      <c r="B1062" s="13" t="s">
        <v>1690</v>
      </c>
      <c r="C1062" s="14" t="s">
        <v>39</v>
      </c>
      <c r="D1062" s="15">
        <v>45317</v>
      </c>
      <c r="E1062" s="2">
        <v>0</v>
      </c>
      <c r="F1062" s="14" t="s">
        <v>1172</v>
      </c>
      <c r="G1062" t="s">
        <v>1173</v>
      </c>
      <c r="H1062" s="14" t="s">
        <v>42</v>
      </c>
      <c r="I1062" s="2">
        <v>1</v>
      </c>
      <c r="J1062" s="2">
        <v>0</v>
      </c>
      <c r="K1062" s="2">
        <v>0</v>
      </c>
      <c r="L1062" s="2"/>
      <c r="M1062" s="2">
        <v>0</v>
      </c>
      <c r="N1062" s="14"/>
      <c r="O1062" s="14"/>
      <c r="P1062" s="2">
        <v>239</v>
      </c>
      <c r="Q1062" s="2">
        <v>239</v>
      </c>
      <c r="R1062" s="2">
        <v>203.99</v>
      </c>
      <c r="S1062">
        <f t="shared" si="77"/>
        <v>203.99</v>
      </c>
      <c r="T1062" t="s">
        <v>61</v>
      </c>
      <c r="U1062" s="1">
        <f t="shared" si="79"/>
        <v>0</v>
      </c>
    </row>
    <row r="1063" spans="1:21" hidden="1" x14ac:dyDescent="0.25">
      <c r="A1063" s="2">
        <v>39377</v>
      </c>
      <c r="B1063" s="13" t="s">
        <v>1690</v>
      </c>
      <c r="C1063" s="14" t="s">
        <v>39</v>
      </c>
      <c r="D1063" s="15">
        <v>45317</v>
      </c>
      <c r="E1063" s="2">
        <v>0</v>
      </c>
      <c r="F1063" s="14" t="s">
        <v>1071</v>
      </c>
      <c r="G1063" t="s">
        <v>1072</v>
      </c>
      <c r="H1063" s="14" t="s">
        <v>42</v>
      </c>
      <c r="I1063" s="2">
        <v>1</v>
      </c>
      <c r="J1063" s="2">
        <v>0</v>
      </c>
      <c r="K1063" s="2">
        <v>0</v>
      </c>
      <c r="L1063" s="2"/>
      <c r="M1063" s="2">
        <v>0</v>
      </c>
      <c r="N1063" s="14"/>
      <c r="O1063" s="14"/>
      <c r="P1063" s="2">
        <v>40</v>
      </c>
      <c r="Q1063" s="2">
        <v>40</v>
      </c>
      <c r="R1063" s="2">
        <v>31.89</v>
      </c>
      <c r="S1063">
        <f t="shared" si="77"/>
        <v>31.89</v>
      </c>
      <c r="T1063" t="s">
        <v>61</v>
      </c>
      <c r="U1063" s="1">
        <f t="shared" si="79"/>
        <v>0</v>
      </c>
    </row>
    <row r="1064" spans="1:21" hidden="1" x14ac:dyDescent="0.25">
      <c r="A1064" s="2">
        <v>39377</v>
      </c>
      <c r="B1064" s="13" t="s">
        <v>1690</v>
      </c>
      <c r="C1064" s="14" t="s">
        <v>39</v>
      </c>
      <c r="D1064" s="15">
        <v>45317</v>
      </c>
      <c r="E1064" s="2">
        <v>0</v>
      </c>
      <c r="F1064" s="14" t="s">
        <v>1175</v>
      </c>
      <c r="G1064" t="s">
        <v>1176</v>
      </c>
      <c r="H1064" s="14" t="s">
        <v>42</v>
      </c>
      <c r="I1064" s="2">
        <v>1</v>
      </c>
      <c r="J1064" s="2">
        <v>0</v>
      </c>
      <c r="K1064" s="2">
        <v>0</v>
      </c>
      <c r="L1064" s="2"/>
      <c r="M1064" s="2">
        <v>0</v>
      </c>
      <c r="N1064" s="14"/>
      <c r="O1064" s="14"/>
      <c r="P1064" s="2">
        <v>49</v>
      </c>
      <c r="Q1064" s="2">
        <v>49</v>
      </c>
      <c r="R1064" s="2">
        <v>33.770000000000003</v>
      </c>
      <c r="S1064">
        <f t="shared" si="77"/>
        <v>33.770000000000003</v>
      </c>
      <c r="T1064" t="s">
        <v>61</v>
      </c>
      <c r="U1064" s="1">
        <f t="shared" si="79"/>
        <v>0</v>
      </c>
    </row>
    <row r="1065" spans="1:21" hidden="1" x14ac:dyDescent="0.25">
      <c r="A1065" s="2">
        <v>39377</v>
      </c>
      <c r="B1065" s="13" t="s">
        <v>1690</v>
      </c>
      <c r="C1065" s="14" t="s">
        <v>39</v>
      </c>
      <c r="D1065" s="15">
        <v>45317</v>
      </c>
      <c r="E1065" s="2">
        <v>0</v>
      </c>
      <c r="F1065" s="14" t="s">
        <v>1075</v>
      </c>
      <c r="G1065" t="s">
        <v>1076</v>
      </c>
      <c r="H1065" s="14" t="s">
        <v>42</v>
      </c>
      <c r="I1065" s="2">
        <v>1</v>
      </c>
      <c r="J1065" s="2">
        <v>0</v>
      </c>
      <c r="K1065" s="2">
        <v>0</v>
      </c>
      <c r="L1065" s="2"/>
      <c r="M1065" s="2">
        <v>0</v>
      </c>
      <c r="N1065" s="14"/>
      <c r="O1065" s="14"/>
      <c r="P1065" s="2">
        <v>17</v>
      </c>
      <c r="Q1065" s="2">
        <v>17</v>
      </c>
      <c r="R1065" s="2">
        <v>10.24</v>
      </c>
      <c r="S1065">
        <f t="shared" si="77"/>
        <v>10.24</v>
      </c>
      <c r="T1065" t="s">
        <v>61</v>
      </c>
      <c r="U1065" s="1">
        <f t="shared" si="79"/>
        <v>0</v>
      </c>
    </row>
    <row r="1066" spans="1:21" hidden="1" x14ac:dyDescent="0.25">
      <c r="A1066" s="2">
        <v>39377</v>
      </c>
      <c r="B1066" s="13" t="s">
        <v>1690</v>
      </c>
      <c r="C1066" s="14" t="s">
        <v>39</v>
      </c>
      <c r="D1066" s="15">
        <v>45317</v>
      </c>
      <c r="E1066" s="2">
        <v>0</v>
      </c>
      <c r="F1066" s="14" t="s">
        <v>1177</v>
      </c>
      <c r="G1066" t="s">
        <v>1178</v>
      </c>
      <c r="H1066" s="14" t="s">
        <v>42</v>
      </c>
      <c r="I1066" s="2">
        <v>2</v>
      </c>
      <c r="J1066" s="2">
        <v>0</v>
      </c>
      <c r="K1066" s="2">
        <v>0</v>
      </c>
      <c r="L1066" s="2"/>
      <c r="M1066" s="2">
        <v>0</v>
      </c>
      <c r="N1066" s="14"/>
      <c r="O1066" s="14"/>
      <c r="P1066" s="2">
        <v>189</v>
      </c>
      <c r="Q1066" s="2">
        <v>378</v>
      </c>
      <c r="R1066" s="2">
        <v>107.74</v>
      </c>
      <c r="S1066">
        <f t="shared" si="77"/>
        <v>215.48</v>
      </c>
      <c r="T1066" t="s">
        <v>61</v>
      </c>
      <c r="U1066" s="1">
        <f t="shared" si="79"/>
        <v>0</v>
      </c>
    </row>
    <row r="1067" spans="1:21" hidden="1" x14ac:dyDescent="0.25">
      <c r="A1067" s="2">
        <v>39378</v>
      </c>
      <c r="B1067" s="13" t="s">
        <v>1691</v>
      </c>
      <c r="C1067" s="14" t="s">
        <v>39</v>
      </c>
      <c r="D1067" s="15">
        <v>45317</v>
      </c>
      <c r="E1067" s="2">
        <v>0</v>
      </c>
      <c r="F1067" s="14" t="s">
        <v>1212</v>
      </c>
      <c r="G1067" t="s">
        <v>1213</v>
      </c>
      <c r="H1067" s="14" t="s">
        <v>42</v>
      </c>
      <c r="I1067" s="2">
        <v>1</v>
      </c>
      <c r="J1067" s="2">
        <v>0</v>
      </c>
      <c r="K1067" s="2">
        <v>0</v>
      </c>
      <c r="L1067" s="2"/>
      <c r="M1067" s="2">
        <v>0</v>
      </c>
      <c r="N1067" s="14"/>
      <c r="O1067" s="14"/>
      <c r="P1067" s="2">
        <v>439</v>
      </c>
      <c r="Q1067" s="2">
        <v>439</v>
      </c>
      <c r="R1067" s="2">
        <v>325.86</v>
      </c>
      <c r="S1067">
        <f t="shared" si="77"/>
        <v>325.86</v>
      </c>
      <c r="T1067" t="s">
        <v>61</v>
      </c>
      <c r="U1067" s="1">
        <f t="shared" si="79"/>
        <v>0</v>
      </c>
    </row>
    <row r="1068" spans="1:21" hidden="1" x14ac:dyDescent="0.25">
      <c r="A1068" s="2">
        <v>39380</v>
      </c>
      <c r="B1068" s="13" t="s">
        <v>1692</v>
      </c>
      <c r="C1068" s="14" t="s">
        <v>39</v>
      </c>
      <c r="D1068" s="15">
        <v>45317</v>
      </c>
      <c r="E1068" s="2">
        <v>0</v>
      </c>
      <c r="F1068" s="14" t="s">
        <v>1170</v>
      </c>
      <c r="G1068" t="s">
        <v>1171</v>
      </c>
      <c r="H1068" s="14" t="s">
        <v>42</v>
      </c>
      <c r="I1068" s="2">
        <v>1</v>
      </c>
      <c r="J1068" s="2">
        <v>0</v>
      </c>
      <c r="K1068" s="2">
        <v>0</v>
      </c>
      <c r="L1068" s="2"/>
      <c r="M1068" s="2">
        <v>0</v>
      </c>
      <c r="N1068" s="14"/>
      <c r="O1068" s="14"/>
      <c r="P1068" s="2">
        <v>1779</v>
      </c>
      <c r="Q1068" s="2">
        <v>1779</v>
      </c>
      <c r="R1068" s="2">
        <v>1390.86</v>
      </c>
      <c r="S1068">
        <f t="shared" si="77"/>
        <v>1390.86</v>
      </c>
      <c r="T1068" t="s">
        <v>61</v>
      </c>
      <c r="U1068" s="1">
        <f t="shared" si="79"/>
        <v>0</v>
      </c>
    </row>
    <row r="1069" spans="1:21" hidden="1" x14ac:dyDescent="0.25">
      <c r="A1069" s="2">
        <v>39380</v>
      </c>
      <c r="B1069" s="13" t="s">
        <v>1692</v>
      </c>
      <c r="C1069" s="14" t="s">
        <v>39</v>
      </c>
      <c r="D1069" s="15">
        <v>45317</v>
      </c>
      <c r="E1069" s="2">
        <v>0</v>
      </c>
      <c r="F1069" s="14" t="s">
        <v>1172</v>
      </c>
      <c r="G1069" t="s">
        <v>1173</v>
      </c>
      <c r="H1069" s="14" t="s">
        <v>42</v>
      </c>
      <c r="I1069" s="2">
        <v>1</v>
      </c>
      <c r="J1069" s="2">
        <v>0</v>
      </c>
      <c r="K1069" s="2">
        <v>0</v>
      </c>
      <c r="L1069" s="2"/>
      <c r="M1069" s="2">
        <v>0</v>
      </c>
      <c r="N1069" s="14"/>
      <c r="O1069" s="14"/>
      <c r="P1069" s="2">
        <v>239</v>
      </c>
      <c r="Q1069" s="2">
        <v>239</v>
      </c>
      <c r="R1069" s="2">
        <v>203.99</v>
      </c>
      <c r="S1069">
        <f t="shared" si="77"/>
        <v>203.99</v>
      </c>
      <c r="T1069" t="s">
        <v>61</v>
      </c>
      <c r="U1069" s="1">
        <f t="shared" si="79"/>
        <v>0</v>
      </c>
    </row>
    <row r="1070" spans="1:21" hidden="1" x14ac:dyDescent="0.25">
      <c r="A1070" s="2">
        <v>39380</v>
      </c>
      <c r="B1070" s="13" t="s">
        <v>1692</v>
      </c>
      <c r="C1070" s="14" t="s">
        <v>39</v>
      </c>
      <c r="D1070" s="15">
        <v>45317</v>
      </c>
      <c r="E1070" s="2">
        <v>0</v>
      </c>
      <c r="F1070" s="14" t="s">
        <v>1071</v>
      </c>
      <c r="G1070" t="s">
        <v>1072</v>
      </c>
      <c r="H1070" s="14" t="s">
        <v>42</v>
      </c>
      <c r="I1070" s="2">
        <v>1</v>
      </c>
      <c r="J1070" s="2">
        <v>0</v>
      </c>
      <c r="K1070" s="2">
        <v>0</v>
      </c>
      <c r="L1070" s="2"/>
      <c r="M1070" s="2">
        <v>0</v>
      </c>
      <c r="N1070" s="14"/>
      <c r="O1070" s="14"/>
      <c r="P1070" s="2">
        <v>40</v>
      </c>
      <c r="Q1070" s="2">
        <v>40</v>
      </c>
      <c r="R1070" s="2">
        <v>31.89</v>
      </c>
      <c r="S1070">
        <f t="shared" si="77"/>
        <v>31.89</v>
      </c>
      <c r="T1070" t="s">
        <v>61</v>
      </c>
      <c r="U1070" s="1">
        <f t="shared" si="79"/>
        <v>0</v>
      </c>
    </row>
    <row r="1071" spans="1:21" hidden="1" x14ac:dyDescent="0.25">
      <c r="A1071" s="2">
        <v>39380</v>
      </c>
      <c r="B1071" s="13" t="s">
        <v>1692</v>
      </c>
      <c r="C1071" s="14" t="s">
        <v>39</v>
      </c>
      <c r="D1071" s="15">
        <v>45317</v>
      </c>
      <c r="E1071" s="2">
        <v>0</v>
      </c>
      <c r="F1071" s="14" t="s">
        <v>1175</v>
      </c>
      <c r="G1071" t="s">
        <v>1176</v>
      </c>
      <c r="H1071" s="14" t="s">
        <v>42</v>
      </c>
      <c r="I1071" s="2">
        <v>1</v>
      </c>
      <c r="J1071" s="2">
        <v>0</v>
      </c>
      <c r="K1071" s="2">
        <v>0</v>
      </c>
      <c r="L1071" s="2"/>
      <c r="M1071" s="2">
        <v>0</v>
      </c>
      <c r="N1071" s="14"/>
      <c r="O1071" s="14"/>
      <c r="P1071" s="2">
        <v>49</v>
      </c>
      <c r="Q1071" s="2">
        <v>49</v>
      </c>
      <c r="R1071" s="2">
        <v>33.770000000000003</v>
      </c>
      <c r="S1071">
        <f t="shared" si="77"/>
        <v>33.770000000000003</v>
      </c>
      <c r="T1071" t="s">
        <v>61</v>
      </c>
      <c r="U1071" s="1">
        <f t="shared" si="79"/>
        <v>0</v>
      </c>
    </row>
    <row r="1072" spans="1:21" hidden="1" x14ac:dyDescent="0.25">
      <c r="A1072" s="2">
        <v>39380</v>
      </c>
      <c r="B1072" s="13" t="s">
        <v>1692</v>
      </c>
      <c r="C1072" s="14" t="s">
        <v>39</v>
      </c>
      <c r="D1072" s="15">
        <v>45317</v>
      </c>
      <c r="E1072" s="2">
        <v>0</v>
      </c>
      <c r="F1072" s="14" t="s">
        <v>1075</v>
      </c>
      <c r="G1072" t="s">
        <v>1076</v>
      </c>
      <c r="H1072" s="14" t="s">
        <v>42</v>
      </c>
      <c r="I1072" s="2">
        <v>1</v>
      </c>
      <c r="J1072" s="2">
        <v>0</v>
      </c>
      <c r="K1072" s="2">
        <v>0</v>
      </c>
      <c r="L1072" s="2"/>
      <c r="M1072" s="2">
        <v>0</v>
      </c>
      <c r="N1072" s="14"/>
      <c r="O1072" s="14"/>
      <c r="P1072" s="2">
        <v>17</v>
      </c>
      <c r="Q1072" s="2">
        <v>17</v>
      </c>
      <c r="R1072" s="2">
        <v>10.24</v>
      </c>
      <c r="S1072">
        <f t="shared" si="77"/>
        <v>10.24</v>
      </c>
      <c r="T1072" t="s">
        <v>61</v>
      </c>
      <c r="U1072" s="1">
        <f t="shared" si="79"/>
        <v>0</v>
      </c>
    </row>
    <row r="1073" spans="1:21" hidden="1" x14ac:dyDescent="0.25">
      <c r="A1073" s="2">
        <v>39382</v>
      </c>
      <c r="B1073" s="13" t="s">
        <v>1693</v>
      </c>
      <c r="C1073" s="14" t="s">
        <v>39</v>
      </c>
      <c r="D1073" s="15">
        <v>45317</v>
      </c>
      <c r="E1073" s="2">
        <v>0</v>
      </c>
      <c r="F1073" s="14" t="s">
        <v>1170</v>
      </c>
      <c r="G1073" t="s">
        <v>1171</v>
      </c>
      <c r="H1073" s="14" t="s">
        <v>42</v>
      </c>
      <c r="I1073" s="2">
        <v>1</v>
      </c>
      <c r="J1073" s="2">
        <v>0</v>
      </c>
      <c r="K1073" s="2">
        <v>0</v>
      </c>
      <c r="L1073" s="2"/>
      <c r="M1073" s="2">
        <v>0</v>
      </c>
      <c r="N1073" s="14"/>
      <c r="O1073" s="14"/>
      <c r="P1073" s="2">
        <v>1779</v>
      </c>
      <c r="Q1073" s="2">
        <v>1779</v>
      </c>
      <c r="R1073" s="2">
        <v>1390.86</v>
      </c>
      <c r="S1073">
        <f t="shared" si="77"/>
        <v>1390.86</v>
      </c>
      <c r="T1073" t="s">
        <v>61</v>
      </c>
      <c r="U1073" s="1">
        <f t="shared" si="79"/>
        <v>0</v>
      </c>
    </row>
    <row r="1074" spans="1:21" hidden="1" x14ac:dyDescent="0.25">
      <c r="A1074" s="2">
        <v>39382</v>
      </c>
      <c r="B1074" s="13" t="s">
        <v>1693</v>
      </c>
      <c r="C1074" s="14" t="s">
        <v>39</v>
      </c>
      <c r="D1074" s="15">
        <v>45317</v>
      </c>
      <c r="E1074" s="2">
        <v>0</v>
      </c>
      <c r="F1074" s="14" t="s">
        <v>1172</v>
      </c>
      <c r="G1074" t="s">
        <v>1173</v>
      </c>
      <c r="H1074" s="14" t="s">
        <v>42</v>
      </c>
      <c r="I1074" s="2">
        <v>1</v>
      </c>
      <c r="J1074" s="2">
        <v>0</v>
      </c>
      <c r="K1074" s="2">
        <v>0</v>
      </c>
      <c r="L1074" s="2"/>
      <c r="M1074" s="2">
        <v>0</v>
      </c>
      <c r="N1074" s="14"/>
      <c r="O1074" s="14"/>
      <c r="P1074" s="2">
        <v>239</v>
      </c>
      <c r="Q1074" s="2">
        <v>239</v>
      </c>
      <c r="R1074" s="2">
        <v>203.99</v>
      </c>
      <c r="S1074">
        <f t="shared" si="77"/>
        <v>203.99</v>
      </c>
      <c r="T1074" t="s">
        <v>61</v>
      </c>
      <c r="U1074" s="1">
        <f t="shared" si="79"/>
        <v>0</v>
      </c>
    </row>
    <row r="1075" spans="1:21" hidden="1" x14ac:dyDescent="0.25">
      <c r="A1075" s="2">
        <v>39382</v>
      </c>
      <c r="B1075" s="13" t="s">
        <v>1693</v>
      </c>
      <c r="C1075" s="14" t="s">
        <v>39</v>
      </c>
      <c r="D1075" s="15">
        <v>45317</v>
      </c>
      <c r="E1075" s="2">
        <v>0</v>
      </c>
      <c r="F1075" s="14" t="s">
        <v>1071</v>
      </c>
      <c r="G1075" t="s">
        <v>1072</v>
      </c>
      <c r="H1075" s="14" t="s">
        <v>42</v>
      </c>
      <c r="I1075" s="2">
        <v>1</v>
      </c>
      <c r="J1075" s="2">
        <v>0</v>
      </c>
      <c r="K1075" s="2">
        <v>0</v>
      </c>
      <c r="L1075" s="2"/>
      <c r="M1075" s="2">
        <v>0</v>
      </c>
      <c r="N1075" s="14"/>
      <c r="O1075" s="14"/>
      <c r="P1075" s="2">
        <v>40</v>
      </c>
      <c r="Q1075" s="2">
        <v>40</v>
      </c>
      <c r="R1075" s="2">
        <v>31.89</v>
      </c>
      <c r="S1075">
        <f t="shared" si="77"/>
        <v>31.89</v>
      </c>
      <c r="T1075" t="s">
        <v>61</v>
      </c>
      <c r="U1075" s="1">
        <f t="shared" si="79"/>
        <v>0</v>
      </c>
    </row>
    <row r="1076" spans="1:21" hidden="1" x14ac:dyDescent="0.25">
      <c r="A1076" s="2">
        <v>39382</v>
      </c>
      <c r="B1076" s="13" t="s">
        <v>1693</v>
      </c>
      <c r="C1076" s="14" t="s">
        <v>39</v>
      </c>
      <c r="D1076" s="15">
        <v>45317</v>
      </c>
      <c r="E1076" s="2">
        <v>0</v>
      </c>
      <c r="F1076" s="14" t="s">
        <v>1175</v>
      </c>
      <c r="G1076" t="s">
        <v>1176</v>
      </c>
      <c r="H1076" s="14" t="s">
        <v>42</v>
      </c>
      <c r="I1076" s="2">
        <v>1</v>
      </c>
      <c r="J1076" s="2">
        <v>0</v>
      </c>
      <c r="K1076" s="2">
        <v>0</v>
      </c>
      <c r="L1076" s="2"/>
      <c r="M1076" s="2">
        <v>0</v>
      </c>
      <c r="N1076" s="14"/>
      <c r="O1076" s="14"/>
      <c r="P1076" s="2">
        <v>49</v>
      </c>
      <c r="Q1076" s="2">
        <v>49</v>
      </c>
      <c r="R1076" s="2">
        <v>33.770000000000003</v>
      </c>
      <c r="S1076">
        <f t="shared" si="77"/>
        <v>33.770000000000003</v>
      </c>
      <c r="T1076" t="s">
        <v>61</v>
      </c>
      <c r="U1076" s="1">
        <f t="shared" si="79"/>
        <v>0</v>
      </c>
    </row>
    <row r="1077" spans="1:21" hidden="1" x14ac:dyDescent="0.25">
      <c r="A1077" s="2">
        <v>39382</v>
      </c>
      <c r="B1077" s="13" t="s">
        <v>1693</v>
      </c>
      <c r="C1077" s="14" t="s">
        <v>39</v>
      </c>
      <c r="D1077" s="15">
        <v>45317</v>
      </c>
      <c r="E1077" s="2">
        <v>0</v>
      </c>
      <c r="F1077" s="14" t="s">
        <v>1075</v>
      </c>
      <c r="G1077" t="s">
        <v>1076</v>
      </c>
      <c r="H1077" s="14" t="s">
        <v>42</v>
      </c>
      <c r="I1077" s="2">
        <v>1</v>
      </c>
      <c r="J1077" s="2">
        <v>0</v>
      </c>
      <c r="K1077" s="2">
        <v>0</v>
      </c>
      <c r="L1077" s="2"/>
      <c r="M1077" s="2">
        <v>0</v>
      </c>
      <c r="N1077" s="14"/>
      <c r="O1077" s="14"/>
      <c r="P1077" s="2">
        <v>17</v>
      </c>
      <c r="Q1077" s="2">
        <v>17</v>
      </c>
      <c r="R1077" s="2">
        <v>10.24</v>
      </c>
      <c r="S1077">
        <f t="shared" si="77"/>
        <v>10.24</v>
      </c>
      <c r="T1077" t="s">
        <v>61</v>
      </c>
      <c r="U1077" s="1">
        <f t="shared" si="79"/>
        <v>0</v>
      </c>
    </row>
    <row r="1078" spans="1:21" hidden="1" x14ac:dyDescent="0.25">
      <c r="A1078" s="2">
        <v>39383</v>
      </c>
      <c r="B1078" s="13" t="s">
        <v>1694</v>
      </c>
      <c r="C1078" s="14" t="s">
        <v>39</v>
      </c>
      <c r="D1078" s="15">
        <v>45317</v>
      </c>
      <c r="E1078" s="2">
        <v>0</v>
      </c>
      <c r="F1078" s="14" t="s">
        <v>1695</v>
      </c>
      <c r="G1078" t="s">
        <v>1696</v>
      </c>
      <c r="H1078" s="14" t="s">
        <v>42</v>
      </c>
      <c r="I1078" s="2">
        <v>3</v>
      </c>
      <c r="J1078" s="2">
        <v>0</v>
      </c>
      <c r="K1078" s="2">
        <v>0</v>
      </c>
      <c r="L1078" s="2"/>
      <c r="M1078" s="2">
        <v>0</v>
      </c>
      <c r="N1078" s="14"/>
      <c r="O1078" s="14"/>
      <c r="P1078" s="2">
        <v>65</v>
      </c>
      <c r="Q1078" s="2">
        <v>195</v>
      </c>
      <c r="R1078" s="2">
        <v>32.99</v>
      </c>
      <c r="S1078">
        <f t="shared" si="77"/>
        <v>98.97</v>
      </c>
      <c r="T1078" t="s">
        <v>61</v>
      </c>
      <c r="U1078" s="1">
        <f t="shared" si="79"/>
        <v>0</v>
      </c>
    </row>
    <row r="1079" spans="1:21" hidden="1" x14ac:dyDescent="0.25">
      <c r="A1079" s="2">
        <v>39383</v>
      </c>
      <c r="B1079" s="13" t="s">
        <v>1694</v>
      </c>
      <c r="C1079" s="14" t="s">
        <v>39</v>
      </c>
      <c r="D1079" s="15">
        <v>45317</v>
      </c>
      <c r="E1079" s="2">
        <v>0</v>
      </c>
      <c r="F1079" s="14" t="s">
        <v>1697</v>
      </c>
      <c r="G1079" t="s">
        <v>1698</v>
      </c>
      <c r="H1079" s="14" t="s">
        <v>42</v>
      </c>
      <c r="I1079" s="2">
        <v>3</v>
      </c>
      <c r="J1079" s="2">
        <v>0</v>
      </c>
      <c r="K1079" s="2">
        <v>0</v>
      </c>
      <c r="L1079" s="2"/>
      <c r="M1079" s="2">
        <v>0</v>
      </c>
      <c r="N1079" s="14"/>
      <c r="O1079" s="14"/>
      <c r="P1079" s="2">
        <v>250</v>
      </c>
      <c r="Q1079" s="2">
        <v>750</v>
      </c>
      <c r="R1079" s="2">
        <v>189.95</v>
      </c>
      <c r="S1079">
        <f t="shared" si="77"/>
        <v>569.84999999999991</v>
      </c>
      <c r="T1079" t="s">
        <v>61</v>
      </c>
      <c r="U1079" s="1">
        <f t="shared" si="79"/>
        <v>0</v>
      </c>
    </row>
    <row r="1080" spans="1:21" hidden="1" x14ac:dyDescent="0.25">
      <c r="A1080" s="2">
        <v>39386</v>
      </c>
      <c r="B1080" s="13" t="s">
        <v>1699</v>
      </c>
      <c r="C1080" s="14" t="s">
        <v>39</v>
      </c>
      <c r="D1080" s="15">
        <v>45317</v>
      </c>
      <c r="E1080" s="2">
        <v>0</v>
      </c>
      <c r="F1080" s="14" t="s">
        <v>1172</v>
      </c>
      <c r="G1080" t="s">
        <v>1173</v>
      </c>
      <c r="H1080" s="14" t="s">
        <v>42</v>
      </c>
      <c r="I1080" s="2">
        <v>1</v>
      </c>
      <c r="J1080" s="2">
        <v>0</v>
      </c>
      <c r="K1080" s="2">
        <v>0</v>
      </c>
      <c r="L1080" s="2"/>
      <c r="M1080" s="2">
        <v>0</v>
      </c>
      <c r="N1080" s="14"/>
      <c r="O1080" s="14"/>
      <c r="P1080" s="2">
        <v>239</v>
      </c>
      <c r="Q1080" s="2">
        <v>239</v>
      </c>
      <c r="R1080" s="2">
        <v>203.99</v>
      </c>
      <c r="S1080">
        <f t="shared" si="77"/>
        <v>203.99</v>
      </c>
      <c r="T1080" t="s">
        <v>61</v>
      </c>
      <c r="U1080" s="1">
        <f t="shared" si="79"/>
        <v>0</v>
      </c>
    </row>
    <row r="1081" spans="1:21" hidden="1" x14ac:dyDescent="0.25">
      <c r="A1081" s="2">
        <v>39386</v>
      </c>
      <c r="B1081" s="13" t="s">
        <v>1699</v>
      </c>
      <c r="C1081" s="14" t="s">
        <v>39</v>
      </c>
      <c r="D1081" s="15">
        <v>45317</v>
      </c>
      <c r="E1081" s="2">
        <v>0</v>
      </c>
      <c r="F1081" s="14" t="s">
        <v>1071</v>
      </c>
      <c r="G1081" t="s">
        <v>1072</v>
      </c>
      <c r="H1081" s="14" t="s">
        <v>42</v>
      </c>
      <c r="I1081" s="2">
        <v>1</v>
      </c>
      <c r="J1081" s="2">
        <v>0</v>
      </c>
      <c r="K1081" s="2">
        <v>0</v>
      </c>
      <c r="L1081" s="2"/>
      <c r="M1081" s="2">
        <v>0</v>
      </c>
      <c r="N1081" s="14"/>
      <c r="O1081" s="14"/>
      <c r="P1081" s="2">
        <v>40</v>
      </c>
      <c r="Q1081" s="2">
        <v>40</v>
      </c>
      <c r="R1081" s="2">
        <v>31.89</v>
      </c>
      <c r="S1081">
        <f t="shared" si="77"/>
        <v>31.89</v>
      </c>
      <c r="T1081" t="s">
        <v>61</v>
      </c>
      <c r="U1081" s="1">
        <f t="shared" si="79"/>
        <v>0</v>
      </c>
    </row>
    <row r="1082" spans="1:21" hidden="1" x14ac:dyDescent="0.25">
      <c r="A1082" s="2">
        <v>39386</v>
      </c>
      <c r="B1082" s="13" t="s">
        <v>1699</v>
      </c>
      <c r="C1082" s="14" t="s">
        <v>39</v>
      </c>
      <c r="D1082" s="15">
        <v>45317</v>
      </c>
      <c r="E1082" s="2">
        <v>0</v>
      </c>
      <c r="F1082" s="14" t="s">
        <v>1075</v>
      </c>
      <c r="G1082" t="s">
        <v>1076</v>
      </c>
      <c r="H1082" s="14" t="s">
        <v>42</v>
      </c>
      <c r="I1082" s="2">
        <v>1</v>
      </c>
      <c r="J1082" s="2">
        <v>0</v>
      </c>
      <c r="K1082" s="2">
        <v>0</v>
      </c>
      <c r="L1082" s="2"/>
      <c r="M1082" s="2">
        <v>0</v>
      </c>
      <c r="N1082" s="14"/>
      <c r="O1082" s="14"/>
      <c r="P1082" s="2">
        <v>17</v>
      </c>
      <c r="Q1082" s="2">
        <v>17</v>
      </c>
      <c r="R1082" s="2">
        <v>10.24</v>
      </c>
      <c r="S1082">
        <f t="shared" si="77"/>
        <v>10.24</v>
      </c>
      <c r="T1082" t="s">
        <v>61</v>
      </c>
      <c r="U1082" s="1">
        <f t="shared" si="79"/>
        <v>0</v>
      </c>
    </row>
    <row r="1083" spans="1:21" hidden="1" x14ac:dyDescent="0.25">
      <c r="A1083" s="2">
        <v>39386</v>
      </c>
      <c r="B1083" s="13" t="s">
        <v>1699</v>
      </c>
      <c r="C1083" s="14" t="s">
        <v>39</v>
      </c>
      <c r="D1083" s="15">
        <v>45317</v>
      </c>
      <c r="E1083" s="2">
        <v>0</v>
      </c>
      <c r="F1083" s="14" t="s">
        <v>1170</v>
      </c>
      <c r="G1083" t="s">
        <v>1171</v>
      </c>
      <c r="H1083" s="14" t="s">
        <v>42</v>
      </c>
      <c r="I1083" s="2">
        <v>1</v>
      </c>
      <c r="J1083" s="2">
        <v>0</v>
      </c>
      <c r="K1083" s="2">
        <v>0</v>
      </c>
      <c r="L1083" s="2"/>
      <c r="M1083" s="2">
        <v>0</v>
      </c>
      <c r="N1083" s="14"/>
      <c r="O1083" s="14"/>
      <c r="P1083" s="2">
        <v>1779</v>
      </c>
      <c r="Q1083" s="2">
        <v>1779</v>
      </c>
      <c r="R1083" s="2">
        <v>1390.86</v>
      </c>
      <c r="S1083">
        <f t="shared" si="77"/>
        <v>1390.86</v>
      </c>
      <c r="T1083" t="s">
        <v>61</v>
      </c>
      <c r="U1083" s="1">
        <f t="shared" si="79"/>
        <v>0</v>
      </c>
    </row>
    <row r="1084" spans="1:21" hidden="1" x14ac:dyDescent="0.25">
      <c r="A1084" s="2">
        <v>39386</v>
      </c>
      <c r="B1084" s="13" t="s">
        <v>1699</v>
      </c>
      <c r="C1084" s="14" t="s">
        <v>39</v>
      </c>
      <c r="D1084" s="15">
        <v>45317</v>
      </c>
      <c r="E1084" s="2">
        <v>0</v>
      </c>
      <c r="F1084" s="14" t="s">
        <v>1175</v>
      </c>
      <c r="G1084" t="s">
        <v>1176</v>
      </c>
      <c r="H1084" s="14" t="s">
        <v>42</v>
      </c>
      <c r="I1084" s="2">
        <v>1</v>
      </c>
      <c r="J1084" s="2">
        <v>0</v>
      </c>
      <c r="K1084" s="2">
        <v>0</v>
      </c>
      <c r="L1084" s="2"/>
      <c r="M1084" s="2">
        <v>0</v>
      </c>
      <c r="N1084" s="14"/>
      <c r="O1084" s="14"/>
      <c r="P1084" s="2">
        <v>49</v>
      </c>
      <c r="Q1084" s="2">
        <v>49</v>
      </c>
      <c r="R1084" s="2">
        <v>33.770000000000003</v>
      </c>
      <c r="S1084">
        <f t="shared" si="77"/>
        <v>33.770000000000003</v>
      </c>
      <c r="T1084" t="s">
        <v>61</v>
      </c>
      <c r="U1084" s="1">
        <f t="shared" si="79"/>
        <v>0</v>
      </c>
    </row>
    <row r="1085" spans="1:21" hidden="1" x14ac:dyDescent="0.25">
      <c r="A1085" s="2">
        <v>39387</v>
      </c>
      <c r="B1085" s="13" t="s">
        <v>1700</v>
      </c>
      <c r="C1085" s="14" t="s">
        <v>39</v>
      </c>
      <c r="D1085" s="15">
        <v>45317</v>
      </c>
      <c r="E1085" s="2">
        <v>0</v>
      </c>
      <c r="F1085" s="14" t="s">
        <v>1077</v>
      </c>
      <c r="G1085" t="s">
        <v>1078</v>
      </c>
      <c r="H1085" s="14" t="s">
        <v>42</v>
      </c>
      <c r="I1085" s="2">
        <v>1</v>
      </c>
      <c r="J1085" s="2">
        <v>0</v>
      </c>
      <c r="K1085" s="2">
        <v>0</v>
      </c>
      <c r="L1085" s="2"/>
      <c r="M1085" s="2">
        <v>0</v>
      </c>
      <c r="N1085" s="14"/>
      <c r="O1085" s="14"/>
      <c r="P1085" s="2">
        <v>339</v>
      </c>
      <c r="Q1085" s="2">
        <v>339</v>
      </c>
      <c r="R1085" s="2">
        <v>267.29000000000002</v>
      </c>
      <c r="S1085">
        <f t="shared" si="77"/>
        <v>267.29000000000002</v>
      </c>
      <c r="T1085" t="s">
        <v>61</v>
      </c>
      <c r="U1085" s="1">
        <f t="shared" si="79"/>
        <v>0</v>
      </c>
    </row>
    <row r="1086" spans="1:21" hidden="1" x14ac:dyDescent="0.25">
      <c r="A1086" s="2">
        <v>39388</v>
      </c>
      <c r="B1086" s="13" t="s">
        <v>1701</v>
      </c>
      <c r="C1086" s="14" t="s">
        <v>39</v>
      </c>
      <c r="D1086" s="15">
        <v>45317</v>
      </c>
      <c r="E1086" s="2">
        <v>0</v>
      </c>
      <c r="F1086" s="14" t="s">
        <v>1177</v>
      </c>
      <c r="G1086" t="s">
        <v>1178</v>
      </c>
      <c r="H1086" s="14" t="s">
        <v>42</v>
      </c>
      <c r="I1086" s="2">
        <v>2</v>
      </c>
      <c r="J1086" s="2">
        <v>0</v>
      </c>
      <c r="K1086" s="2">
        <v>0</v>
      </c>
      <c r="L1086" s="2"/>
      <c r="M1086" s="2">
        <v>0</v>
      </c>
      <c r="N1086" s="14"/>
      <c r="O1086" s="14"/>
      <c r="P1086" s="2">
        <v>189</v>
      </c>
      <c r="Q1086" s="2">
        <v>378</v>
      </c>
      <c r="R1086" s="2">
        <v>107.74</v>
      </c>
      <c r="S1086">
        <f t="shared" si="77"/>
        <v>215.48</v>
      </c>
      <c r="T1086" t="s">
        <v>61</v>
      </c>
      <c r="U1086" s="1">
        <f t="shared" si="79"/>
        <v>0</v>
      </c>
    </row>
    <row r="1087" spans="1:21" hidden="1" x14ac:dyDescent="0.25">
      <c r="A1087" s="2">
        <v>39388</v>
      </c>
      <c r="B1087" s="13" t="s">
        <v>1701</v>
      </c>
      <c r="C1087" s="14" t="s">
        <v>39</v>
      </c>
      <c r="D1087" s="15">
        <v>45317</v>
      </c>
      <c r="E1087" s="2">
        <v>0</v>
      </c>
      <c r="F1087" s="14" t="s">
        <v>1079</v>
      </c>
      <c r="G1087" t="s">
        <v>1080</v>
      </c>
      <c r="H1087" s="14" t="s">
        <v>42</v>
      </c>
      <c r="I1087" s="2">
        <v>1</v>
      </c>
      <c r="J1087" s="2">
        <v>0</v>
      </c>
      <c r="K1087" s="2">
        <v>0</v>
      </c>
      <c r="L1087" s="2"/>
      <c r="M1087" s="2">
        <v>0</v>
      </c>
      <c r="N1087" s="14"/>
      <c r="O1087" s="14"/>
      <c r="P1087" s="2">
        <v>309</v>
      </c>
      <c r="Q1087" s="2">
        <v>309</v>
      </c>
      <c r="R1087" s="2">
        <v>189.95</v>
      </c>
      <c r="S1087">
        <f t="shared" si="77"/>
        <v>189.95</v>
      </c>
      <c r="T1087" t="s">
        <v>61</v>
      </c>
      <c r="U1087" s="1">
        <f t="shared" si="79"/>
        <v>0</v>
      </c>
    </row>
    <row r="1088" spans="1:21" hidden="1" x14ac:dyDescent="0.25">
      <c r="A1088" s="2">
        <v>39389</v>
      </c>
      <c r="B1088" s="13" t="s">
        <v>1702</v>
      </c>
      <c r="C1088" s="14" t="s">
        <v>39</v>
      </c>
      <c r="D1088" s="15">
        <v>45317</v>
      </c>
      <c r="E1088" s="2">
        <v>0</v>
      </c>
      <c r="F1088" s="14" t="s">
        <v>1081</v>
      </c>
      <c r="G1088" t="s">
        <v>1082</v>
      </c>
      <c r="H1088" s="14" t="s">
        <v>42</v>
      </c>
      <c r="I1088" s="2">
        <v>1</v>
      </c>
      <c r="J1088" s="2">
        <v>0</v>
      </c>
      <c r="K1088" s="2">
        <v>0</v>
      </c>
      <c r="L1088" s="2"/>
      <c r="M1088" s="2">
        <v>0</v>
      </c>
      <c r="N1088" s="14"/>
      <c r="O1088" s="14"/>
      <c r="P1088" s="2">
        <v>4823</v>
      </c>
      <c r="Q1088" s="2">
        <v>4823</v>
      </c>
      <c r="R1088" s="2">
        <v>4002.43</v>
      </c>
      <c r="S1088">
        <f t="shared" si="77"/>
        <v>4002.43</v>
      </c>
      <c r="T1088" t="s">
        <v>61</v>
      </c>
      <c r="U1088" s="1">
        <f t="shared" si="79"/>
        <v>0</v>
      </c>
    </row>
    <row r="1089" spans="1:21" hidden="1" x14ac:dyDescent="0.25">
      <c r="A1089" s="2">
        <v>39389</v>
      </c>
      <c r="B1089" s="13" t="s">
        <v>1702</v>
      </c>
      <c r="C1089" s="14" t="s">
        <v>39</v>
      </c>
      <c r="D1089" s="15">
        <v>45317</v>
      </c>
      <c r="E1089" s="2">
        <v>0</v>
      </c>
      <c r="F1089" s="14" t="s">
        <v>1077</v>
      </c>
      <c r="G1089" t="s">
        <v>1078</v>
      </c>
      <c r="H1089" s="14" t="s">
        <v>42</v>
      </c>
      <c r="I1089" s="2">
        <v>1</v>
      </c>
      <c r="J1089" s="2">
        <v>0</v>
      </c>
      <c r="K1089" s="2">
        <v>0</v>
      </c>
      <c r="L1089" s="2"/>
      <c r="M1089" s="2">
        <v>0</v>
      </c>
      <c r="N1089" s="14"/>
      <c r="O1089" s="14"/>
      <c r="P1089" s="2">
        <v>339</v>
      </c>
      <c r="Q1089" s="2">
        <v>339</v>
      </c>
      <c r="R1089" s="2">
        <v>267.29000000000002</v>
      </c>
      <c r="S1089">
        <f t="shared" si="77"/>
        <v>267.29000000000002</v>
      </c>
      <c r="T1089" t="s">
        <v>61</v>
      </c>
      <c r="U1089" s="1">
        <f t="shared" si="79"/>
        <v>0</v>
      </c>
    </row>
    <row r="1090" spans="1:21" hidden="1" x14ac:dyDescent="0.25">
      <c r="A1090" s="2">
        <v>39389</v>
      </c>
      <c r="B1090" s="13" t="s">
        <v>1702</v>
      </c>
      <c r="C1090" s="14" t="s">
        <v>39</v>
      </c>
      <c r="D1090" s="15">
        <v>45317</v>
      </c>
      <c r="E1090" s="2">
        <v>0</v>
      </c>
      <c r="F1090" s="14" t="s">
        <v>1071</v>
      </c>
      <c r="G1090" t="s">
        <v>1072</v>
      </c>
      <c r="H1090" s="14" t="s">
        <v>42</v>
      </c>
      <c r="I1090" s="2">
        <v>1</v>
      </c>
      <c r="J1090" s="2">
        <v>0</v>
      </c>
      <c r="K1090" s="2">
        <v>0</v>
      </c>
      <c r="L1090" s="2"/>
      <c r="M1090" s="2">
        <v>0</v>
      </c>
      <c r="N1090" s="14"/>
      <c r="O1090" s="14"/>
      <c r="P1090" s="2">
        <v>40</v>
      </c>
      <c r="Q1090" s="2">
        <v>40</v>
      </c>
      <c r="R1090" s="2">
        <v>31.89</v>
      </c>
      <c r="S1090">
        <f t="shared" ref="S1090:S1153" si="80">R1090*I1090</f>
        <v>31.89</v>
      </c>
      <c r="T1090" t="s">
        <v>61</v>
      </c>
      <c r="U1090" s="1">
        <f t="shared" si="79"/>
        <v>0</v>
      </c>
    </row>
    <row r="1091" spans="1:21" hidden="1" x14ac:dyDescent="0.25">
      <c r="A1091" s="2">
        <v>39389</v>
      </c>
      <c r="B1091" s="13" t="s">
        <v>1702</v>
      </c>
      <c r="C1091" s="14" t="s">
        <v>39</v>
      </c>
      <c r="D1091" s="15">
        <v>45317</v>
      </c>
      <c r="E1091" s="2">
        <v>0</v>
      </c>
      <c r="F1091" s="14" t="s">
        <v>1073</v>
      </c>
      <c r="G1091" t="s">
        <v>1074</v>
      </c>
      <c r="H1091" s="14" t="s">
        <v>42</v>
      </c>
      <c r="I1091" s="2">
        <v>1</v>
      </c>
      <c r="J1091" s="2">
        <v>0</v>
      </c>
      <c r="K1091" s="2">
        <v>0</v>
      </c>
      <c r="L1091" s="2"/>
      <c r="M1091" s="2">
        <v>0</v>
      </c>
      <c r="N1091" s="14"/>
      <c r="O1091" s="14"/>
      <c r="P1091" s="2">
        <v>44</v>
      </c>
      <c r="Q1091" s="2">
        <v>44</v>
      </c>
      <c r="R1091" s="2">
        <v>34.99</v>
      </c>
      <c r="S1091">
        <f t="shared" si="80"/>
        <v>34.99</v>
      </c>
      <c r="T1091" t="s">
        <v>61</v>
      </c>
      <c r="U1091" s="1">
        <f t="shared" si="79"/>
        <v>0</v>
      </c>
    </row>
    <row r="1092" spans="1:21" hidden="1" x14ac:dyDescent="0.25">
      <c r="A1092" s="2">
        <v>39389</v>
      </c>
      <c r="B1092" s="13" t="s">
        <v>1702</v>
      </c>
      <c r="C1092" s="14" t="s">
        <v>39</v>
      </c>
      <c r="D1092" s="15">
        <v>45317</v>
      </c>
      <c r="E1092" s="2">
        <v>0</v>
      </c>
      <c r="F1092" s="14" t="s">
        <v>1075</v>
      </c>
      <c r="G1092" t="s">
        <v>1076</v>
      </c>
      <c r="H1092" s="14" t="s">
        <v>42</v>
      </c>
      <c r="I1092" s="2">
        <v>1</v>
      </c>
      <c r="J1092" s="2">
        <v>0</v>
      </c>
      <c r="K1092" s="2">
        <v>0</v>
      </c>
      <c r="L1092" s="2"/>
      <c r="M1092" s="2">
        <v>0</v>
      </c>
      <c r="N1092" s="14"/>
      <c r="O1092" s="14"/>
      <c r="P1092" s="2">
        <v>17</v>
      </c>
      <c r="Q1092" s="2">
        <v>17</v>
      </c>
      <c r="R1092" s="2">
        <v>10.24</v>
      </c>
      <c r="S1092">
        <f t="shared" si="80"/>
        <v>10.24</v>
      </c>
      <c r="T1092" t="s">
        <v>61</v>
      </c>
      <c r="U1092" s="1">
        <f t="shared" si="79"/>
        <v>0</v>
      </c>
    </row>
    <row r="1093" spans="1:21" hidden="1" x14ac:dyDescent="0.25">
      <c r="A1093" s="2">
        <v>39390</v>
      </c>
      <c r="B1093" s="13" t="s">
        <v>1703</v>
      </c>
      <c r="C1093" s="14" t="s">
        <v>39</v>
      </c>
      <c r="D1093" s="15">
        <v>45317</v>
      </c>
      <c r="E1093" s="2">
        <v>0</v>
      </c>
      <c r="F1093" s="14" t="s">
        <v>1704</v>
      </c>
      <c r="G1093" t="s">
        <v>1705</v>
      </c>
      <c r="H1093" s="14" t="s">
        <v>42</v>
      </c>
      <c r="I1093" s="2">
        <v>1</v>
      </c>
      <c r="J1093" s="2">
        <v>0</v>
      </c>
      <c r="K1093" s="2">
        <v>0</v>
      </c>
      <c r="L1093" s="2"/>
      <c r="M1093" s="2">
        <v>0</v>
      </c>
      <c r="N1093" s="14"/>
      <c r="O1093" s="14"/>
      <c r="P1093" s="2">
        <v>97</v>
      </c>
      <c r="Q1093" s="2">
        <v>97</v>
      </c>
      <c r="R1093" s="2">
        <v>79.95</v>
      </c>
      <c r="S1093">
        <f t="shared" si="80"/>
        <v>79.95</v>
      </c>
      <c r="T1093" t="s">
        <v>61</v>
      </c>
      <c r="U1093" s="1">
        <f t="shared" si="79"/>
        <v>0</v>
      </c>
    </row>
    <row r="1094" spans="1:21" hidden="1" x14ac:dyDescent="0.25">
      <c r="A1094" s="2">
        <v>39395</v>
      </c>
      <c r="B1094" s="13" t="s">
        <v>1706</v>
      </c>
      <c r="C1094" s="14" t="s">
        <v>39</v>
      </c>
      <c r="D1094" s="15">
        <v>45317</v>
      </c>
      <c r="E1094" s="2">
        <v>0</v>
      </c>
      <c r="F1094" s="14" t="s">
        <v>1707</v>
      </c>
      <c r="G1094" t="s">
        <v>1708</v>
      </c>
      <c r="H1094" s="14" t="s">
        <v>42</v>
      </c>
      <c r="I1094" s="2">
        <v>1</v>
      </c>
      <c r="J1094" s="2">
        <v>0</v>
      </c>
      <c r="K1094" s="2">
        <v>0</v>
      </c>
      <c r="L1094" s="2"/>
      <c r="M1094" s="2">
        <v>0</v>
      </c>
      <c r="N1094" s="14"/>
      <c r="O1094" s="14"/>
      <c r="P1094" s="2">
        <v>61</v>
      </c>
      <c r="Q1094" s="2">
        <v>61</v>
      </c>
      <c r="R1094" s="2">
        <v>48.45</v>
      </c>
      <c r="S1094">
        <f t="shared" si="80"/>
        <v>48.45</v>
      </c>
      <c r="T1094" t="s">
        <v>147</v>
      </c>
      <c r="U1094" s="1">
        <f t="shared" si="79"/>
        <v>1.0039999999999998</v>
      </c>
    </row>
    <row r="1095" spans="1:21" x14ac:dyDescent="0.25">
      <c r="A1095" s="2">
        <v>39395</v>
      </c>
      <c r="B1095" s="13" t="s">
        <v>1706</v>
      </c>
      <c r="C1095" s="14" t="s">
        <v>39</v>
      </c>
      <c r="D1095" s="15">
        <v>45317</v>
      </c>
      <c r="E1095" s="2">
        <v>0</v>
      </c>
      <c r="F1095" s="14" t="s">
        <v>260</v>
      </c>
      <c r="G1095" t="s">
        <v>313</v>
      </c>
      <c r="H1095" s="14" t="s">
        <v>93</v>
      </c>
      <c r="I1095" s="2">
        <v>2</v>
      </c>
      <c r="J1095" s="2">
        <v>0</v>
      </c>
      <c r="K1095" s="2">
        <v>0</v>
      </c>
      <c r="L1095" s="2"/>
      <c r="M1095" s="2">
        <v>0</v>
      </c>
      <c r="N1095" s="14"/>
      <c r="O1095" s="14"/>
      <c r="P1095" s="2">
        <v>185</v>
      </c>
      <c r="Q1095" s="2">
        <v>370</v>
      </c>
      <c r="R1095" s="2">
        <v>0</v>
      </c>
      <c r="S1095">
        <f t="shared" si="80"/>
        <v>0</v>
      </c>
      <c r="T1095" t="s">
        <v>147</v>
      </c>
      <c r="U1095">
        <f>_xlfn.XLOOKUP(T1095,$Y$2:$Y$45,$AB$2:$AB$45)*(Q1095)</f>
        <v>14.8</v>
      </c>
    </row>
    <row r="1096" spans="1:21" hidden="1" x14ac:dyDescent="0.25">
      <c r="A1096" s="2">
        <v>39397</v>
      </c>
      <c r="B1096" s="13" t="s">
        <v>1709</v>
      </c>
      <c r="C1096" s="14" t="s">
        <v>39</v>
      </c>
      <c r="D1096" s="15">
        <v>45320</v>
      </c>
      <c r="E1096" s="2">
        <v>0</v>
      </c>
      <c r="F1096" s="14" t="s">
        <v>1125</v>
      </c>
      <c r="G1096" t="s">
        <v>1126</v>
      </c>
      <c r="H1096" s="14" t="s">
        <v>42</v>
      </c>
      <c r="I1096" s="2">
        <v>4</v>
      </c>
      <c r="J1096" s="2">
        <v>0</v>
      </c>
      <c r="K1096" s="2">
        <v>0</v>
      </c>
      <c r="L1096" s="2"/>
      <c r="M1096" s="2">
        <v>0</v>
      </c>
      <c r="N1096" s="14"/>
      <c r="O1096" s="14"/>
      <c r="P1096" s="2">
        <v>169.87</v>
      </c>
      <c r="Q1096" s="2">
        <v>679.48</v>
      </c>
      <c r="R1096" s="2">
        <v>135</v>
      </c>
      <c r="S1096">
        <f t="shared" si="80"/>
        <v>540</v>
      </c>
      <c r="T1096" t="s">
        <v>140</v>
      </c>
      <c r="U1096" s="1">
        <f t="shared" ref="U1096:U1103" si="81">_xlfn.XLOOKUP(T1096,$Y$2:$Y$45,$AA$2:$AA$45)*(Q1096-S1096)</f>
        <v>11.158400000000002</v>
      </c>
    </row>
    <row r="1097" spans="1:21" hidden="1" x14ac:dyDescent="0.25">
      <c r="A1097" s="2">
        <v>39397</v>
      </c>
      <c r="B1097" s="13" t="s">
        <v>1709</v>
      </c>
      <c r="C1097" s="14" t="s">
        <v>39</v>
      </c>
      <c r="D1097" s="15">
        <v>45320</v>
      </c>
      <c r="E1097" s="2">
        <v>0</v>
      </c>
      <c r="F1097" s="14" t="s">
        <v>630</v>
      </c>
      <c r="G1097" t="s">
        <v>631</v>
      </c>
      <c r="H1097" s="14" t="s">
        <v>42</v>
      </c>
      <c r="I1097" s="2">
        <v>4</v>
      </c>
      <c r="J1097" s="2">
        <v>0</v>
      </c>
      <c r="K1097" s="2">
        <v>0</v>
      </c>
      <c r="L1097" s="2"/>
      <c r="M1097" s="2">
        <v>0</v>
      </c>
      <c r="N1097" s="14"/>
      <c r="O1097" s="14"/>
      <c r="P1097" s="2">
        <v>5</v>
      </c>
      <c r="Q1097" s="2">
        <v>20</v>
      </c>
      <c r="R1097" s="2">
        <v>5</v>
      </c>
      <c r="S1097">
        <f t="shared" si="80"/>
        <v>20</v>
      </c>
      <c r="T1097" t="s">
        <v>140</v>
      </c>
      <c r="U1097" s="1">
        <f t="shared" si="81"/>
        <v>0</v>
      </c>
    </row>
    <row r="1098" spans="1:21" hidden="1" x14ac:dyDescent="0.25">
      <c r="A1098" s="2">
        <v>39398</v>
      </c>
      <c r="B1098" s="13" t="s">
        <v>1710</v>
      </c>
      <c r="C1098" s="14" t="s">
        <v>39</v>
      </c>
      <c r="D1098" s="15">
        <v>45322</v>
      </c>
      <c r="E1098" s="2">
        <v>0</v>
      </c>
      <c r="F1098" s="14" t="s">
        <v>1711</v>
      </c>
      <c r="G1098" t="s">
        <v>1712</v>
      </c>
      <c r="H1098" s="14" t="s">
        <v>42</v>
      </c>
      <c r="I1098" s="2">
        <v>2</v>
      </c>
      <c r="J1098" s="2">
        <v>0</v>
      </c>
      <c r="K1098" s="2">
        <v>0</v>
      </c>
      <c r="L1098" s="2"/>
      <c r="M1098" s="2">
        <v>0</v>
      </c>
      <c r="N1098" s="14"/>
      <c r="O1098" s="14"/>
      <c r="P1098" s="2">
        <v>4.75</v>
      </c>
      <c r="Q1098" s="2">
        <v>9.5</v>
      </c>
      <c r="R1098" s="2">
        <v>1.72</v>
      </c>
      <c r="S1098">
        <f t="shared" si="80"/>
        <v>3.44</v>
      </c>
      <c r="T1098" t="s">
        <v>107</v>
      </c>
      <c r="U1098" s="1">
        <f t="shared" si="81"/>
        <v>0.24240000000000003</v>
      </c>
    </row>
    <row r="1099" spans="1:21" hidden="1" x14ac:dyDescent="0.25">
      <c r="A1099" s="2">
        <v>39401</v>
      </c>
      <c r="B1099" s="13" t="s">
        <v>1713</v>
      </c>
      <c r="C1099" s="14" t="s">
        <v>39</v>
      </c>
      <c r="D1099" s="15">
        <v>45317</v>
      </c>
      <c r="E1099" s="2">
        <v>0</v>
      </c>
      <c r="F1099" s="14" t="s">
        <v>1714</v>
      </c>
      <c r="G1099" t="s">
        <v>1715</v>
      </c>
      <c r="H1099" s="14" t="s">
        <v>42</v>
      </c>
      <c r="I1099" s="2">
        <v>1</v>
      </c>
      <c r="J1099" s="2">
        <v>0</v>
      </c>
      <c r="K1099" s="2">
        <v>0</v>
      </c>
      <c r="L1099" s="2"/>
      <c r="M1099" s="2">
        <v>0</v>
      </c>
      <c r="N1099" s="14"/>
      <c r="O1099" s="14"/>
      <c r="P1099" s="2">
        <v>637</v>
      </c>
      <c r="Q1099" s="2">
        <v>637</v>
      </c>
      <c r="R1099" s="2">
        <v>527.96</v>
      </c>
      <c r="S1099">
        <f t="shared" si="80"/>
        <v>527.96</v>
      </c>
      <c r="T1099" t="s">
        <v>61</v>
      </c>
      <c r="U1099" s="1">
        <f t="shared" si="81"/>
        <v>0</v>
      </c>
    </row>
    <row r="1100" spans="1:21" hidden="1" x14ac:dyDescent="0.25">
      <c r="A1100" s="2">
        <v>39403</v>
      </c>
      <c r="B1100" s="13" t="s">
        <v>1716</v>
      </c>
      <c r="C1100" s="14" t="s">
        <v>39</v>
      </c>
      <c r="D1100" s="15">
        <v>45320</v>
      </c>
      <c r="E1100" s="2">
        <v>0</v>
      </c>
      <c r="F1100" s="14" t="s">
        <v>994</v>
      </c>
      <c r="G1100" t="s">
        <v>995</v>
      </c>
      <c r="H1100" s="14" t="s">
        <v>42</v>
      </c>
      <c r="I1100" s="2">
        <v>1</v>
      </c>
      <c r="J1100" s="2">
        <v>0</v>
      </c>
      <c r="K1100" s="2">
        <v>0</v>
      </c>
      <c r="L1100" s="2"/>
      <c r="M1100" s="2">
        <v>0</v>
      </c>
      <c r="N1100" s="14"/>
      <c r="O1100" s="14"/>
      <c r="P1100" s="2">
        <v>773.41</v>
      </c>
      <c r="Q1100" s="2">
        <v>773.41</v>
      </c>
      <c r="R1100" s="2">
        <v>634.20000000000005</v>
      </c>
      <c r="S1100">
        <f t="shared" si="80"/>
        <v>634.20000000000005</v>
      </c>
      <c r="T1100" t="s">
        <v>47</v>
      </c>
      <c r="U1100" s="1">
        <f t="shared" si="81"/>
        <v>11.832849999999993</v>
      </c>
    </row>
    <row r="1101" spans="1:21" hidden="1" x14ac:dyDescent="0.25">
      <c r="A1101" s="2">
        <v>39403</v>
      </c>
      <c r="B1101" s="13" t="s">
        <v>1716</v>
      </c>
      <c r="C1101" s="14" t="s">
        <v>39</v>
      </c>
      <c r="D1101" s="15">
        <v>45320</v>
      </c>
      <c r="E1101" s="2">
        <v>0</v>
      </c>
      <c r="F1101" s="14" t="s">
        <v>1717</v>
      </c>
      <c r="G1101" t="s">
        <v>1718</v>
      </c>
      <c r="H1101" s="14" t="s">
        <v>42</v>
      </c>
      <c r="I1101" s="2">
        <v>3</v>
      </c>
      <c r="J1101" s="2">
        <v>0</v>
      </c>
      <c r="K1101" s="2">
        <v>0</v>
      </c>
      <c r="L1101" s="2"/>
      <c r="M1101" s="2">
        <v>0</v>
      </c>
      <c r="N1101" s="14"/>
      <c r="O1101" s="14"/>
      <c r="P1101" s="2">
        <v>1084.05</v>
      </c>
      <c r="Q1101" s="2">
        <v>3252.15</v>
      </c>
      <c r="R1101" s="2">
        <v>888.92</v>
      </c>
      <c r="S1101">
        <f t="shared" si="80"/>
        <v>2666.7599999999998</v>
      </c>
      <c r="T1101" t="s">
        <v>47</v>
      </c>
      <c r="U1101" s="1">
        <f t="shared" si="81"/>
        <v>49.758150000000029</v>
      </c>
    </row>
    <row r="1102" spans="1:21" hidden="1" x14ac:dyDescent="0.25">
      <c r="A1102" s="2">
        <v>39403</v>
      </c>
      <c r="B1102" s="13" t="s">
        <v>1716</v>
      </c>
      <c r="C1102" s="14" t="s">
        <v>39</v>
      </c>
      <c r="D1102" s="15">
        <v>45320</v>
      </c>
      <c r="E1102" s="2">
        <v>0</v>
      </c>
      <c r="F1102" s="14" t="s">
        <v>1719</v>
      </c>
      <c r="G1102" t="s">
        <v>1289</v>
      </c>
      <c r="H1102" s="14" t="s">
        <v>42</v>
      </c>
      <c r="I1102" s="2">
        <v>1</v>
      </c>
      <c r="J1102" s="2">
        <v>0</v>
      </c>
      <c r="K1102" s="2">
        <v>0</v>
      </c>
      <c r="L1102" s="2"/>
      <c r="M1102" s="2">
        <v>0</v>
      </c>
      <c r="N1102" s="14"/>
      <c r="O1102" s="14"/>
      <c r="P1102" s="2">
        <v>144.22999999999999</v>
      </c>
      <c r="Q1102" s="2">
        <v>144.22999999999999</v>
      </c>
      <c r="R1102" s="2">
        <v>118.27</v>
      </c>
      <c r="S1102">
        <f t="shared" si="80"/>
        <v>118.27</v>
      </c>
      <c r="T1102" t="s">
        <v>47</v>
      </c>
      <c r="U1102" s="1">
        <f t="shared" si="81"/>
        <v>2.2065999999999995</v>
      </c>
    </row>
    <row r="1103" spans="1:21" hidden="1" x14ac:dyDescent="0.25">
      <c r="A1103" s="2">
        <v>39407</v>
      </c>
      <c r="B1103" s="13" t="s">
        <v>1720</v>
      </c>
      <c r="C1103" s="14" t="s">
        <v>39</v>
      </c>
      <c r="D1103" s="15">
        <v>45322</v>
      </c>
      <c r="E1103" s="2">
        <v>0</v>
      </c>
      <c r="F1103" s="14" t="s">
        <v>1721</v>
      </c>
      <c r="G1103" t="s">
        <v>1722</v>
      </c>
      <c r="H1103" s="14" t="s">
        <v>42</v>
      </c>
      <c r="I1103" s="2">
        <v>1</v>
      </c>
      <c r="J1103" s="2">
        <v>0</v>
      </c>
      <c r="K1103" s="2">
        <v>0</v>
      </c>
      <c r="L1103" s="2"/>
      <c r="M1103" s="2">
        <v>0</v>
      </c>
      <c r="N1103" s="14"/>
      <c r="O1103" s="14"/>
      <c r="P1103" s="2">
        <v>580</v>
      </c>
      <c r="Q1103" s="2">
        <v>580</v>
      </c>
      <c r="R1103" s="2">
        <v>474.97</v>
      </c>
      <c r="S1103">
        <f t="shared" si="80"/>
        <v>474.97</v>
      </c>
      <c r="T1103" t="s">
        <v>132</v>
      </c>
      <c r="U1103" s="1">
        <f t="shared" si="81"/>
        <v>8.4023999999999983</v>
      </c>
    </row>
    <row r="1104" spans="1:21" x14ac:dyDescent="0.25">
      <c r="A1104" s="2">
        <v>39407</v>
      </c>
      <c r="B1104" s="13" t="s">
        <v>1720</v>
      </c>
      <c r="C1104" s="14" t="s">
        <v>39</v>
      </c>
      <c r="D1104" s="15">
        <v>45322</v>
      </c>
      <c r="E1104" s="2">
        <v>0</v>
      </c>
      <c r="F1104" s="14" t="s">
        <v>455</v>
      </c>
      <c r="G1104" t="s">
        <v>598</v>
      </c>
      <c r="H1104" s="14" t="s">
        <v>93</v>
      </c>
      <c r="I1104" s="2">
        <v>1</v>
      </c>
      <c r="J1104" s="2">
        <v>0</v>
      </c>
      <c r="K1104" s="2">
        <v>0</v>
      </c>
      <c r="L1104" s="2"/>
      <c r="M1104" s="2">
        <v>0</v>
      </c>
      <c r="N1104" s="14"/>
      <c r="O1104" s="14"/>
      <c r="P1104" s="2">
        <v>150</v>
      </c>
      <c r="Q1104" s="2">
        <v>150</v>
      </c>
      <c r="R1104" s="2">
        <v>0</v>
      </c>
      <c r="S1104">
        <f t="shared" si="80"/>
        <v>0</v>
      </c>
      <c r="T1104" t="s">
        <v>132</v>
      </c>
      <c r="U1104">
        <f>_xlfn.XLOOKUP(T1104,$Y$2:$Y$45,$AB$2:$AB$45)*(Q1104)</f>
        <v>6</v>
      </c>
    </row>
    <row r="1105" spans="1:21" hidden="1" x14ac:dyDescent="0.25">
      <c r="A1105" s="2">
        <v>39420</v>
      </c>
      <c r="B1105" s="13" t="s">
        <v>1723</v>
      </c>
      <c r="C1105" s="14" t="s">
        <v>39</v>
      </c>
      <c r="D1105" s="15">
        <v>45320</v>
      </c>
      <c r="E1105" s="2">
        <v>2.09</v>
      </c>
      <c r="F1105" s="14" t="s">
        <v>1724</v>
      </c>
      <c r="G1105" t="s">
        <v>1725</v>
      </c>
      <c r="H1105" s="14" t="s">
        <v>933</v>
      </c>
      <c r="I1105" s="2">
        <v>1</v>
      </c>
      <c r="J1105" s="2">
        <v>11</v>
      </c>
      <c r="K1105" s="2">
        <v>8.91</v>
      </c>
      <c r="L1105" s="2">
        <v>81</v>
      </c>
      <c r="M1105" s="2">
        <v>2.09</v>
      </c>
      <c r="N1105" s="14"/>
      <c r="O1105" s="14"/>
      <c r="P1105" s="2">
        <v>11</v>
      </c>
      <c r="Q1105" s="2">
        <v>11</v>
      </c>
      <c r="R1105" s="2">
        <v>8.91</v>
      </c>
      <c r="S1105">
        <f t="shared" si="80"/>
        <v>8.91</v>
      </c>
      <c r="T1105" t="s">
        <v>70</v>
      </c>
      <c r="U1105">
        <f>_xlfn.XLOOKUP(T1105,$Y$2:$Y$45,$AB$2:$AB$45)*(Q1105)</f>
        <v>0</v>
      </c>
    </row>
    <row r="1106" spans="1:21" hidden="1" x14ac:dyDescent="0.25">
      <c r="A1106" s="2">
        <v>39420</v>
      </c>
      <c r="B1106" s="13" t="s">
        <v>1723</v>
      </c>
      <c r="C1106" s="14" t="s">
        <v>39</v>
      </c>
      <c r="D1106" s="15">
        <v>45320</v>
      </c>
      <c r="E1106" s="2">
        <v>2.09</v>
      </c>
      <c r="F1106" s="14" t="s">
        <v>1726</v>
      </c>
      <c r="G1106" t="s">
        <v>1727</v>
      </c>
      <c r="H1106" s="14" t="s">
        <v>933</v>
      </c>
      <c r="I1106" s="2">
        <v>1</v>
      </c>
      <c r="J1106" s="2">
        <v>1.25</v>
      </c>
      <c r="K1106" s="2">
        <v>1.25</v>
      </c>
      <c r="L1106" s="2">
        <v>100</v>
      </c>
      <c r="M1106" s="2">
        <v>0</v>
      </c>
      <c r="N1106" s="14"/>
      <c r="O1106" s="14"/>
      <c r="P1106" s="2">
        <v>1.25</v>
      </c>
      <c r="Q1106" s="2">
        <v>1.25</v>
      </c>
      <c r="R1106" s="2">
        <v>1.25</v>
      </c>
      <c r="S1106">
        <f t="shared" si="80"/>
        <v>1.25</v>
      </c>
      <c r="T1106" t="s">
        <v>70</v>
      </c>
      <c r="U1106">
        <f>_xlfn.XLOOKUP(T1106,$Y$2:$Y$45,$AB$2:$AB$45)*(Q1106)</f>
        <v>0</v>
      </c>
    </row>
    <row r="1107" spans="1:21" hidden="1" x14ac:dyDescent="0.25">
      <c r="A1107" s="2">
        <v>39422</v>
      </c>
      <c r="B1107" s="13" t="s">
        <v>1728</v>
      </c>
      <c r="C1107" s="14" t="s">
        <v>39</v>
      </c>
      <c r="D1107" s="15">
        <v>45320</v>
      </c>
      <c r="E1107" s="2">
        <v>0</v>
      </c>
      <c r="F1107" s="14" t="s">
        <v>1729</v>
      </c>
      <c r="G1107" t="s">
        <v>1730</v>
      </c>
      <c r="H1107" s="14" t="s">
        <v>42</v>
      </c>
      <c r="I1107" s="2">
        <v>1</v>
      </c>
      <c r="J1107" s="2">
        <v>0</v>
      </c>
      <c r="K1107" s="2">
        <v>0</v>
      </c>
      <c r="L1107" s="2"/>
      <c r="M1107" s="2">
        <v>0</v>
      </c>
      <c r="N1107" s="14"/>
      <c r="O1107" s="14"/>
      <c r="P1107" s="2">
        <v>217</v>
      </c>
      <c r="Q1107" s="2">
        <v>217</v>
      </c>
      <c r="R1107" s="2">
        <v>173.2</v>
      </c>
      <c r="S1107">
        <f t="shared" si="80"/>
        <v>173.2</v>
      </c>
      <c r="T1107" t="s">
        <v>150</v>
      </c>
      <c r="U1107" s="1">
        <f>_xlfn.XLOOKUP(T1107,$Y$2:$Y$45,$AA$2:$AA$45)*(Q1107-S1107)</f>
        <v>3.5040000000000009</v>
      </c>
    </row>
    <row r="1108" spans="1:21" x14ac:dyDescent="0.25">
      <c r="A1108" s="2">
        <v>39423</v>
      </c>
      <c r="B1108" s="13" t="s">
        <v>1731</v>
      </c>
      <c r="C1108" s="14" t="s">
        <v>39</v>
      </c>
      <c r="D1108" s="15">
        <v>45320</v>
      </c>
      <c r="E1108" s="2">
        <v>0</v>
      </c>
      <c r="F1108" s="14" t="s">
        <v>1016</v>
      </c>
      <c r="G1108" t="s">
        <v>1017</v>
      </c>
      <c r="H1108" s="14" t="s">
        <v>93</v>
      </c>
      <c r="I1108" s="2">
        <v>30</v>
      </c>
      <c r="J1108" s="2">
        <v>0</v>
      </c>
      <c r="K1108" s="2">
        <v>0</v>
      </c>
      <c r="L1108" s="2"/>
      <c r="M1108" s="2">
        <v>0</v>
      </c>
      <c r="N1108" s="14"/>
      <c r="O1108" s="14"/>
      <c r="P1108" s="2">
        <v>185</v>
      </c>
      <c r="Q1108" s="2">
        <v>5550</v>
      </c>
      <c r="R1108" s="2">
        <v>0</v>
      </c>
      <c r="S1108">
        <f t="shared" si="80"/>
        <v>0</v>
      </c>
      <c r="T1108" t="s">
        <v>43</v>
      </c>
      <c r="U1108">
        <f>_xlfn.XLOOKUP(T1108,$Y$2:$Y$45,$AB$2:$AB$45)*(Q1108)</f>
        <v>222</v>
      </c>
    </row>
    <row r="1109" spans="1:21" hidden="1" x14ac:dyDescent="0.25">
      <c r="A1109" s="2">
        <v>39425</v>
      </c>
      <c r="B1109" s="13" t="s">
        <v>1732</v>
      </c>
      <c r="C1109" s="14" t="s">
        <v>39</v>
      </c>
      <c r="D1109" s="15">
        <v>45320</v>
      </c>
      <c r="E1109" s="2">
        <v>0</v>
      </c>
      <c r="F1109" s="14" t="s">
        <v>587</v>
      </c>
      <c r="G1109" t="s">
        <v>588</v>
      </c>
      <c r="H1109" s="14" t="s">
        <v>42</v>
      </c>
      <c r="I1109" s="2">
        <v>-1488</v>
      </c>
      <c r="J1109" s="2">
        <v>0</v>
      </c>
      <c r="K1109" s="2">
        <v>0</v>
      </c>
      <c r="L1109" s="2"/>
      <c r="M1109" s="2">
        <v>0</v>
      </c>
      <c r="N1109" s="14"/>
      <c r="O1109" s="14"/>
      <c r="P1109" s="2">
        <v>1</v>
      </c>
      <c r="Q1109" s="2">
        <v>-1488</v>
      </c>
      <c r="R1109" s="2">
        <v>0.73</v>
      </c>
      <c r="S1109">
        <f t="shared" si="80"/>
        <v>-1086.24</v>
      </c>
      <c r="T1109" t="s">
        <v>61</v>
      </c>
      <c r="U1109" s="1">
        <f t="shared" ref="U1109:U1117" si="82">_xlfn.XLOOKUP(T1109,$Y$2:$Y$45,$AA$2:$AA$45)*(Q1109-S1109)</f>
        <v>0</v>
      </c>
    </row>
    <row r="1110" spans="1:21" hidden="1" x14ac:dyDescent="0.25">
      <c r="A1110" s="2">
        <v>39425</v>
      </c>
      <c r="B1110" s="13" t="s">
        <v>1732</v>
      </c>
      <c r="C1110" s="14" t="s">
        <v>39</v>
      </c>
      <c r="D1110" s="15">
        <v>45320</v>
      </c>
      <c r="E1110" s="2">
        <v>0</v>
      </c>
      <c r="F1110" s="14" t="s">
        <v>587</v>
      </c>
      <c r="G1110" t="s">
        <v>588</v>
      </c>
      <c r="H1110" s="14" t="s">
        <v>42</v>
      </c>
      <c r="I1110" s="2">
        <v>1436</v>
      </c>
      <c r="J1110" s="2">
        <v>0</v>
      </c>
      <c r="K1110" s="2">
        <v>0</v>
      </c>
      <c r="L1110" s="2"/>
      <c r="M1110" s="2">
        <v>0</v>
      </c>
      <c r="N1110" s="14"/>
      <c r="O1110" s="14"/>
      <c r="P1110" s="2">
        <v>1</v>
      </c>
      <c r="Q1110" s="2">
        <v>1436</v>
      </c>
      <c r="R1110" s="2">
        <v>0.73</v>
      </c>
      <c r="S1110">
        <f t="shared" si="80"/>
        <v>1048.28</v>
      </c>
      <c r="T1110" t="s">
        <v>61</v>
      </c>
      <c r="U1110" s="1">
        <f t="shared" si="82"/>
        <v>0</v>
      </c>
    </row>
    <row r="1111" spans="1:21" hidden="1" x14ac:dyDescent="0.25">
      <c r="A1111" s="2">
        <v>39426</v>
      </c>
      <c r="B1111" s="13" t="s">
        <v>1733</v>
      </c>
      <c r="C1111" s="14" t="s">
        <v>39</v>
      </c>
      <c r="D1111" s="15">
        <v>45322</v>
      </c>
      <c r="E1111" s="2">
        <v>0</v>
      </c>
      <c r="F1111" s="14" t="s">
        <v>1734</v>
      </c>
      <c r="G1111" t="s">
        <v>1735</v>
      </c>
      <c r="H1111" s="14" t="s">
        <v>42</v>
      </c>
      <c r="I1111" s="2">
        <v>1</v>
      </c>
      <c r="J1111" s="2">
        <v>0</v>
      </c>
      <c r="K1111" s="2">
        <v>0</v>
      </c>
      <c r="L1111" s="2"/>
      <c r="M1111" s="2">
        <v>0</v>
      </c>
      <c r="N1111" s="14"/>
      <c r="O1111" s="14"/>
      <c r="P1111" s="2">
        <v>796.51</v>
      </c>
      <c r="Q1111" s="2">
        <v>796.51</v>
      </c>
      <c r="R1111" s="2">
        <v>756.69</v>
      </c>
      <c r="S1111">
        <f t="shared" si="80"/>
        <v>756.69</v>
      </c>
      <c r="T1111" t="s">
        <v>147</v>
      </c>
      <c r="U1111" s="1">
        <f t="shared" si="82"/>
        <v>3.1855999999999951</v>
      </c>
    </row>
    <row r="1112" spans="1:21" hidden="1" x14ac:dyDescent="0.25">
      <c r="A1112" s="2">
        <v>39427</v>
      </c>
      <c r="B1112" s="13" t="s">
        <v>1736</v>
      </c>
      <c r="C1112" s="14" t="s">
        <v>39</v>
      </c>
      <c r="D1112" s="15">
        <v>45320</v>
      </c>
      <c r="E1112" s="2">
        <v>0</v>
      </c>
      <c r="F1112" s="14" t="s">
        <v>237</v>
      </c>
      <c r="G1112" t="s">
        <v>1737</v>
      </c>
      <c r="H1112" s="14" t="s">
        <v>42</v>
      </c>
      <c r="I1112" s="2">
        <v>1</v>
      </c>
      <c r="J1112" s="2">
        <v>0</v>
      </c>
      <c r="K1112" s="2">
        <v>0</v>
      </c>
      <c r="L1112" s="2"/>
      <c r="M1112" s="2">
        <v>0</v>
      </c>
      <c r="N1112" s="14"/>
      <c r="O1112" s="14"/>
      <c r="P1112" s="2">
        <v>616</v>
      </c>
      <c r="Q1112" s="2">
        <v>616</v>
      </c>
      <c r="R1112" s="2">
        <v>504.74</v>
      </c>
      <c r="S1112">
        <f t="shared" si="80"/>
        <v>504.74</v>
      </c>
      <c r="T1112" t="s">
        <v>1874</v>
      </c>
      <c r="U1112" s="1">
        <f t="shared" si="82"/>
        <v>8.9008000000000003</v>
      </c>
    </row>
    <row r="1113" spans="1:21" hidden="1" x14ac:dyDescent="0.25">
      <c r="A1113" s="2">
        <v>39429</v>
      </c>
      <c r="B1113" s="13" t="s">
        <v>1738</v>
      </c>
      <c r="C1113" s="14" t="s">
        <v>39</v>
      </c>
      <c r="D1113" s="15">
        <v>45320</v>
      </c>
      <c r="E1113" s="2">
        <v>0</v>
      </c>
      <c r="F1113" s="14" t="s">
        <v>1739</v>
      </c>
      <c r="G1113" t="s">
        <v>1740</v>
      </c>
      <c r="H1113" s="14" t="s">
        <v>42</v>
      </c>
      <c r="I1113" s="2">
        <v>2</v>
      </c>
      <c r="J1113" s="2">
        <v>0</v>
      </c>
      <c r="K1113" s="2">
        <v>0</v>
      </c>
      <c r="L1113" s="2"/>
      <c r="M1113" s="2">
        <v>0</v>
      </c>
      <c r="N1113" s="14"/>
      <c r="O1113" s="14"/>
      <c r="P1113" s="2">
        <v>743</v>
      </c>
      <c r="Q1113" s="2">
        <v>1486</v>
      </c>
      <c r="R1113" s="2">
        <v>643</v>
      </c>
      <c r="S1113">
        <f t="shared" si="80"/>
        <v>1286</v>
      </c>
      <c r="T1113" t="s">
        <v>140</v>
      </c>
      <c r="U1113" s="1">
        <f t="shared" si="82"/>
        <v>16</v>
      </c>
    </row>
    <row r="1114" spans="1:21" hidden="1" x14ac:dyDescent="0.25">
      <c r="A1114" s="2">
        <v>39429</v>
      </c>
      <c r="B1114" s="13" t="s">
        <v>1738</v>
      </c>
      <c r="C1114" s="14" t="s">
        <v>39</v>
      </c>
      <c r="D1114" s="15">
        <v>45320</v>
      </c>
      <c r="E1114" s="2">
        <v>0</v>
      </c>
      <c r="F1114" s="14" t="s">
        <v>429</v>
      </c>
      <c r="G1114" t="s">
        <v>430</v>
      </c>
      <c r="H1114" s="14" t="s">
        <v>42</v>
      </c>
      <c r="I1114" s="2">
        <v>1</v>
      </c>
      <c r="J1114" s="2">
        <v>0</v>
      </c>
      <c r="K1114" s="2">
        <v>0</v>
      </c>
      <c r="L1114" s="2"/>
      <c r="M1114" s="2">
        <v>0</v>
      </c>
      <c r="N1114" s="14"/>
      <c r="O1114" s="14"/>
      <c r="P1114" s="2">
        <v>24</v>
      </c>
      <c r="Q1114" s="2">
        <v>24</v>
      </c>
      <c r="R1114" s="2">
        <v>0</v>
      </c>
      <c r="S1114">
        <f t="shared" si="80"/>
        <v>0</v>
      </c>
      <c r="T1114" t="s">
        <v>140</v>
      </c>
      <c r="U1114" s="1">
        <f t="shared" si="82"/>
        <v>1.92</v>
      </c>
    </row>
    <row r="1115" spans="1:21" hidden="1" x14ac:dyDescent="0.25">
      <c r="A1115" s="2">
        <v>39430</v>
      </c>
      <c r="B1115" s="13" t="s">
        <v>1741</v>
      </c>
      <c r="C1115" s="14" t="s">
        <v>39</v>
      </c>
      <c r="D1115" s="15">
        <v>45320</v>
      </c>
      <c r="E1115" s="2">
        <v>0</v>
      </c>
      <c r="F1115" s="14" t="s">
        <v>835</v>
      </c>
      <c r="G1115" t="s">
        <v>1742</v>
      </c>
      <c r="H1115" s="14" t="s">
        <v>42</v>
      </c>
      <c r="I1115" s="2">
        <v>2</v>
      </c>
      <c r="J1115" s="2">
        <v>0</v>
      </c>
      <c r="K1115" s="2">
        <v>0</v>
      </c>
      <c r="L1115" s="2"/>
      <c r="M1115" s="2">
        <v>0</v>
      </c>
      <c r="N1115" s="14"/>
      <c r="O1115" s="14"/>
      <c r="P1115" s="2">
        <v>1639.76</v>
      </c>
      <c r="Q1115" s="2">
        <v>3279.52</v>
      </c>
      <c r="R1115" s="2">
        <v>1366.47</v>
      </c>
      <c r="S1115">
        <f t="shared" si="80"/>
        <v>2732.94</v>
      </c>
      <c r="T1115" t="s">
        <v>132</v>
      </c>
      <c r="U1115" s="1">
        <f t="shared" si="82"/>
        <v>43.726399999999998</v>
      </c>
    </row>
    <row r="1116" spans="1:21" hidden="1" x14ac:dyDescent="0.25">
      <c r="A1116" s="2">
        <v>39431</v>
      </c>
      <c r="B1116" s="13" t="s">
        <v>1743</v>
      </c>
      <c r="C1116" s="14" t="s">
        <v>39</v>
      </c>
      <c r="D1116" s="15">
        <v>45320</v>
      </c>
      <c r="E1116" s="2">
        <v>11.25</v>
      </c>
      <c r="F1116" s="14" t="s">
        <v>191</v>
      </c>
      <c r="G1116" t="s">
        <v>192</v>
      </c>
      <c r="H1116" s="14" t="s">
        <v>42</v>
      </c>
      <c r="I1116" s="2">
        <v>1</v>
      </c>
      <c r="J1116" s="2">
        <v>0</v>
      </c>
      <c r="K1116" s="2">
        <v>0</v>
      </c>
      <c r="L1116" s="2"/>
      <c r="M1116" s="2">
        <v>0</v>
      </c>
      <c r="N1116" s="14"/>
      <c r="O1116" s="14"/>
      <c r="P1116" s="2">
        <v>1069</v>
      </c>
      <c r="Q1116" s="2">
        <v>1069</v>
      </c>
      <c r="R1116" s="2">
        <v>919.34</v>
      </c>
      <c r="S1116">
        <f t="shared" si="80"/>
        <v>919.34</v>
      </c>
      <c r="T1116" t="s">
        <v>140</v>
      </c>
      <c r="U1116" s="1">
        <f t="shared" si="82"/>
        <v>11.972799999999998</v>
      </c>
    </row>
    <row r="1117" spans="1:21" hidden="1" x14ac:dyDescent="0.25">
      <c r="A1117" s="2">
        <v>39433</v>
      </c>
      <c r="B1117" s="13" t="s">
        <v>1744</v>
      </c>
      <c r="C1117" s="14" t="s">
        <v>39</v>
      </c>
      <c r="D1117" s="15">
        <v>45320</v>
      </c>
      <c r="E1117" s="2">
        <v>0</v>
      </c>
      <c r="F1117" s="14" t="s">
        <v>969</v>
      </c>
      <c r="G1117" t="s">
        <v>970</v>
      </c>
      <c r="H1117" s="14" t="s">
        <v>42</v>
      </c>
      <c r="I1117" s="2">
        <v>1</v>
      </c>
      <c r="J1117" s="2">
        <v>0</v>
      </c>
      <c r="K1117" s="2">
        <v>0</v>
      </c>
      <c r="L1117" s="2"/>
      <c r="M1117" s="2">
        <v>0</v>
      </c>
      <c r="N1117" s="14"/>
      <c r="O1117" s="14"/>
      <c r="P1117" s="2">
        <v>2124.37</v>
      </c>
      <c r="Q1117" s="2">
        <v>2124.37</v>
      </c>
      <c r="R1117" s="2">
        <v>1800.31</v>
      </c>
      <c r="S1117">
        <f t="shared" si="80"/>
        <v>1800.31</v>
      </c>
      <c r="T1117" t="s">
        <v>132</v>
      </c>
      <c r="U1117" s="1">
        <f t="shared" si="82"/>
        <v>25.924799999999998</v>
      </c>
    </row>
    <row r="1118" spans="1:21" x14ac:dyDescent="0.25">
      <c r="A1118" s="2">
        <v>39433</v>
      </c>
      <c r="B1118" s="13" t="s">
        <v>1744</v>
      </c>
      <c r="C1118" s="14" t="s">
        <v>39</v>
      </c>
      <c r="D1118" s="15">
        <v>45320</v>
      </c>
      <c r="E1118" s="2">
        <v>0</v>
      </c>
      <c r="F1118" s="14" t="s">
        <v>417</v>
      </c>
      <c r="G1118" t="s">
        <v>417</v>
      </c>
      <c r="H1118" s="14" t="s">
        <v>93</v>
      </c>
      <c r="I1118" s="2">
        <v>1</v>
      </c>
      <c r="J1118" s="2">
        <v>0</v>
      </c>
      <c r="K1118" s="2">
        <v>0</v>
      </c>
      <c r="L1118" s="2"/>
      <c r="M1118" s="2">
        <v>0</v>
      </c>
      <c r="N1118" s="14"/>
      <c r="O1118" s="14"/>
      <c r="P1118" s="2">
        <v>250</v>
      </c>
      <c r="Q1118" s="2">
        <v>250</v>
      </c>
      <c r="R1118" s="2">
        <v>0</v>
      </c>
      <c r="S1118">
        <f t="shared" si="80"/>
        <v>0</v>
      </c>
      <c r="T1118" t="s">
        <v>132</v>
      </c>
      <c r="U1118">
        <f>_xlfn.XLOOKUP(T1118,$Y$2:$Y$45,$AB$2:$AB$45)*(Q1118)</f>
        <v>10</v>
      </c>
    </row>
    <row r="1119" spans="1:21" hidden="1" x14ac:dyDescent="0.25">
      <c r="A1119" s="2">
        <v>39434</v>
      </c>
      <c r="B1119" s="13" t="s">
        <v>1745</v>
      </c>
      <c r="C1119" s="14" t="s">
        <v>39</v>
      </c>
      <c r="D1119" s="15">
        <v>45320</v>
      </c>
      <c r="E1119" s="2">
        <v>0</v>
      </c>
      <c r="F1119" s="14" t="s">
        <v>1542</v>
      </c>
      <c r="G1119" t="s">
        <v>1543</v>
      </c>
      <c r="H1119" s="14" t="s">
        <v>42</v>
      </c>
      <c r="I1119" s="2">
        <v>1</v>
      </c>
      <c r="J1119" s="2">
        <v>0</v>
      </c>
      <c r="K1119" s="2">
        <v>0</v>
      </c>
      <c r="L1119" s="2"/>
      <c r="M1119" s="2">
        <v>0</v>
      </c>
      <c r="N1119" s="14"/>
      <c r="O1119" s="14"/>
      <c r="P1119" s="2">
        <v>393</v>
      </c>
      <c r="Q1119" s="2">
        <v>393</v>
      </c>
      <c r="R1119" s="2">
        <v>322</v>
      </c>
      <c r="S1119">
        <f t="shared" si="80"/>
        <v>322</v>
      </c>
      <c r="T1119" t="s">
        <v>51</v>
      </c>
      <c r="U1119" s="1">
        <f t="shared" ref="U1119:U1142" si="83">_xlfn.XLOOKUP(T1119,$Y$2:$Y$45,$AA$2:$AA$45)*(Q1119-S1119)</f>
        <v>6.0350000000000001</v>
      </c>
    </row>
    <row r="1120" spans="1:21" hidden="1" x14ac:dyDescent="0.25">
      <c r="A1120" s="2">
        <v>39437</v>
      </c>
      <c r="B1120" s="13" t="s">
        <v>1746</v>
      </c>
      <c r="C1120" s="14" t="s">
        <v>39</v>
      </c>
      <c r="D1120" s="15">
        <v>45321</v>
      </c>
      <c r="E1120" s="2">
        <v>0</v>
      </c>
      <c r="F1120" s="14" t="s">
        <v>1747</v>
      </c>
      <c r="G1120" t="s">
        <v>1748</v>
      </c>
      <c r="H1120" s="14" t="s">
        <v>42</v>
      </c>
      <c r="I1120" s="2">
        <v>1</v>
      </c>
      <c r="J1120" s="2">
        <v>0</v>
      </c>
      <c r="K1120" s="2">
        <v>0</v>
      </c>
      <c r="L1120" s="2"/>
      <c r="M1120" s="2">
        <v>0</v>
      </c>
      <c r="N1120" s="14"/>
      <c r="O1120" s="14"/>
      <c r="P1120" s="2">
        <v>970</v>
      </c>
      <c r="Q1120" s="2">
        <v>970</v>
      </c>
      <c r="R1120" s="2">
        <v>737.2</v>
      </c>
      <c r="S1120">
        <f t="shared" si="80"/>
        <v>737.2</v>
      </c>
      <c r="T1120" t="s">
        <v>51</v>
      </c>
      <c r="U1120" s="1">
        <f t="shared" si="83"/>
        <v>19.787999999999997</v>
      </c>
    </row>
    <row r="1121" spans="1:21" hidden="1" x14ac:dyDescent="0.25">
      <c r="A1121" s="2">
        <v>39437</v>
      </c>
      <c r="B1121" s="13" t="s">
        <v>1746</v>
      </c>
      <c r="C1121" s="14" t="s">
        <v>39</v>
      </c>
      <c r="D1121" s="15">
        <v>45321</v>
      </c>
      <c r="E1121" s="2">
        <v>0</v>
      </c>
      <c r="F1121" s="14" t="s">
        <v>1749</v>
      </c>
      <c r="G1121" t="s">
        <v>1750</v>
      </c>
      <c r="H1121" s="14" t="s">
        <v>42</v>
      </c>
      <c r="I1121" s="2">
        <v>1</v>
      </c>
      <c r="J1121" s="2">
        <v>0</v>
      </c>
      <c r="K1121" s="2">
        <v>0</v>
      </c>
      <c r="L1121" s="2"/>
      <c r="M1121" s="2">
        <v>0</v>
      </c>
      <c r="N1121" s="14"/>
      <c r="O1121" s="14"/>
      <c r="P1121" s="2">
        <v>920.96</v>
      </c>
      <c r="Q1121" s="2">
        <v>920.96</v>
      </c>
      <c r="R1121" s="2">
        <v>699.93</v>
      </c>
      <c r="S1121">
        <f t="shared" si="80"/>
        <v>699.93</v>
      </c>
      <c r="T1121" t="s">
        <v>51</v>
      </c>
      <c r="U1121" s="1">
        <f t="shared" si="83"/>
        <v>18.78755000000001</v>
      </c>
    </row>
    <row r="1122" spans="1:21" hidden="1" x14ac:dyDescent="0.25">
      <c r="A1122" s="2">
        <v>39437</v>
      </c>
      <c r="B1122" s="13" t="s">
        <v>1746</v>
      </c>
      <c r="C1122" s="14" t="s">
        <v>39</v>
      </c>
      <c r="D1122" s="15">
        <v>45321</v>
      </c>
      <c r="E1122" s="2">
        <v>0</v>
      </c>
      <c r="F1122" s="14" t="s">
        <v>1751</v>
      </c>
      <c r="G1122" t="s">
        <v>1752</v>
      </c>
      <c r="H1122" s="14" t="s">
        <v>42</v>
      </c>
      <c r="I1122" s="2">
        <v>1</v>
      </c>
      <c r="J1122" s="2">
        <v>0</v>
      </c>
      <c r="K1122" s="2">
        <v>0</v>
      </c>
      <c r="L1122" s="2"/>
      <c r="M1122" s="2">
        <v>0</v>
      </c>
      <c r="N1122" s="14"/>
      <c r="O1122" s="14"/>
      <c r="P1122" s="2">
        <v>289.93</v>
      </c>
      <c r="Q1122" s="2">
        <v>289.93</v>
      </c>
      <c r="R1122" s="2">
        <v>231.94</v>
      </c>
      <c r="S1122">
        <f t="shared" si="80"/>
        <v>231.94</v>
      </c>
      <c r="T1122" t="s">
        <v>51</v>
      </c>
      <c r="U1122" s="1">
        <f t="shared" si="83"/>
        <v>4.9291500000000008</v>
      </c>
    </row>
    <row r="1123" spans="1:21" hidden="1" x14ac:dyDescent="0.25">
      <c r="A1123" s="2">
        <v>39437</v>
      </c>
      <c r="B1123" s="13" t="s">
        <v>1746</v>
      </c>
      <c r="C1123" s="14" t="s">
        <v>39</v>
      </c>
      <c r="D1123" s="15">
        <v>45321</v>
      </c>
      <c r="E1123" s="2">
        <v>0</v>
      </c>
      <c r="F1123" s="14" t="s">
        <v>1749</v>
      </c>
      <c r="G1123" t="s">
        <v>1750</v>
      </c>
      <c r="H1123" s="14" t="s">
        <v>42</v>
      </c>
      <c r="I1123" s="2">
        <v>1</v>
      </c>
      <c r="J1123" s="2">
        <v>0</v>
      </c>
      <c r="K1123" s="2">
        <v>0</v>
      </c>
      <c r="L1123" s="2"/>
      <c r="M1123" s="2">
        <v>0</v>
      </c>
      <c r="N1123" s="14"/>
      <c r="O1123" s="14"/>
      <c r="P1123" s="2">
        <v>920.96</v>
      </c>
      <c r="Q1123" s="2">
        <v>920.96</v>
      </c>
      <c r="R1123" s="2">
        <v>699.93</v>
      </c>
      <c r="S1123">
        <f t="shared" si="80"/>
        <v>699.93</v>
      </c>
      <c r="T1123" t="s">
        <v>51</v>
      </c>
      <c r="U1123" s="1">
        <f t="shared" si="83"/>
        <v>18.78755000000001</v>
      </c>
    </row>
    <row r="1124" spans="1:21" hidden="1" x14ac:dyDescent="0.25">
      <c r="A1124" s="2">
        <v>39437</v>
      </c>
      <c r="B1124" s="13" t="s">
        <v>1746</v>
      </c>
      <c r="C1124" s="14" t="s">
        <v>39</v>
      </c>
      <c r="D1124" s="15">
        <v>45321</v>
      </c>
      <c r="E1124" s="2">
        <v>0</v>
      </c>
      <c r="F1124" s="14" t="s">
        <v>1753</v>
      </c>
      <c r="G1124" t="s">
        <v>1754</v>
      </c>
      <c r="H1124" s="14" t="s">
        <v>42</v>
      </c>
      <c r="I1124" s="2">
        <v>1</v>
      </c>
      <c r="J1124" s="2">
        <v>0</v>
      </c>
      <c r="K1124" s="2">
        <v>0</v>
      </c>
      <c r="L1124" s="2"/>
      <c r="M1124" s="2">
        <v>0</v>
      </c>
      <c r="N1124" s="14"/>
      <c r="O1124" s="14"/>
      <c r="P1124" s="2">
        <v>970</v>
      </c>
      <c r="Q1124" s="2">
        <v>970</v>
      </c>
      <c r="R1124" s="2">
        <v>853.6</v>
      </c>
      <c r="S1124">
        <f t="shared" si="80"/>
        <v>853.6</v>
      </c>
      <c r="T1124" t="s">
        <v>51</v>
      </c>
      <c r="U1124" s="1">
        <f t="shared" si="83"/>
        <v>9.8939999999999984</v>
      </c>
    </row>
    <row r="1125" spans="1:21" hidden="1" x14ac:dyDescent="0.25">
      <c r="A1125" s="2">
        <v>39437</v>
      </c>
      <c r="B1125" s="13" t="s">
        <v>1746</v>
      </c>
      <c r="C1125" s="14" t="s">
        <v>39</v>
      </c>
      <c r="D1125" s="15">
        <v>45321</v>
      </c>
      <c r="E1125" s="2">
        <v>0</v>
      </c>
      <c r="F1125" s="14" t="s">
        <v>1755</v>
      </c>
      <c r="G1125" t="s">
        <v>1756</v>
      </c>
      <c r="H1125" s="14" t="s">
        <v>42</v>
      </c>
      <c r="I1125" s="2">
        <v>1</v>
      </c>
      <c r="J1125" s="2">
        <v>0</v>
      </c>
      <c r="K1125" s="2">
        <v>0</v>
      </c>
      <c r="L1125" s="2"/>
      <c r="M1125" s="2">
        <v>0</v>
      </c>
      <c r="N1125" s="14"/>
      <c r="O1125" s="14"/>
      <c r="P1125" s="2">
        <v>677.26</v>
      </c>
      <c r="Q1125" s="2">
        <v>677.26</v>
      </c>
      <c r="R1125" s="2">
        <v>541.80999999999995</v>
      </c>
      <c r="S1125">
        <f t="shared" si="80"/>
        <v>541.80999999999995</v>
      </c>
      <c r="T1125" t="s">
        <v>51</v>
      </c>
      <c r="U1125" s="1">
        <f t="shared" si="83"/>
        <v>11.513250000000005</v>
      </c>
    </row>
    <row r="1126" spans="1:21" hidden="1" x14ac:dyDescent="0.25">
      <c r="A1126" s="2">
        <v>39437</v>
      </c>
      <c r="B1126" s="13" t="s">
        <v>1746</v>
      </c>
      <c r="C1126" s="14" t="s">
        <v>39</v>
      </c>
      <c r="D1126" s="15">
        <v>45321</v>
      </c>
      <c r="E1126" s="2">
        <v>0</v>
      </c>
      <c r="F1126" s="14" t="s">
        <v>1757</v>
      </c>
      <c r="G1126" t="s">
        <v>1758</v>
      </c>
      <c r="H1126" s="14" t="s">
        <v>42</v>
      </c>
      <c r="I1126" s="2">
        <v>1</v>
      </c>
      <c r="J1126" s="2">
        <v>0</v>
      </c>
      <c r="K1126" s="2">
        <v>0</v>
      </c>
      <c r="L1126" s="2"/>
      <c r="M1126" s="2">
        <v>0</v>
      </c>
      <c r="N1126" s="14"/>
      <c r="O1126" s="14"/>
      <c r="P1126" s="2">
        <v>2369.75</v>
      </c>
      <c r="Q1126" s="2">
        <v>2369.75</v>
      </c>
      <c r="R1126" s="2">
        <v>2085.38</v>
      </c>
      <c r="S1126">
        <f t="shared" si="80"/>
        <v>2085.38</v>
      </c>
      <c r="T1126" t="s">
        <v>51</v>
      </c>
      <c r="U1126" s="1">
        <f t="shared" si="83"/>
        <v>24.171449999999993</v>
      </c>
    </row>
    <row r="1127" spans="1:21" hidden="1" x14ac:dyDescent="0.25">
      <c r="A1127" s="2">
        <v>39437</v>
      </c>
      <c r="B1127" s="13" t="s">
        <v>1746</v>
      </c>
      <c r="C1127" s="14" t="s">
        <v>39</v>
      </c>
      <c r="D1127" s="15">
        <v>45321</v>
      </c>
      <c r="E1127" s="2">
        <v>0</v>
      </c>
      <c r="F1127" s="14" t="s">
        <v>1759</v>
      </c>
      <c r="G1127" t="s">
        <v>1760</v>
      </c>
      <c r="H1127" s="14" t="s">
        <v>42</v>
      </c>
      <c r="I1127" s="2">
        <v>1</v>
      </c>
      <c r="J1127" s="2">
        <v>0</v>
      </c>
      <c r="K1127" s="2">
        <v>0</v>
      </c>
      <c r="L1127" s="2"/>
      <c r="M1127" s="2">
        <v>0</v>
      </c>
      <c r="N1127" s="14"/>
      <c r="O1127" s="14"/>
      <c r="P1127" s="2">
        <v>1450</v>
      </c>
      <c r="Q1127" s="2">
        <v>1450</v>
      </c>
      <c r="R1127" s="2">
        <v>1102</v>
      </c>
      <c r="S1127">
        <f t="shared" si="80"/>
        <v>1102</v>
      </c>
      <c r="T1127" t="s">
        <v>51</v>
      </c>
      <c r="U1127" s="1">
        <f t="shared" si="83"/>
        <v>29.580000000000002</v>
      </c>
    </row>
    <row r="1128" spans="1:21" hidden="1" x14ac:dyDescent="0.25">
      <c r="A1128" s="2">
        <v>39437</v>
      </c>
      <c r="B1128" s="13" t="s">
        <v>1746</v>
      </c>
      <c r="C1128" s="14" t="s">
        <v>39</v>
      </c>
      <c r="D1128" s="15">
        <v>45321</v>
      </c>
      <c r="E1128" s="2">
        <v>0</v>
      </c>
      <c r="F1128" s="14" t="s">
        <v>1761</v>
      </c>
      <c r="G1128" t="s">
        <v>1762</v>
      </c>
      <c r="H1128" s="14" t="s">
        <v>42</v>
      </c>
      <c r="I1128" s="2">
        <v>1</v>
      </c>
      <c r="J1128" s="2">
        <v>0</v>
      </c>
      <c r="K1128" s="2">
        <v>0</v>
      </c>
      <c r="L1128" s="2"/>
      <c r="M1128" s="2">
        <v>0</v>
      </c>
      <c r="N1128" s="14"/>
      <c r="O1128" s="14"/>
      <c r="P1128" s="2">
        <v>1450</v>
      </c>
      <c r="Q1128" s="2">
        <v>1450</v>
      </c>
      <c r="R1128" s="2">
        <v>1102</v>
      </c>
      <c r="S1128">
        <f t="shared" si="80"/>
        <v>1102</v>
      </c>
      <c r="T1128" t="s">
        <v>51</v>
      </c>
      <c r="U1128" s="1">
        <f t="shared" si="83"/>
        <v>29.580000000000002</v>
      </c>
    </row>
    <row r="1129" spans="1:21" hidden="1" x14ac:dyDescent="0.25">
      <c r="A1129" s="2">
        <v>39437</v>
      </c>
      <c r="B1129" s="13" t="s">
        <v>1746</v>
      </c>
      <c r="C1129" s="14" t="s">
        <v>39</v>
      </c>
      <c r="D1129" s="15">
        <v>45321</v>
      </c>
      <c r="E1129" s="2">
        <v>0</v>
      </c>
      <c r="F1129" s="14" t="s">
        <v>1763</v>
      </c>
      <c r="G1129" t="s">
        <v>1764</v>
      </c>
      <c r="H1129" s="14" t="s">
        <v>42</v>
      </c>
      <c r="I1129" s="2">
        <v>1</v>
      </c>
      <c r="J1129" s="2">
        <v>0</v>
      </c>
      <c r="K1129" s="2">
        <v>0</v>
      </c>
      <c r="L1129" s="2"/>
      <c r="M1129" s="2">
        <v>0</v>
      </c>
      <c r="N1129" s="14"/>
      <c r="O1129" s="14"/>
      <c r="P1129" s="2">
        <v>1450</v>
      </c>
      <c r="Q1129" s="2">
        <v>1450</v>
      </c>
      <c r="R1129" s="2">
        <v>1102</v>
      </c>
      <c r="S1129">
        <f t="shared" si="80"/>
        <v>1102</v>
      </c>
      <c r="T1129" t="s">
        <v>51</v>
      </c>
      <c r="U1129" s="1">
        <f t="shared" si="83"/>
        <v>29.580000000000002</v>
      </c>
    </row>
    <row r="1130" spans="1:21" hidden="1" x14ac:dyDescent="0.25">
      <c r="A1130" s="2">
        <v>39437</v>
      </c>
      <c r="B1130" s="13" t="s">
        <v>1746</v>
      </c>
      <c r="C1130" s="14" t="s">
        <v>39</v>
      </c>
      <c r="D1130" s="15">
        <v>45321</v>
      </c>
      <c r="E1130" s="2">
        <v>0</v>
      </c>
      <c r="F1130" s="14" t="s">
        <v>1759</v>
      </c>
      <c r="G1130" t="s">
        <v>1760</v>
      </c>
      <c r="H1130" s="14" t="s">
        <v>42</v>
      </c>
      <c r="I1130" s="2">
        <v>1</v>
      </c>
      <c r="J1130" s="2">
        <v>0</v>
      </c>
      <c r="K1130" s="2">
        <v>0</v>
      </c>
      <c r="L1130" s="2"/>
      <c r="M1130" s="2">
        <v>0</v>
      </c>
      <c r="N1130" s="14"/>
      <c r="O1130" s="14"/>
      <c r="P1130" s="2">
        <v>1450</v>
      </c>
      <c r="Q1130" s="2">
        <v>1450</v>
      </c>
      <c r="R1130" s="2">
        <v>1102</v>
      </c>
      <c r="S1130">
        <f t="shared" si="80"/>
        <v>1102</v>
      </c>
      <c r="T1130" t="s">
        <v>51</v>
      </c>
      <c r="U1130" s="1">
        <f t="shared" si="83"/>
        <v>29.580000000000002</v>
      </c>
    </row>
    <row r="1131" spans="1:21" hidden="1" x14ac:dyDescent="0.25">
      <c r="A1131" s="2">
        <v>39437</v>
      </c>
      <c r="B1131" s="13" t="s">
        <v>1746</v>
      </c>
      <c r="C1131" s="14" t="s">
        <v>39</v>
      </c>
      <c r="D1131" s="15">
        <v>45321</v>
      </c>
      <c r="E1131" s="2">
        <v>0</v>
      </c>
      <c r="F1131" s="14" t="s">
        <v>1747</v>
      </c>
      <c r="G1131" t="s">
        <v>1748</v>
      </c>
      <c r="H1131" s="14" t="s">
        <v>42</v>
      </c>
      <c r="I1131" s="2">
        <v>1</v>
      </c>
      <c r="J1131" s="2">
        <v>0</v>
      </c>
      <c r="K1131" s="2">
        <v>0</v>
      </c>
      <c r="L1131" s="2"/>
      <c r="M1131" s="2">
        <v>0</v>
      </c>
      <c r="N1131" s="14"/>
      <c r="O1131" s="14"/>
      <c r="P1131" s="2">
        <v>970</v>
      </c>
      <c r="Q1131" s="2">
        <v>970</v>
      </c>
      <c r="R1131" s="2">
        <v>737.2</v>
      </c>
      <c r="S1131">
        <f t="shared" si="80"/>
        <v>737.2</v>
      </c>
      <c r="T1131" t="s">
        <v>51</v>
      </c>
      <c r="U1131" s="1">
        <f t="shared" si="83"/>
        <v>19.787999999999997</v>
      </c>
    </row>
    <row r="1132" spans="1:21" hidden="1" x14ac:dyDescent="0.25">
      <c r="A1132" s="2">
        <v>39437</v>
      </c>
      <c r="B1132" s="13" t="s">
        <v>1746</v>
      </c>
      <c r="C1132" s="14" t="s">
        <v>39</v>
      </c>
      <c r="D1132" s="15">
        <v>45321</v>
      </c>
      <c r="E1132" s="2">
        <v>0</v>
      </c>
      <c r="F1132" s="14" t="s">
        <v>1753</v>
      </c>
      <c r="G1132" t="s">
        <v>1754</v>
      </c>
      <c r="H1132" s="14" t="s">
        <v>42</v>
      </c>
      <c r="I1132" s="2">
        <v>1</v>
      </c>
      <c r="J1132" s="2">
        <v>0</v>
      </c>
      <c r="K1132" s="2">
        <v>0</v>
      </c>
      <c r="L1132" s="2"/>
      <c r="M1132" s="2">
        <v>0</v>
      </c>
      <c r="N1132" s="14"/>
      <c r="O1132" s="14"/>
      <c r="P1132" s="2">
        <v>970</v>
      </c>
      <c r="Q1132" s="2">
        <v>970</v>
      </c>
      <c r="R1132" s="2">
        <v>853.6</v>
      </c>
      <c r="S1132">
        <f t="shared" si="80"/>
        <v>853.6</v>
      </c>
      <c r="T1132" t="s">
        <v>51</v>
      </c>
      <c r="U1132" s="1">
        <f t="shared" si="83"/>
        <v>9.8939999999999984</v>
      </c>
    </row>
    <row r="1133" spans="1:21" hidden="1" x14ac:dyDescent="0.25">
      <c r="A1133" s="2">
        <v>39437</v>
      </c>
      <c r="B1133" s="13" t="s">
        <v>1746</v>
      </c>
      <c r="C1133" s="14" t="s">
        <v>39</v>
      </c>
      <c r="D1133" s="15">
        <v>45321</v>
      </c>
      <c r="E1133" s="2">
        <v>0</v>
      </c>
      <c r="F1133" s="14" t="s">
        <v>1761</v>
      </c>
      <c r="G1133" t="s">
        <v>1762</v>
      </c>
      <c r="H1133" s="14" t="s">
        <v>42</v>
      </c>
      <c r="I1133" s="2">
        <v>1</v>
      </c>
      <c r="J1133" s="2">
        <v>0</v>
      </c>
      <c r="K1133" s="2">
        <v>0</v>
      </c>
      <c r="L1133" s="2"/>
      <c r="M1133" s="2">
        <v>0</v>
      </c>
      <c r="N1133" s="14"/>
      <c r="O1133" s="14"/>
      <c r="P1133" s="2">
        <v>1450</v>
      </c>
      <c r="Q1133" s="2">
        <v>1450</v>
      </c>
      <c r="R1133" s="2">
        <v>1102</v>
      </c>
      <c r="S1133">
        <f t="shared" si="80"/>
        <v>1102</v>
      </c>
      <c r="T1133" t="s">
        <v>51</v>
      </c>
      <c r="U1133" s="1">
        <f t="shared" si="83"/>
        <v>29.580000000000002</v>
      </c>
    </row>
    <row r="1134" spans="1:21" hidden="1" x14ac:dyDescent="0.25">
      <c r="A1134" s="2">
        <v>39437</v>
      </c>
      <c r="B1134" s="13" t="s">
        <v>1746</v>
      </c>
      <c r="C1134" s="14" t="s">
        <v>39</v>
      </c>
      <c r="D1134" s="15">
        <v>45321</v>
      </c>
      <c r="E1134" s="2">
        <v>0</v>
      </c>
      <c r="F1134" s="14" t="s">
        <v>1763</v>
      </c>
      <c r="G1134" t="s">
        <v>1764</v>
      </c>
      <c r="H1134" s="14" t="s">
        <v>42</v>
      </c>
      <c r="I1134" s="2">
        <v>1</v>
      </c>
      <c r="J1134" s="2">
        <v>0</v>
      </c>
      <c r="K1134" s="2">
        <v>0</v>
      </c>
      <c r="L1134" s="2"/>
      <c r="M1134" s="2">
        <v>0</v>
      </c>
      <c r="N1134" s="14"/>
      <c r="O1134" s="14"/>
      <c r="P1134" s="2">
        <v>1450</v>
      </c>
      <c r="Q1134" s="2">
        <v>1450</v>
      </c>
      <c r="R1134" s="2">
        <v>1102</v>
      </c>
      <c r="S1134">
        <f t="shared" si="80"/>
        <v>1102</v>
      </c>
      <c r="T1134" t="s">
        <v>51</v>
      </c>
      <c r="U1134" s="1">
        <f t="shared" si="83"/>
        <v>29.580000000000002</v>
      </c>
    </row>
    <row r="1135" spans="1:21" hidden="1" x14ac:dyDescent="0.25">
      <c r="A1135" s="2">
        <v>39437</v>
      </c>
      <c r="B1135" s="13" t="s">
        <v>1746</v>
      </c>
      <c r="C1135" s="14" t="s">
        <v>39</v>
      </c>
      <c r="D1135" s="15">
        <v>45321</v>
      </c>
      <c r="E1135" s="2">
        <v>0</v>
      </c>
      <c r="F1135" s="14" t="s">
        <v>1751</v>
      </c>
      <c r="G1135" t="s">
        <v>1752</v>
      </c>
      <c r="H1135" s="14" t="s">
        <v>42</v>
      </c>
      <c r="I1135" s="2">
        <v>1</v>
      </c>
      <c r="J1135" s="2">
        <v>0</v>
      </c>
      <c r="K1135" s="2">
        <v>0</v>
      </c>
      <c r="L1135" s="2"/>
      <c r="M1135" s="2">
        <v>0</v>
      </c>
      <c r="N1135" s="14"/>
      <c r="O1135" s="14"/>
      <c r="P1135" s="2">
        <v>289.93</v>
      </c>
      <c r="Q1135" s="2">
        <v>289.93</v>
      </c>
      <c r="R1135" s="2">
        <v>231.94</v>
      </c>
      <c r="S1135">
        <f t="shared" si="80"/>
        <v>231.94</v>
      </c>
      <c r="T1135" t="s">
        <v>51</v>
      </c>
      <c r="U1135" s="1">
        <f t="shared" si="83"/>
        <v>4.9291500000000008</v>
      </c>
    </row>
    <row r="1136" spans="1:21" hidden="1" x14ac:dyDescent="0.25">
      <c r="A1136" s="2">
        <v>39437</v>
      </c>
      <c r="B1136" s="13" t="s">
        <v>1746</v>
      </c>
      <c r="C1136" s="14" t="s">
        <v>39</v>
      </c>
      <c r="D1136" s="15">
        <v>45321</v>
      </c>
      <c r="E1136" s="2">
        <v>0</v>
      </c>
      <c r="F1136" s="14" t="s">
        <v>1765</v>
      </c>
      <c r="G1136" t="s">
        <v>1766</v>
      </c>
      <c r="H1136" s="14" t="s">
        <v>42</v>
      </c>
      <c r="I1136" s="2">
        <v>1</v>
      </c>
      <c r="J1136" s="2">
        <v>0</v>
      </c>
      <c r="K1136" s="2">
        <v>0</v>
      </c>
      <c r="L1136" s="2"/>
      <c r="M1136" s="2">
        <v>0</v>
      </c>
      <c r="N1136" s="14"/>
      <c r="O1136" s="14"/>
      <c r="P1136" s="2">
        <v>2045.34</v>
      </c>
      <c r="Q1136" s="2">
        <v>2045.34</v>
      </c>
      <c r="R1136" s="2">
        <v>1554.46</v>
      </c>
      <c r="S1136">
        <f t="shared" si="80"/>
        <v>1554.46</v>
      </c>
      <c r="T1136" t="s">
        <v>51</v>
      </c>
      <c r="U1136" s="1">
        <f t="shared" si="83"/>
        <v>41.724799999999995</v>
      </c>
    </row>
    <row r="1137" spans="1:21" hidden="1" x14ac:dyDescent="0.25">
      <c r="A1137" s="2">
        <v>39437</v>
      </c>
      <c r="B1137" s="13" t="s">
        <v>1746</v>
      </c>
      <c r="C1137" s="14" t="s">
        <v>39</v>
      </c>
      <c r="D1137" s="15">
        <v>45321</v>
      </c>
      <c r="E1137" s="2">
        <v>0</v>
      </c>
      <c r="F1137" s="14" t="s">
        <v>1755</v>
      </c>
      <c r="G1137" t="s">
        <v>1756</v>
      </c>
      <c r="H1137" s="14" t="s">
        <v>42</v>
      </c>
      <c r="I1137" s="2">
        <v>1</v>
      </c>
      <c r="J1137" s="2">
        <v>0</v>
      </c>
      <c r="K1137" s="2">
        <v>0</v>
      </c>
      <c r="L1137" s="2"/>
      <c r="M1137" s="2">
        <v>0</v>
      </c>
      <c r="N1137" s="14"/>
      <c r="O1137" s="14"/>
      <c r="P1137" s="2">
        <v>677.26</v>
      </c>
      <c r="Q1137" s="2">
        <v>677.26</v>
      </c>
      <c r="R1137" s="2">
        <v>541.80999999999995</v>
      </c>
      <c r="S1137">
        <f t="shared" si="80"/>
        <v>541.80999999999995</v>
      </c>
      <c r="T1137" t="s">
        <v>51</v>
      </c>
      <c r="U1137" s="1">
        <f t="shared" si="83"/>
        <v>11.513250000000005</v>
      </c>
    </row>
    <row r="1138" spans="1:21" hidden="1" x14ac:dyDescent="0.25">
      <c r="A1138" s="2">
        <v>39437</v>
      </c>
      <c r="B1138" s="13" t="s">
        <v>1746</v>
      </c>
      <c r="C1138" s="14" t="s">
        <v>39</v>
      </c>
      <c r="D1138" s="15">
        <v>45321</v>
      </c>
      <c r="E1138" s="2">
        <v>0</v>
      </c>
      <c r="F1138" s="14" t="s">
        <v>1765</v>
      </c>
      <c r="G1138" t="s">
        <v>1766</v>
      </c>
      <c r="H1138" s="14" t="s">
        <v>42</v>
      </c>
      <c r="I1138" s="2">
        <v>1</v>
      </c>
      <c r="J1138" s="2">
        <v>0</v>
      </c>
      <c r="K1138" s="2">
        <v>0</v>
      </c>
      <c r="L1138" s="2"/>
      <c r="M1138" s="2">
        <v>0</v>
      </c>
      <c r="N1138" s="14"/>
      <c r="O1138" s="14"/>
      <c r="P1138" s="2">
        <v>2045.34</v>
      </c>
      <c r="Q1138" s="2">
        <v>2045.34</v>
      </c>
      <c r="R1138" s="2">
        <v>1554.46</v>
      </c>
      <c r="S1138">
        <f t="shared" si="80"/>
        <v>1554.46</v>
      </c>
      <c r="T1138" t="s">
        <v>51</v>
      </c>
      <c r="U1138" s="1">
        <f t="shared" si="83"/>
        <v>41.724799999999995</v>
      </c>
    </row>
    <row r="1139" spans="1:21" hidden="1" x14ac:dyDescent="0.25">
      <c r="A1139" s="2">
        <v>39438</v>
      </c>
      <c r="B1139" s="13" t="s">
        <v>1767</v>
      </c>
      <c r="C1139" s="14" t="s">
        <v>39</v>
      </c>
      <c r="D1139" s="15">
        <v>45321</v>
      </c>
      <c r="E1139" s="2">
        <v>0</v>
      </c>
      <c r="F1139" s="14" t="s">
        <v>1768</v>
      </c>
      <c r="G1139" t="s">
        <v>1769</v>
      </c>
      <c r="H1139" s="14" t="s">
        <v>42</v>
      </c>
      <c r="I1139" s="2">
        <v>1</v>
      </c>
      <c r="J1139" s="2">
        <v>0</v>
      </c>
      <c r="K1139" s="2">
        <v>0</v>
      </c>
      <c r="L1139" s="2"/>
      <c r="M1139" s="2">
        <v>0</v>
      </c>
      <c r="N1139" s="14"/>
      <c r="O1139" s="14"/>
      <c r="P1139" s="2">
        <v>209</v>
      </c>
      <c r="Q1139" s="2">
        <v>209</v>
      </c>
      <c r="R1139" s="2">
        <v>147.6</v>
      </c>
      <c r="S1139">
        <f t="shared" si="80"/>
        <v>147.6</v>
      </c>
      <c r="T1139" t="s">
        <v>107</v>
      </c>
      <c r="U1139" s="1">
        <f t="shared" si="83"/>
        <v>2.4560000000000004</v>
      </c>
    </row>
    <row r="1140" spans="1:21" hidden="1" x14ac:dyDescent="0.25">
      <c r="A1140" s="2">
        <v>39440</v>
      </c>
      <c r="B1140" s="13" t="s">
        <v>1770</v>
      </c>
      <c r="C1140" s="14" t="s">
        <v>39</v>
      </c>
      <c r="D1140" s="15">
        <v>45320</v>
      </c>
      <c r="E1140" s="2">
        <v>0</v>
      </c>
      <c r="F1140" s="14" t="s">
        <v>1771</v>
      </c>
      <c r="G1140" t="s">
        <v>1772</v>
      </c>
      <c r="H1140" s="14" t="s">
        <v>42</v>
      </c>
      <c r="I1140" s="2">
        <v>14</v>
      </c>
      <c r="J1140" s="2">
        <v>0</v>
      </c>
      <c r="K1140" s="2">
        <v>0</v>
      </c>
      <c r="L1140" s="2"/>
      <c r="M1140" s="2">
        <v>0</v>
      </c>
      <c r="N1140" s="14"/>
      <c r="O1140" s="14"/>
      <c r="P1140" s="2">
        <v>3.79</v>
      </c>
      <c r="Q1140" s="2">
        <v>53.06</v>
      </c>
      <c r="R1140" s="2">
        <v>2.65</v>
      </c>
      <c r="S1140">
        <f t="shared" si="80"/>
        <v>37.1</v>
      </c>
      <c r="T1140" t="s">
        <v>132</v>
      </c>
      <c r="U1140" s="1">
        <f t="shared" si="83"/>
        <v>1.2768000000000002</v>
      </c>
    </row>
    <row r="1141" spans="1:21" hidden="1" x14ac:dyDescent="0.25">
      <c r="A1141" s="2">
        <v>39440</v>
      </c>
      <c r="B1141" s="13" t="s">
        <v>1770</v>
      </c>
      <c r="C1141" s="14" t="s">
        <v>39</v>
      </c>
      <c r="D1141" s="15">
        <v>45320</v>
      </c>
      <c r="E1141" s="2">
        <v>0</v>
      </c>
      <c r="F1141" s="14" t="s">
        <v>1773</v>
      </c>
      <c r="G1141" t="s">
        <v>1774</v>
      </c>
      <c r="H1141" s="14" t="s">
        <v>42</v>
      </c>
      <c r="I1141" s="2">
        <v>3</v>
      </c>
      <c r="J1141" s="2">
        <v>0</v>
      </c>
      <c r="K1141" s="2">
        <v>0</v>
      </c>
      <c r="L1141" s="2"/>
      <c r="M1141" s="2">
        <v>0</v>
      </c>
      <c r="N1141" s="14"/>
      <c r="O1141" s="14"/>
      <c r="P1141" s="2">
        <v>5.71</v>
      </c>
      <c r="Q1141" s="2">
        <v>17.13</v>
      </c>
      <c r="R1141" s="2">
        <v>4</v>
      </c>
      <c r="S1141">
        <f t="shared" si="80"/>
        <v>12</v>
      </c>
      <c r="T1141" t="s">
        <v>132</v>
      </c>
      <c r="U1141" s="1">
        <f t="shared" si="83"/>
        <v>0.41039999999999993</v>
      </c>
    </row>
    <row r="1142" spans="1:21" hidden="1" x14ac:dyDescent="0.25">
      <c r="A1142" s="2">
        <v>39440</v>
      </c>
      <c r="B1142" s="13" t="s">
        <v>1770</v>
      </c>
      <c r="C1142" s="14" t="s">
        <v>39</v>
      </c>
      <c r="D1142" s="15">
        <v>45320</v>
      </c>
      <c r="E1142" s="2">
        <v>0</v>
      </c>
      <c r="F1142" s="14" t="s">
        <v>1775</v>
      </c>
      <c r="G1142" t="s">
        <v>1776</v>
      </c>
      <c r="H1142" s="14" t="s">
        <v>42</v>
      </c>
      <c r="I1142" s="2">
        <v>2</v>
      </c>
      <c r="J1142" s="2">
        <v>0</v>
      </c>
      <c r="K1142" s="2">
        <v>0</v>
      </c>
      <c r="L1142" s="2"/>
      <c r="M1142" s="2">
        <v>0</v>
      </c>
      <c r="N1142" s="14"/>
      <c r="O1142" s="14"/>
      <c r="P1142" s="2">
        <v>4.6399999999999997</v>
      </c>
      <c r="Q1142" s="2">
        <v>9.2799999999999994</v>
      </c>
      <c r="R1142" s="2">
        <v>3.25</v>
      </c>
      <c r="S1142">
        <f t="shared" si="80"/>
        <v>6.5</v>
      </c>
      <c r="T1142" t="s">
        <v>132</v>
      </c>
      <c r="U1142" s="1">
        <f t="shared" si="83"/>
        <v>0.22239999999999996</v>
      </c>
    </row>
    <row r="1143" spans="1:21" x14ac:dyDescent="0.25">
      <c r="A1143" s="2">
        <v>39445</v>
      </c>
      <c r="B1143" s="13" t="s">
        <v>1777</v>
      </c>
      <c r="C1143" s="14" t="s">
        <v>39</v>
      </c>
      <c r="D1143" s="15">
        <v>45321</v>
      </c>
      <c r="E1143" s="2">
        <v>0</v>
      </c>
      <c r="F1143" s="14" t="s">
        <v>657</v>
      </c>
      <c r="G1143" t="s">
        <v>657</v>
      </c>
      <c r="H1143" s="14" t="s">
        <v>93</v>
      </c>
      <c r="I1143" s="2">
        <v>1</v>
      </c>
      <c r="J1143" s="2">
        <v>0</v>
      </c>
      <c r="K1143" s="2">
        <v>0</v>
      </c>
      <c r="L1143" s="2"/>
      <c r="M1143" s="2">
        <v>0</v>
      </c>
      <c r="N1143" s="14"/>
      <c r="O1143" s="14"/>
      <c r="P1143" s="2">
        <v>135</v>
      </c>
      <c r="Q1143" s="2">
        <v>135</v>
      </c>
      <c r="R1143" s="2">
        <v>0</v>
      </c>
      <c r="S1143">
        <f t="shared" si="80"/>
        <v>0</v>
      </c>
      <c r="T1143" t="s">
        <v>1874</v>
      </c>
      <c r="U1143">
        <f>_xlfn.XLOOKUP(T1143,$Y$2:$Y$45,$AB$2:$AB$45)*(Q1143)</f>
        <v>5.4</v>
      </c>
    </row>
    <row r="1144" spans="1:21" hidden="1" x14ac:dyDescent="0.25">
      <c r="A1144" s="2">
        <v>39445</v>
      </c>
      <c r="B1144" s="13" t="s">
        <v>1777</v>
      </c>
      <c r="C1144" s="14" t="s">
        <v>39</v>
      </c>
      <c r="D1144" s="15">
        <v>45321</v>
      </c>
      <c r="E1144" s="2">
        <v>0</v>
      </c>
      <c r="F1144" s="14" t="s">
        <v>1442</v>
      </c>
      <c r="G1144" t="s">
        <v>1443</v>
      </c>
      <c r="H1144" s="14" t="s">
        <v>42</v>
      </c>
      <c r="I1144" s="2">
        <v>1</v>
      </c>
      <c r="J1144" s="2">
        <v>0</v>
      </c>
      <c r="K1144" s="2">
        <v>0</v>
      </c>
      <c r="L1144" s="2"/>
      <c r="M1144" s="2">
        <v>0</v>
      </c>
      <c r="N1144" s="14"/>
      <c r="O1144" s="14"/>
      <c r="P1144" s="2">
        <v>968.36</v>
      </c>
      <c r="Q1144" s="2">
        <v>968.36</v>
      </c>
      <c r="R1144" s="2">
        <v>842.05</v>
      </c>
      <c r="S1144">
        <f t="shared" si="80"/>
        <v>842.05</v>
      </c>
      <c r="T1144" t="s">
        <v>1874</v>
      </c>
      <c r="U1144" s="1">
        <f>_xlfn.XLOOKUP(T1144,$Y$2:$Y$45,$AA$2:$AA$45)*(Q1144-S1144)</f>
        <v>10.104800000000004</v>
      </c>
    </row>
    <row r="1145" spans="1:21" x14ac:dyDescent="0.25">
      <c r="A1145" s="2">
        <v>39445</v>
      </c>
      <c r="B1145" s="13" t="s">
        <v>1777</v>
      </c>
      <c r="C1145" s="14" t="s">
        <v>39</v>
      </c>
      <c r="D1145" s="15">
        <v>45321</v>
      </c>
      <c r="E1145" s="2">
        <v>0</v>
      </c>
      <c r="F1145" s="14" t="s">
        <v>660</v>
      </c>
      <c r="G1145" t="s">
        <v>661</v>
      </c>
      <c r="H1145" s="14" t="s">
        <v>93</v>
      </c>
      <c r="I1145" s="2">
        <v>1</v>
      </c>
      <c r="J1145" s="2">
        <v>0</v>
      </c>
      <c r="K1145" s="2">
        <v>0</v>
      </c>
      <c r="L1145" s="2"/>
      <c r="M1145" s="2">
        <v>0</v>
      </c>
      <c r="N1145" s="14"/>
      <c r="O1145" s="14"/>
      <c r="P1145" s="2">
        <v>295</v>
      </c>
      <c r="Q1145" s="2">
        <v>295</v>
      </c>
      <c r="R1145" s="2">
        <v>0</v>
      </c>
      <c r="S1145">
        <f t="shared" si="80"/>
        <v>0</v>
      </c>
      <c r="T1145" t="s">
        <v>1874</v>
      </c>
      <c r="U1145">
        <f>_xlfn.XLOOKUP(T1145,$Y$2:$Y$45,$AB$2:$AB$45)*(Q1145)</f>
        <v>11.8</v>
      </c>
    </row>
    <row r="1146" spans="1:21" hidden="1" x14ac:dyDescent="0.25">
      <c r="A1146" s="2">
        <v>39447</v>
      </c>
      <c r="B1146" s="13" t="s">
        <v>1778</v>
      </c>
      <c r="C1146" s="14" t="s">
        <v>39</v>
      </c>
      <c r="D1146" s="15">
        <v>45322</v>
      </c>
      <c r="E1146" s="2">
        <v>0</v>
      </c>
      <c r="F1146" s="14" t="s">
        <v>1779</v>
      </c>
      <c r="G1146" t="s">
        <v>1780</v>
      </c>
      <c r="H1146" s="14" t="s">
        <v>42</v>
      </c>
      <c r="I1146" s="2">
        <v>1</v>
      </c>
      <c r="J1146" s="2">
        <v>0</v>
      </c>
      <c r="K1146" s="2">
        <v>0</v>
      </c>
      <c r="L1146" s="2"/>
      <c r="M1146" s="2">
        <v>0</v>
      </c>
      <c r="N1146" s="14"/>
      <c r="O1146" s="14"/>
      <c r="P1146" s="2">
        <v>143.6</v>
      </c>
      <c r="Q1146" s="2">
        <v>143.6</v>
      </c>
      <c r="R1146" s="2">
        <v>117.75</v>
      </c>
      <c r="S1146">
        <f t="shared" si="80"/>
        <v>117.75</v>
      </c>
      <c r="T1146" t="s">
        <v>47</v>
      </c>
      <c r="U1146" s="1">
        <f t="shared" ref="U1146:U1156" si="84">_xlfn.XLOOKUP(T1146,$Y$2:$Y$45,$AA$2:$AA$45)*(Q1146-S1146)</f>
        <v>2.1972499999999995</v>
      </c>
    </row>
    <row r="1147" spans="1:21" hidden="1" x14ac:dyDescent="0.25">
      <c r="A1147" s="2">
        <v>39449</v>
      </c>
      <c r="B1147" s="13" t="s">
        <v>1781</v>
      </c>
      <c r="C1147" s="14" t="s">
        <v>39</v>
      </c>
      <c r="D1147" s="15">
        <v>45320</v>
      </c>
      <c r="E1147" s="2">
        <v>0</v>
      </c>
      <c r="F1147" s="14" t="s">
        <v>1073</v>
      </c>
      <c r="G1147" t="s">
        <v>1074</v>
      </c>
      <c r="H1147" s="14" t="s">
        <v>42</v>
      </c>
      <c r="I1147" s="2">
        <v>2</v>
      </c>
      <c r="J1147" s="2">
        <v>0</v>
      </c>
      <c r="K1147" s="2">
        <v>0</v>
      </c>
      <c r="L1147" s="2"/>
      <c r="M1147" s="2">
        <v>0</v>
      </c>
      <c r="N1147" s="14"/>
      <c r="O1147" s="14"/>
      <c r="P1147" s="2">
        <v>44</v>
      </c>
      <c r="Q1147" s="2">
        <v>88</v>
      </c>
      <c r="R1147" s="2">
        <v>34.99</v>
      </c>
      <c r="S1147">
        <f t="shared" si="80"/>
        <v>69.98</v>
      </c>
      <c r="T1147" t="s">
        <v>61</v>
      </c>
      <c r="U1147" s="1">
        <f t="shared" si="84"/>
        <v>0</v>
      </c>
    </row>
    <row r="1148" spans="1:21" hidden="1" x14ac:dyDescent="0.25">
      <c r="A1148" s="2">
        <v>39449</v>
      </c>
      <c r="B1148" s="13" t="s">
        <v>1781</v>
      </c>
      <c r="C1148" s="14" t="s">
        <v>39</v>
      </c>
      <c r="D1148" s="15">
        <v>45320</v>
      </c>
      <c r="E1148" s="2">
        <v>0</v>
      </c>
      <c r="F1148" s="14" t="s">
        <v>1077</v>
      </c>
      <c r="G1148" t="s">
        <v>1078</v>
      </c>
      <c r="H1148" s="14" t="s">
        <v>42</v>
      </c>
      <c r="I1148" s="2">
        <v>2</v>
      </c>
      <c r="J1148" s="2">
        <v>0</v>
      </c>
      <c r="K1148" s="2">
        <v>0</v>
      </c>
      <c r="L1148" s="2"/>
      <c r="M1148" s="2">
        <v>0</v>
      </c>
      <c r="N1148" s="14"/>
      <c r="O1148" s="14"/>
      <c r="P1148" s="2">
        <v>339</v>
      </c>
      <c r="Q1148" s="2">
        <v>678</v>
      </c>
      <c r="R1148" s="2">
        <v>267.29000000000002</v>
      </c>
      <c r="S1148">
        <f t="shared" si="80"/>
        <v>534.58000000000004</v>
      </c>
      <c r="T1148" t="s">
        <v>61</v>
      </c>
      <c r="U1148" s="1">
        <f t="shared" si="84"/>
        <v>0</v>
      </c>
    </row>
    <row r="1149" spans="1:21" hidden="1" x14ac:dyDescent="0.25">
      <c r="A1149" s="2">
        <v>39449</v>
      </c>
      <c r="B1149" s="13" t="s">
        <v>1781</v>
      </c>
      <c r="C1149" s="14" t="s">
        <v>39</v>
      </c>
      <c r="D1149" s="15">
        <v>45320</v>
      </c>
      <c r="E1149" s="2">
        <v>0</v>
      </c>
      <c r="F1149" s="14" t="s">
        <v>1081</v>
      </c>
      <c r="G1149" t="s">
        <v>1082</v>
      </c>
      <c r="H1149" s="14" t="s">
        <v>42</v>
      </c>
      <c r="I1149" s="2">
        <v>2</v>
      </c>
      <c r="J1149" s="2">
        <v>0</v>
      </c>
      <c r="K1149" s="2">
        <v>0</v>
      </c>
      <c r="L1149" s="2"/>
      <c r="M1149" s="2">
        <v>0</v>
      </c>
      <c r="N1149" s="14"/>
      <c r="O1149" s="14"/>
      <c r="P1149" s="2">
        <v>4823</v>
      </c>
      <c r="Q1149" s="2">
        <v>9646</v>
      </c>
      <c r="R1149" s="2">
        <v>4002.43</v>
      </c>
      <c r="S1149">
        <f t="shared" si="80"/>
        <v>8004.86</v>
      </c>
      <c r="T1149" t="s">
        <v>61</v>
      </c>
      <c r="U1149" s="1">
        <f t="shared" si="84"/>
        <v>0</v>
      </c>
    </row>
    <row r="1150" spans="1:21" hidden="1" x14ac:dyDescent="0.25">
      <c r="A1150" s="2">
        <v>39449</v>
      </c>
      <c r="B1150" s="13" t="s">
        <v>1781</v>
      </c>
      <c r="C1150" s="14" t="s">
        <v>39</v>
      </c>
      <c r="D1150" s="15">
        <v>45320</v>
      </c>
      <c r="E1150" s="2">
        <v>0</v>
      </c>
      <c r="F1150" s="14" t="s">
        <v>1071</v>
      </c>
      <c r="G1150" t="s">
        <v>1072</v>
      </c>
      <c r="H1150" s="14" t="s">
        <v>42</v>
      </c>
      <c r="I1150" s="2">
        <v>2</v>
      </c>
      <c r="J1150" s="2">
        <v>0</v>
      </c>
      <c r="K1150" s="2">
        <v>0</v>
      </c>
      <c r="L1150" s="2"/>
      <c r="M1150" s="2">
        <v>0</v>
      </c>
      <c r="N1150" s="14"/>
      <c r="O1150" s="14"/>
      <c r="P1150" s="2">
        <v>40</v>
      </c>
      <c r="Q1150" s="2">
        <v>80</v>
      </c>
      <c r="R1150" s="2">
        <v>31.89</v>
      </c>
      <c r="S1150">
        <f t="shared" si="80"/>
        <v>63.78</v>
      </c>
      <c r="T1150" t="s">
        <v>61</v>
      </c>
      <c r="U1150" s="1">
        <f t="shared" si="84"/>
        <v>0</v>
      </c>
    </row>
    <row r="1151" spans="1:21" hidden="1" x14ac:dyDescent="0.25">
      <c r="A1151" s="2">
        <v>39449</v>
      </c>
      <c r="B1151" s="13" t="s">
        <v>1781</v>
      </c>
      <c r="C1151" s="14" t="s">
        <v>39</v>
      </c>
      <c r="D1151" s="15">
        <v>45320</v>
      </c>
      <c r="E1151" s="2">
        <v>0</v>
      </c>
      <c r="F1151" s="14" t="s">
        <v>1075</v>
      </c>
      <c r="G1151" t="s">
        <v>1076</v>
      </c>
      <c r="H1151" s="14" t="s">
        <v>42</v>
      </c>
      <c r="I1151" s="2">
        <v>2</v>
      </c>
      <c r="J1151" s="2">
        <v>0</v>
      </c>
      <c r="K1151" s="2">
        <v>0</v>
      </c>
      <c r="L1151" s="2"/>
      <c r="M1151" s="2">
        <v>0</v>
      </c>
      <c r="N1151" s="14"/>
      <c r="O1151" s="14"/>
      <c r="P1151" s="2">
        <v>17</v>
      </c>
      <c r="Q1151" s="2">
        <v>34</v>
      </c>
      <c r="R1151" s="2">
        <v>10.24</v>
      </c>
      <c r="S1151">
        <f t="shared" si="80"/>
        <v>20.48</v>
      </c>
      <c r="T1151" t="s">
        <v>61</v>
      </c>
      <c r="U1151" s="1">
        <f t="shared" si="84"/>
        <v>0</v>
      </c>
    </row>
    <row r="1152" spans="1:21" hidden="1" x14ac:dyDescent="0.25">
      <c r="A1152" s="2">
        <v>39449</v>
      </c>
      <c r="B1152" s="13" t="s">
        <v>1781</v>
      </c>
      <c r="C1152" s="14" t="s">
        <v>39</v>
      </c>
      <c r="D1152" s="15">
        <v>45320</v>
      </c>
      <c r="E1152" s="2">
        <v>0</v>
      </c>
      <c r="F1152" s="14" t="s">
        <v>1177</v>
      </c>
      <c r="G1152" t="s">
        <v>1178</v>
      </c>
      <c r="H1152" s="14" t="s">
        <v>42</v>
      </c>
      <c r="I1152" s="2">
        <v>4</v>
      </c>
      <c r="J1152" s="2">
        <v>0</v>
      </c>
      <c r="K1152" s="2">
        <v>0</v>
      </c>
      <c r="L1152" s="2"/>
      <c r="M1152" s="2">
        <v>0</v>
      </c>
      <c r="N1152" s="14"/>
      <c r="O1152" s="14"/>
      <c r="P1152" s="2">
        <v>189</v>
      </c>
      <c r="Q1152" s="2">
        <v>756</v>
      </c>
      <c r="R1152" s="2">
        <v>107.74</v>
      </c>
      <c r="S1152">
        <f t="shared" si="80"/>
        <v>430.96</v>
      </c>
      <c r="T1152" t="s">
        <v>61</v>
      </c>
      <c r="U1152" s="1">
        <f t="shared" si="84"/>
        <v>0</v>
      </c>
    </row>
    <row r="1153" spans="1:21" hidden="1" x14ac:dyDescent="0.25">
      <c r="A1153" s="2">
        <v>39449</v>
      </c>
      <c r="B1153" s="13" t="s">
        <v>1781</v>
      </c>
      <c r="C1153" s="14" t="s">
        <v>39</v>
      </c>
      <c r="D1153" s="15">
        <v>45320</v>
      </c>
      <c r="E1153" s="2">
        <v>0</v>
      </c>
      <c r="F1153" s="14" t="s">
        <v>1079</v>
      </c>
      <c r="G1153" t="s">
        <v>1080</v>
      </c>
      <c r="H1153" s="14" t="s">
        <v>42</v>
      </c>
      <c r="I1153" s="2">
        <v>2</v>
      </c>
      <c r="J1153" s="2">
        <v>0</v>
      </c>
      <c r="K1153" s="2">
        <v>0</v>
      </c>
      <c r="L1153" s="2"/>
      <c r="M1153" s="2">
        <v>0</v>
      </c>
      <c r="N1153" s="14"/>
      <c r="O1153" s="14"/>
      <c r="P1153" s="2">
        <v>309</v>
      </c>
      <c r="Q1153" s="2">
        <v>618</v>
      </c>
      <c r="R1153" s="2">
        <v>189.95</v>
      </c>
      <c r="S1153">
        <f t="shared" si="80"/>
        <v>379.9</v>
      </c>
      <c r="T1153" t="s">
        <v>61</v>
      </c>
      <c r="U1153" s="1">
        <f t="shared" si="84"/>
        <v>0</v>
      </c>
    </row>
    <row r="1154" spans="1:21" hidden="1" x14ac:dyDescent="0.25">
      <c r="A1154" s="2">
        <v>39453</v>
      </c>
      <c r="B1154" s="13" t="s">
        <v>1782</v>
      </c>
      <c r="C1154" s="14" t="s">
        <v>39</v>
      </c>
      <c r="D1154" s="15">
        <v>45322</v>
      </c>
      <c r="E1154" s="2">
        <v>0</v>
      </c>
      <c r="F1154" s="14" t="s">
        <v>1783</v>
      </c>
      <c r="G1154" t="s">
        <v>1784</v>
      </c>
      <c r="H1154" s="14" t="s">
        <v>42</v>
      </c>
      <c r="I1154" s="2">
        <v>1</v>
      </c>
      <c r="J1154" s="2">
        <v>0</v>
      </c>
      <c r="K1154" s="2">
        <v>0</v>
      </c>
      <c r="L1154" s="2"/>
      <c r="M1154" s="2">
        <v>0</v>
      </c>
      <c r="N1154" s="14"/>
      <c r="O1154" s="14"/>
      <c r="P1154" s="2">
        <v>169</v>
      </c>
      <c r="Q1154" s="2">
        <v>169</v>
      </c>
      <c r="R1154" s="2">
        <v>138.53</v>
      </c>
      <c r="S1154">
        <f t="shared" ref="S1154:S1185" si="85">R1154*I1154</f>
        <v>138.53</v>
      </c>
      <c r="T1154" t="s">
        <v>1874</v>
      </c>
      <c r="U1154" s="1">
        <f t="shared" si="84"/>
        <v>2.4375999999999998</v>
      </c>
    </row>
    <row r="1155" spans="1:21" hidden="1" x14ac:dyDescent="0.25">
      <c r="A1155" s="2">
        <v>39460</v>
      </c>
      <c r="B1155" s="13" t="s">
        <v>1785</v>
      </c>
      <c r="C1155" s="14" t="s">
        <v>39</v>
      </c>
      <c r="D1155" s="15">
        <v>45322</v>
      </c>
      <c r="E1155" s="2">
        <v>0</v>
      </c>
      <c r="F1155" s="14" t="s">
        <v>1786</v>
      </c>
      <c r="G1155" t="s">
        <v>1787</v>
      </c>
      <c r="H1155" s="14" t="s">
        <v>42</v>
      </c>
      <c r="I1155" s="2">
        <v>400</v>
      </c>
      <c r="J1155" s="2">
        <v>0</v>
      </c>
      <c r="K1155" s="2">
        <v>0</v>
      </c>
      <c r="L1155" s="2"/>
      <c r="M1155" s="2">
        <v>0</v>
      </c>
      <c r="N1155" s="14"/>
      <c r="O1155" s="14"/>
      <c r="P1155" s="2">
        <v>21.6</v>
      </c>
      <c r="Q1155" s="2">
        <v>8640</v>
      </c>
      <c r="R1155" s="2">
        <v>19.010000000000002</v>
      </c>
      <c r="S1155">
        <f t="shared" si="85"/>
        <v>7604.0000000000009</v>
      </c>
      <c r="T1155" t="s">
        <v>70</v>
      </c>
      <c r="U1155" s="1">
        <f t="shared" si="84"/>
        <v>0</v>
      </c>
    </row>
    <row r="1156" spans="1:21" hidden="1" x14ac:dyDescent="0.25">
      <c r="A1156" s="2">
        <v>39463</v>
      </c>
      <c r="B1156" s="13" t="s">
        <v>1788</v>
      </c>
      <c r="C1156" s="14" t="s">
        <v>39</v>
      </c>
      <c r="D1156" s="15">
        <v>45322</v>
      </c>
      <c r="E1156" s="2">
        <v>0</v>
      </c>
      <c r="F1156" s="14" t="s">
        <v>1789</v>
      </c>
      <c r="G1156" t="s">
        <v>1790</v>
      </c>
      <c r="H1156" s="14" t="s">
        <v>42</v>
      </c>
      <c r="I1156" s="2">
        <v>1</v>
      </c>
      <c r="J1156" s="2">
        <v>0</v>
      </c>
      <c r="K1156" s="2">
        <v>0</v>
      </c>
      <c r="L1156" s="2"/>
      <c r="M1156" s="2">
        <v>0</v>
      </c>
      <c r="N1156" s="14"/>
      <c r="O1156" s="14"/>
      <c r="P1156" s="2">
        <v>199</v>
      </c>
      <c r="Q1156" s="2">
        <v>199</v>
      </c>
      <c r="R1156" s="2">
        <v>162.18</v>
      </c>
      <c r="S1156">
        <f t="shared" si="85"/>
        <v>162.18</v>
      </c>
      <c r="T1156" t="s">
        <v>107</v>
      </c>
      <c r="U1156" s="1">
        <f t="shared" si="84"/>
        <v>1.4727999999999997</v>
      </c>
    </row>
    <row r="1157" spans="1:21" x14ac:dyDescent="0.25">
      <c r="A1157" s="2">
        <v>39464</v>
      </c>
      <c r="B1157" s="13" t="s">
        <v>1791</v>
      </c>
      <c r="C1157" s="14" t="s">
        <v>39</v>
      </c>
      <c r="D1157" s="15">
        <v>45322</v>
      </c>
      <c r="E1157" s="2">
        <v>0</v>
      </c>
      <c r="F1157" s="14" t="s">
        <v>1792</v>
      </c>
      <c r="G1157" t="s">
        <v>1793</v>
      </c>
      <c r="H1157" s="14" t="s">
        <v>93</v>
      </c>
      <c r="I1157" s="2">
        <v>5</v>
      </c>
      <c r="J1157" s="2">
        <v>0</v>
      </c>
      <c r="K1157" s="2">
        <v>0</v>
      </c>
      <c r="L1157" s="2"/>
      <c r="M1157" s="2">
        <v>0</v>
      </c>
      <c r="N1157" s="14"/>
      <c r="O1157" s="14"/>
      <c r="P1157" s="2">
        <v>165</v>
      </c>
      <c r="Q1157" s="2">
        <v>825</v>
      </c>
      <c r="R1157" s="2">
        <v>40</v>
      </c>
      <c r="S1157">
        <f t="shared" si="85"/>
        <v>200</v>
      </c>
      <c r="T1157" t="s">
        <v>70</v>
      </c>
      <c r="U1157">
        <f>_xlfn.XLOOKUP(T1157,$Y$2:$Y$45,$AB$2:$AB$45)*(Q1157)</f>
        <v>0</v>
      </c>
    </row>
    <row r="1158" spans="1:21" hidden="1" x14ac:dyDescent="0.25">
      <c r="A1158" s="2">
        <v>39464</v>
      </c>
      <c r="B1158" s="13" t="s">
        <v>1791</v>
      </c>
      <c r="C1158" s="14" t="s">
        <v>39</v>
      </c>
      <c r="D1158" s="15">
        <v>45322</v>
      </c>
      <c r="E1158" s="2">
        <v>0</v>
      </c>
      <c r="F1158" s="14" t="s">
        <v>1794</v>
      </c>
      <c r="G1158" t="s">
        <v>1795</v>
      </c>
      <c r="H1158" s="14" t="s">
        <v>933</v>
      </c>
      <c r="I1158" s="2">
        <v>1</v>
      </c>
      <c r="J1158" s="2">
        <v>0</v>
      </c>
      <c r="K1158" s="2">
        <v>0</v>
      </c>
      <c r="L1158" s="2"/>
      <c r="M1158" s="2">
        <v>0</v>
      </c>
      <c r="N1158" s="14"/>
      <c r="O1158" s="14"/>
      <c r="P1158" s="2">
        <v>14.03</v>
      </c>
      <c r="Q1158" s="2">
        <v>14.03</v>
      </c>
      <c r="R1158" s="2">
        <v>11.37</v>
      </c>
      <c r="S1158">
        <f t="shared" si="85"/>
        <v>11.37</v>
      </c>
      <c r="T1158" t="s">
        <v>70</v>
      </c>
      <c r="U1158">
        <f>_xlfn.XLOOKUP(T1158,$Y$2:$Y$45,$AB$2:$AB$45)*(Q1158)</f>
        <v>0</v>
      </c>
    </row>
    <row r="1159" spans="1:21" hidden="1" x14ac:dyDescent="0.25">
      <c r="A1159" s="2">
        <v>39464</v>
      </c>
      <c r="B1159" s="13" t="s">
        <v>1791</v>
      </c>
      <c r="C1159" s="14" t="s">
        <v>39</v>
      </c>
      <c r="D1159" s="15">
        <v>45322</v>
      </c>
      <c r="E1159" s="2">
        <v>0</v>
      </c>
      <c r="F1159" s="14" t="s">
        <v>1796</v>
      </c>
      <c r="G1159" t="s">
        <v>1797</v>
      </c>
      <c r="H1159" s="14" t="s">
        <v>42</v>
      </c>
      <c r="I1159" s="2">
        <v>1</v>
      </c>
      <c r="J1159" s="2">
        <v>0</v>
      </c>
      <c r="K1159" s="2">
        <v>0</v>
      </c>
      <c r="L1159" s="2"/>
      <c r="M1159" s="2">
        <v>0</v>
      </c>
      <c r="N1159" s="14"/>
      <c r="O1159" s="14"/>
      <c r="P1159" s="2">
        <v>890</v>
      </c>
      <c r="Q1159" s="2">
        <v>890</v>
      </c>
      <c r="R1159" s="2">
        <v>736.81</v>
      </c>
      <c r="S1159">
        <f t="shared" si="85"/>
        <v>736.81</v>
      </c>
      <c r="T1159" t="s">
        <v>70</v>
      </c>
      <c r="U1159" s="1">
        <f>_xlfn.XLOOKUP(T1159,$Y$2:$Y$45,$AA$2:$AA$45)*(Q1159-S1159)</f>
        <v>0</v>
      </c>
    </row>
    <row r="1160" spans="1:21" hidden="1" x14ac:dyDescent="0.25">
      <c r="A1160" s="2">
        <v>39464</v>
      </c>
      <c r="B1160" s="13" t="s">
        <v>1791</v>
      </c>
      <c r="C1160" s="14" t="s">
        <v>39</v>
      </c>
      <c r="D1160" s="15">
        <v>45322</v>
      </c>
      <c r="E1160" s="2">
        <v>0</v>
      </c>
      <c r="F1160" s="14" t="s">
        <v>1798</v>
      </c>
      <c r="G1160" t="s">
        <v>1799</v>
      </c>
      <c r="H1160" s="14" t="s">
        <v>933</v>
      </c>
      <c r="I1160" s="2">
        <v>1</v>
      </c>
      <c r="J1160" s="2">
        <v>0</v>
      </c>
      <c r="K1160" s="2">
        <v>0</v>
      </c>
      <c r="L1160" s="2"/>
      <c r="M1160" s="2">
        <v>0</v>
      </c>
      <c r="N1160" s="14"/>
      <c r="O1160" s="14"/>
      <c r="P1160" s="2">
        <v>5.61</v>
      </c>
      <c r="Q1160" s="2">
        <v>5.61</v>
      </c>
      <c r="R1160" s="2">
        <v>4.54</v>
      </c>
      <c r="S1160">
        <f t="shared" si="85"/>
        <v>4.54</v>
      </c>
      <c r="T1160" t="s">
        <v>70</v>
      </c>
      <c r="U1160">
        <f>_xlfn.XLOOKUP(T1160,$Y$2:$Y$45,$AB$2:$AB$45)*(Q1160)</f>
        <v>0</v>
      </c>
    </row>
    <row r="1161" spans="1:21" hidden="1" x14ac:dyDescent="0.25">
      <c r="A1161" s="2">
        <v>39464</v>
      </c>
      <c r="B1161" s="13" t="s">
        <v>1791</v>
      </c>
      <c r="C1161" s="14" t="s">
        <v>39</v>
      </c>
      <c r="D1161" s="15">
        <v>45322</v>
      </c>
      <c r="E1161" s="2">
        <v>0</v>
      </c>
      <c r="F1161" s="14" t="s">
        <v>1800</v>
      </c>
      <c r="G1161" t="s">
        <v>1801</v>
      </c>
      <c r="H1161" s="14" t="s">
        <v>933</v>
      </c>
      <c r="I1161" s="2">
        <v>1</v>
      </c>
      <c r="J1161" s="2">
        <v>0</v>
      </c>
      <c r="K1161" s="2">
        <v>0</v>
      </c>
      <c r="L1161" s="2"/>
      <c r="M1161" s="2">
        <v>0</v>
      </c>
      <c r="N1161" s="14"/>
      <c r="O1161" s="14"/>
      <c r="P1161" s="2">
        <v>1.87</v>
      </c>
      <c r="Q1161" s="2">
        <v>1.87</v>
      </c>
      <c r="R1161" s="2">
        <v>1.52</v>
      </c>
      <c r="S1161">
        <f t="shared" si="85"/>
        <v>1.52</v>
      </c>
      <c r="T1161" t="s">
        <v>70</v>
      </c>
      <c r="U1161">
        <f>_xlfn.XLOOKUP(T1161,$Y$2:$Y$45,$AB$2:$AB$45)*(Q1161)</f>
        <v>0</v>
      </c>
    </row>
    <row r="1162" spans="1:21" hidden="1" x14ac:dyDescent="0.25">
      <c r="A1162" s="2">
        <v>39464</v>
      </c>
      <c r="B1162" s="13" t="s">
        <v>1791</v>
      </c>
      <c r="C1162" s="14" t="s">
        <v>39</v>
      </c>
      <c r="D1162" s="15">
        <v>45322</v>
      </c>
      <c r="E1162" s="2">
        <v>0</v>
      </c>
      <c r="F1162" s="14" t="s">
        <v>1802</v>
      </c>
      <c r="G1162" t="s">
        <v>1803</v>
      </c>
      <c r="H1162" s="14" t="s">
        <v>42</v>
      </c>
      <c r="I1162" s="2">
        <v>1</v>
      </c>
      <c r="J1162" s="2">
        <v>0</v>
      </c>
      <c r="K1162" s="2">
        <v>0</v>
      </c>
      <c r="L1162" s="2"/>
      <c r="M1162" s="2">
        <v>0</v>
      </c>
      <c r="N1162" s="14"/>
      <c r="O1162" s="14"/>
      <c r="P1162" s="2">
        <v>110.5</v>
      </c>
      <c r="Q1162" s="2">
        <v>110.5</v>
      </c>
      <c r="R1162" s="2">
        <v>69.37</v>
      </c>
      <c r="S1162">
        <f t="shared" si="85"/>
        <v>69.37</v>
      </c>
      <c r="T1162" t="s">
        <v>70</v>
      </c>
      <c r="U1162" s="1">
        <f t="shared" ref="U1162:U1167" si="86">_xlfn.XLOOKUP(T1162,$Y$2:$Y$45,$AA$2:$AA$45)*(Q1162-S1162)</f>
        <v>0</v>
      </c>
    </row>
    <row r="1163" spans="1:21" hidden="1" x14ac:dyDescent="0.25">
      <c r="A1163" s="2">
        <v>39465</v>
      </c>
      <c r="B1163" s="13" t="s">
        <v>1804</v>
      </c>
      <c r="C1163" s="14" t="s">
        <v>39</v>
      </c>
      <c r="D1163" s="15">
        <v>45322</v>
      </c>
      <c r="E1163" s="2">
        <v>0</v>
      </c>
      <c r="F1163" s="14" t="s">
        <v>1805</v>
      </c>
      <c r="G1163" t="s">
        <v>1806</v>
      </c>
      <c r="H1163" s="14" t="s">
        <v>1807</v>
      </c>
      <c r="I1163" s="2">
        <v>1</v>
      </c>
      <c r="J1163" s="2">
        <v>0</v>
      </c>
      <c r="K1163" s="2">
        <v>0</v>
      </c>
      <c r="L1163" s="2"/>
      <c r="M1163" s="2">
        <v>0</v>
      </c>
      <c r="N1163" s="14"/>
      <c r="O1163" s="14"/>
      <c r="P1163" s="2">
        <v>334</v>
      </c>
      <c r="Q1163" s="2">
        <v>334</v>
      </c>
      <c r="R1163" s="2">
        <v>267.2</v>
      </c>
      <c r="S1163">
        <f t="shared" si="85"/>
        <v>267.2</v>
      </c>
      <c r="T1163" t="s">
        <v>70</v>
      </c>
      <c r="U1163" s="1">
        <f t="shared" si="86"/>
        <v>0</v>
      </c>
    </row>
    <row r="1164" spans="1:21" hidden="1" x14ac:dyDescent="0.25">
      <c r="A1164" s="2">
        <v>39466</v>
      </c>
      <c r="B1164" s="13" t="s">
        <v>1808</v>
      </c>
      <c r="C1164" s="14" t="s">
        <v>39</v>
      </c>
      <c r="D1164" s="15">
        <v>45321</v>
      </c>
      <c r="E1164" s="2">
        <v>0</v>
      </c>
      <c r="F1164" s="14" t="s">
        <v>1809</v>
      </c>
      <c r="G1164" t="s">
        <v>1810</v>
      </c>
      <c r="H1164" s="14" t="s">
        <v>1807</v>
      </c>
      <c r="I1164" s="2">
        <v>48</v>
      </c>
      <c r="J1164" s="2">
        <v>0</v>
      </c>
      <c r="K1164" s="2">
        <v>0</v>
      </c>
      <c r="L1164" s="2"/>
      <c r="M1164" s="2">
        <v>0</v>
      </c>
      <c r="N1164" s="14"/>
      <c r="O1164" s="14"/>
      <c r="P1164" s="2">
        <v>107.69</v>
      </c>
      <c r="Q1164" s="2">
        <v>5169.12</v>
      </c>
      <c r="R1164" s="2">
        <v>91.52</v>
      </c>
      <c r="S1164">
        <f t="shared" si="85"/>
        <v>4392.96</v>
      </c>
      <c r="T1164" t="s">
        <v>70</v>
      </c>
      <c r="U1164" s="1">
        <f t="shared" si="86"/>
        <v>0</v>
      </c>
    </row>
    <row r="1165" spans="1:21" hidden="1" x14ac:dyDescent="0.25">
      <c r="A1165" s="2">
        <v>39469</v>
      </c>
      <c r="B1165" s="13" t="s">
        <v>1811</v>
      </c>
      <c r="C1165" s="14" t="s">
        <v>39</v>
      </c>
      <c r="D1165" s="15">
        <v>45321</v>
      </c>
      <c r="E1165" s="2">
        <v>0</v>
      </c>
      <c r="F1165" s="14" t="s">
        <v>1346</v>
      </c>
      <c r="G1165" t="s">
        <v>1347</v>
      </c>
      <c r="H1165" s="14" t="s">
        <v>42</v>
      </c>
      <c r="I1165" s="2">
        <v>1</v>
      </c>
      <c r="J1165" s="2">
        <v>0</v>
      </c>
      <c r="K1165" s="2">
        <v>0</v>
      </c>
      <c r="L1165" s="2"/>
      <c r="M1165" s="2">
        <v>0</v>
      </c>
      <c r="N1165" s="14"/>
      <c r="O1165" s="14"/>
      <c r="P1165" s="2">
        <v>1731.01</v>
      </c>
      <c r="Q1165" s="2">
        <v>1731.01</v>
      </c>
      <c r="R1165" s="2">
        <v>1442.51</v>
      </c>
      <c r="S1165">
        <f t="shared" si="85"/>
        <v>1442.51</v>
      </c>
      <c r="T1165" t="s">
        <v>132</v>
      </c>
      <c r="U1165" s="1">
        <f t="shared" si="86"/>
        <v>23.080000000000002</v>
      </c>
    </row>
    <row r="1166" spans="1:21" hidden="1" x14ac:dyDescent="0.25">
      <c r="A1166" s="2">
        <v>39479</v>
      </c>
      <c r="B1166" s="13" t="s">
        <v>1812</v>
      </c>
      <c r="C1166" s="14" t="s">
        <v>39</v>
      </c>
      <c r="D1166" s="15">
        <v>45321</v>
      </c>
      <c r="E1166" s="2">
        <v>0</v>
      </c>
      <c r="F1166" s="14" t="s">
        <v>1813</v>
      </c>
      <c r="G1166" t="s">
        <v>1814</v>
      </c>
      <c r="H1166" s="14" t="s">
        <v>42</v>
      </c>
      <c r="I1166" s="2">
        <v>1</v>
      </c>
      <c r="J1166" s="2">
        <v>0</v>
      </c>
      <c r="K1166" s="2">
        <v>0</v>
      </c>
      <c r="L1166" s="2"/>
      <c r="M1166" s="2">
        <v>0</v>
      </c>
      <c r="N1166" s="14"/>
      <c r="O1166" s="14"/>
      <c r="P1166" s="2">
        <v>1183.2</v>
      </c>
      <c r="Q1166" s="2">
        <v>1183.2</v>
      </c>
      <c r="R1166" s="2">
        <v>970.22</v>
      </c>
      <c r="S1166">
        <f t="shared" si="85"/>
        <v>970.22</v>
      </c>
      <c r="T1166" t="s">
        <v>47</v>
      </c>
      <c r="U1166" s="1">
        <f t="shared" si="86"/>
        <v>18.103300000000004</v>
      </c>
    </row>
    <row r="1167" spans="1:21" hidden="1" x14ac:dyDescent="0.25">
      <c r="A1167" s="2">
        <v>39487</v>
      </c>
      <c r="B1167" s="13" t="s">
        <v>1815</v>
      </c>
      <c r="C1167" s="14" t="s">
        <v>39</v>
      </c>
      <c r="D1167" s="15">
        <v>45322</v>
      </c>
      <c r="E1167" s="2">
        <v>0</v>
      </c>
      <c r="F1167" s="14" t="s">
        <v>1816</v>
      </c>
      <c r="G1167" t="s">
        <v>1817</v>
      </c>
      <c r="H1167" s="14" t="s">
        <v>42</v>
      </c>
      <c r="I1167" s="2">
        <v>1</v>
      </c>
      <c r="J1167" s="2">
        <v>0</v>
      </c>
      <c r="K1167" s="2">
        <v>0</v>
      </c>
      <c r="L1167" s="2"/>
      <c r="M1167" s="2">
        <v>0</v>
      </c>
      <c r="N1167" s="14"/>
      <c r="O1167" s="14"/>
      <c r="P1167" s="2">
        <v>2111</v>
      </c>
      <c r="Q1167" s="2">
        <v>2111</v>
      </c>
      <c r="R1167" s="2">
        <v>1730.65</v>
      </c>
      <c r="S1167">
        <f t="shared" si="85"/>
        <v>1730.65</v>
      </c>
      <c r="T1167" t="s">
        <v>107</v>
      </c>
      <c r="U1167" s="1">
        <f t="shared" si="86"/>
        <v>15.213999999999997</v>
      </c>
    </row>
    <row r="1168" spans="1:21" x14ac:dyDescent="0.25">
      <c r="A1168" s="2">
        <v>39487</v>
      </c>
      <c r="B1168" s="13" t="s">
        <v>1815</v>
      </c>
      <c r="C1168" s="14" t="s">
        <v>39</v>
      </c>
      <c r="D1168" s="15">
        <v>45322</v>
      </c>
      <c r="E1168" s="2">
        <v>0</v>
      </c>
      <c r="F1168" s="14" t="s">
        <v>260</v>
      </c>
      <c r="G1168" t="s">
        <v>313</v>
      </c>
      <c r="H1168" s="14" t="s">
        <v>93</v>
      </c>
      <c r="I1168" s="2">
        <v>2</v>
      </c>
      <c r="J1168" s="2">
        <v>0</v>
      </c>
      <c r="K1168" s="2">
        <v>0</v>
      </c>
      <c r="L1168" s="2"/>
      <c r="M1168" s="2">
        <v>0</v>
      </c>
      <c r="N1168" s="14"/>
      <c r="O1168" s="14"/>
      <c r="P1168" s="2">
        <v>185</v>
      </c>
      <c r="Q1168" s="2">
        <v>370</v>
      </c>
      <c r="R1168" s="2">
        <v>0</v>
      </c>
      <c r="S1168">
        <f t="shared" si="85"/>
        <v>0</v>
      </c>
      <c r="T1168" t="s">
        <v>107</v>
      </c>
      <c r="U1168">
        <f>_xlfn.XLOOKUP(T1168,$Y$2:$Y$45,$AB$2:$AB$45)*(Q1168)</f>
        <v>14.8</v>
      </c>
    </row>
    <row r="1169" spans="1:21" hidden="1" x14ac:dyDescent="0.25">
      <c r="A1169" s="2">
        <v>39488</v>
      </c>
      <c r="B1169" s="13" t="s">
        <v>1818</v>
      </c>
      <c r="C1169" s="14" t="s">
        <v>39</v>
      </c>
      <c r="D1169" s="15">
        <v>45321</v>
      </c>
      <c r="E1169" s="2">
        <v>0</v>
      </c>
      <c r="F1169" s="14" t="s">
        <v>1346</v>
      </c>
      <c r="G1169" t="s">
        <v>1347</v>
      </c>
      <c r="H1169" s="14" t="s">
        <v>42</v>
      </c>
      <c r="I1169" s="2">
        <v>1</v>
      </c>
      <c r="J1169" s="2">
        <v>0</v>
      </c>
      <c r="K1169" s="2">
        <v>0</v>
      </c>
      <c r="L1169" s="2"/>
      <c r="M1169" s="2">
        <v>0</v>
      </c>
      <c r="N1169" s="14"/>
      <c r="O1169" s="14"/>
      <c r="P1169" s="2">
        <v>1731.01</v>
      </c>
      <c r="Q1169" s="2">
        <v>1731.01</v>
      </c>
      <c r="R1169" s="2">
        <v>1442.51</v>
      </c>
      <c r="S1169">
        <f t="shared" si="85"/>
        <v>1442.51</v>
      </c>
      <c r="T1169" t="s">
        <v>132</v>
      </c>
      <c r="U1169" s="1">
        <f>_xlfn.XLOOKUP(T1169,$Y$2:$Y$45,$AA$2:$AA$45)*(Q1169-S1169)</f>
        <v>23.080000000000002</v>
      </c>
    </row>
    <row r="1170" spans="1:21" hidden="1" x14ac:dyDescent="0.25">
      <c r="A1170" s="2">
        <v>39496</v>
      </c>
      <c r="B1170" s="13" t="s">
        <v>1819</v>
      </c>
      <c r="C1170" s="14" t="s">
        <v>39</v>
      </c>
      <c r="D1170" s="15">
        <v>45322</v>
      </c>
      <c r="E1170" s="2">
        <v>0</v>
      </c>
      <c r="F1170" s="14" t="s">
        <v>1820</v>
      </c>
      <c r="G1170" t="s">
        <v>1821</v>
      </c>
      <c r="H1170" s="14" t="s">
        <v>42</v>
      </c>
      <c r="I1170" s="2">
        <v>1</v>
      </c>
      <c r="J1170" s="2">
        <v>0</v>
      </c>
      <c r="K1170" s="2">
        <v>0</v>
      </c>
      <c r="L1170" s="2"/>
      <c r="M1170" s="2">
        <v>0</v>
      </c>
      <c r="N1170" s="14"/>
      <c r="O1170" s="14"/>
      <c r="P1170" s="2">
        <v>119</v>
      </c>
      <c r="Q1170" s="2">
        <v>119</v>
      </c>
      <c r="R1170" s="2">
        <v>96.95</v>
      </c>
      <c r="S1170">
        <f t="shared" si="85"/>
        <v>96.95</v>
      </c>
      <c r="T1170" t="s">
        <v>132</v>
      </c>
      <c r="U1170" s="1">
        <f>_xlfn.XLOOKUP(T1170,$Y$2:$Y$45,$AA$2:$AA$45)*(Q1170-S1170)</f>
        <v>1.7639999999999998</v>
      </c>
    </row>
    <row r="1171" spans="1:21" hidden="1" x14ac:dyDescent="0.25">
      <c r="A1171" s="2">
        <v>39502</v>
      </c>
      <c r="B1171" s="13" t="s">
        <v>1822</v>
      </c>
      <c r="C1171" s="14" t="s">
        <v>39</v>
      </c>
      <c r="D1171" s="15">
        <v>45322</v>
      </c>
      <c r="E1171" s="2">
        <v>0</v>
      </c>
      <c r="F1171" s="14" t="s">
        <v>1403</v>
      </c>
      <c r="G1171" t="s">
        <v>1823</v>
      </c>
      <c r="H1171" s="14" t="s">
        <v>42</v>
      </c>
      <c r="I1171" s="2">
        <v>2</v>
      </c>
      <c r="J1171" s="2">
        <v>0</v>
      </c>
      <c r="K1171" s="2">
        <v>0</v>
      </c>
      <c r="L1171" s="2"/>
      <c r="M1171" s="2">
        <v>0</v>
      </c>
      <c r="N1171" s="14"/>
      <c r="O1171" s="14"/>
      <c r="P1171" s="2">
        <v>55</v>
      </c>
      <c r="Q1171" s="2">
        <v>110</v>
      </c>
      <c r="R1171" s="2">
        <v>40.18</v>
      </c>
      <c r="S1171">
        <f t="shared" si="85"/>
        <v>80.36</v>
      </c>
      <c r="T1171" t="s">
        <v>132</v>
      </c>
      <c r="U1171" s="1">
        <f>_xlfn.XLOOKUP(T1171,$Y$2:$Y$45,$AA$2:$AA$45)*(Q1171-S1171)</f>
        <v>2.3712</v>
      </c>
    </row>
    <row r="1172" spans="1:21" hidden="1" x14ac:dyDescent="0.25">
      <c r="A1172" s="2">
        <v>39502</v>
      </c>
      <c r="B1172" s="13" t="s">
        <v>1822</v>
      </c>
      <c r="C1172" s="14" t="s">
        <v>39</v>
      </c>
      <c r="D1172" s="15">
        <v>45322</v>
      </c>
      <c r="E1172" s="2">
        <v>0</v>
      </c>
      <c r="F1172" s="14" t="s">
        <v>1824</v>
      </c>
      <c r="G1172" t="s">
        <v>1825</v>
      </c>
      <c r="H1172" s="14" t="s">
        <v>42</v>
      </c>
      <c r="I1172" s="2">
        <v>1</v>
      </c>
      <c r="J1172" s="2">
        <v>0</v>
      </c>
      <c r="K1172" s="2">
        <v>0</v>
      </c>
      <c r="L1172" s="2"/>
      <c r="M1172" s="2">
        <v>0</v>
      </c>
      <c r="N1172" s="14"/>
      <c r="O1172" s="14"/>
      <c r="P1172" s="2">
        <v>76.87</v>
      </c>
      <c r="Q1172" s="2">
        <v>76.87</v>
      </c>
      <c r="R1172" s="2">
        <v>64.69</v>
      </c>
      <c r="S1172">
        <f t="shared" si="85"/>
        <v>64.69</v>
      </c>
      <c r="T1172" t="s">
        <v>132</v>
      </c>
      <c r="U1172" s="1">
        <f>_xlfn.XLOOKUP(T1172,$Y$2:$Y$45,$AA$2:$AA$45)*(Q1172-S1172)</f>
        <v>0.9744000000000006</v>
      </c>
    </row>
    <row r="1173" spans="1:21" hidden="1" x14ac:dyDescent="0.25">
      <c r="A1173" s="2">
        <v>39536</v>
      </c>
      <c r="B1173" s="13" t="s">
        <v>1826</v>
      </c>
      <c r="C1173" s="14" t="s">
        <v>39</v>
      </c>
      <c r="D1173" s="15">
        <v>45322</v>
      </c>
      <c r="E1173" s="2">
        <v>0</v>
      </c>
      <c r="F1173" s="14" t="s">
        <v>217</v>
      </c>
      <c r="G1173" t="s">
        <v>218</v>
      </c>
      <c r="H1173" s="14" t="s">
        <v>173</v>
      </c>
      <c r="I1173" s="2">
        <v>1</v>
      </c>
      <c r="J1173" s="2">
        <v>0</v>
      </c>
      <c r="K1173" s="2">
        <v>0</v>
      </c>
      <c r="L1173" s="2"/>
      <c r="M1173" s="2">
        <v>0</v>
      </c>
      <c r="N1173" s="14"/>
      <c r="O1173" s="14"/>
      <c r="P1173" s="2">
        <v>83</v>
      </c>
      <c r="Q1173" s="2">
        <v>83</v>
      </c>
      <c r="R1173" s="2">
        <v>67.989999999999995</v>
      </c>
      <c r="S1173">
        <f t="shared" si="85"/>
        <v>67.989999999999995</v>
      </c>
      <c r="T1173" t="s">
        <v>1874</v>
      </c>
      <c r="U1173" s="1">
        <f>_xlfn.XLOOKUP(T1173,$Y$2:$Y$45,$AA$2:$AA$45)*(Q1173-S1173)</f>
        <v>1.2008000000000005</v>
      </c>
    </row>
    <row r="1174" spans="1:21" x14ac:dyDescent="0.25">
      <c r="A1174" s="2">
        <v>39536</v>
      </c>
      <c r="B1174" s="13" t="s">
        <v>1826</v>
      </c>
      <c r="C1174" s="14" t="s">
        <v>39</v>
      </c>
      <c r="D1174" s="15">
        <v>45322</v>
      </c>
      <c r="E1174" s="2">
        <v>0</v>
      </c>
      <c r="F1174" s="14" t="s">
        <v>219</v>
      </c>
      <c r="G1174" t="s">
        <v>220</v>
      </c>
      <c r="H1174" s="14" t="s">
        <v>93</v>
      </c>
      <c r="I1174" s="2">
        <v>1</v>
      </c>
      <c r="J1174" s="2">
        <v>0</v>
      </c>
      <c r="K1174" s="2">
        <v>0</v>
      </c>
      <c r="L1174" s="2"/>
      <c r="M1174" s="2">
        <v>0</v>
      </c>
      <c r="N1174" s="14"/>
      <c r="O1174" s="14"/>
      <c r="P1174" s="2">
        <v>370</v>
      </c>
      <c r="Q1174" s="2">
        <v>370</v>
      </c>
      <c r="R1174" s="2">
        <v>0</v>
      </c>
      <c r="S1174">
        <f t="shared" si="85"/>
        <v>0</v>
      </c>
      <c r="T1174" t="s">
        <v>1874</v>
      </c>
      <c r="U1174">
        <f>_xlfn.XLOOKUP(T1174,$Y$2:$Y$45,$AB$2:$AB$45)*(Q1174)</f>
        <v>14.8</v>
      </c>
    </row>
    <row r="1175" spans="1:21" hidden="1" x14ac:dyDescent="0.25">
      <c r="A1175" s="2">
        <v>39552</v>
      </c>
      <c r="B1175" s="13" t="s">
        <v>1827</v>
      </c>
      <c r="C1175" s="14" t="s">
        <v>39</v>
      </c>
      <c r="D1175" s="15">
        <v>45322</v>
      </c>
      <c r="E1175" s="2">
        <v>0</v>
      </c>
      <c r="F1175" s="14" t="s">
        <v>1828</v>
      </c>
      <c r="G1175" t="s">
        <v>1829</v>
      </c>
      <c r="H1175" s="14" t="s">
        <v>42</v>
      </c>
      <c r="I1175" s="2">
        <v>28</v>
      </c>
      <c r="J1175" s="2">
        <v>0</v>
      </c>
      <c r="K1175" s="2">
        <v>0</v>
      </c>
      <c r="L1175" s="2"/>
      <c r="M1175" s="2">
        <v>0</v>
      </c>
      <c r="N1175" s="14"/>
      <c r="O1175" s="14"/>
      <c r="P1175" s="2">
        <v>283</v>
      </c>
      <c r="Q1175" s="2">
        <v>7924</v>
      </c>
      <c r="R1175" s="2">
        <v>231.36</v>
      </c>
      <c r="S1175">
        <f t="shared" si="85"/>
        <v>6478.08</v>
      </c>
      <c r="T1175" t="s">
        <v>66</v>
      </c>
      <c r="U1175" s="1">
        <f>_xlfn.XLOOKUP(T1175,$Y$2:$Y$45,$AA$2:$AA$45)*(Q1175-S1175)</f>
        <v>0</v>
      </c>
    </row>
    <row r="1176" spans="1:21" hidden="1" x14ac:dyDescent="0.25">
      <c r="A1176" s="2">
        <v>39552</v>
      </c>
      <c r="B1176" s="13" t="s">
        <v>1827</v>
      </c>
      <c r="C1176" s="14" t="s">
        <v>39</v>
      </c>
      <c r="D1176" s="15">
        <v>45322</v>
      </c>
      <c r="E1176" s="2">
        <v>0</v>
      </c>
      <c r="F1176" s="14" t="s">
        <v>1830</v>
      </c>
      <c r="G1176" t="s">
        <v>1831</v>
      </c>
      <c r="H1176" s="14" t="s">
        <v>42</v>
      </c>
      <c r="I1176" s="2">
        <v>11</v>
      </c>
      <c r="J1176" s="2">
        <v>0</v>
      </c>
      <c r="K1176" s="2">
        <v>0</v>
      </c>
      <c r="L1176" s="2"/>
      <c r="M1176" s="2">
        <v>0</v>
      </c>
      <c r="N1176" s="14"/>
      <c r="O1176" s="14"/>
      <c r="P1176" s="2">
        <v>333</v>
      </c>
      <c r="Q1176" s="2">
        <v>3663</v>
      </c>
      <c r="R1176" s="2">
        <v>272.85000000000002</v>
      </c>
      <c r="S1176">
        <f t="shared" si="85"/>
        <v>3001.3500000000004</v>
      </c>
      <c r="T1176" t="s">
        <v>66</v>
      </c>
      <c r="U1176" s="1">
        <f>_xlfn.XLOOKUP(T1176,$Y$2:$Y$45,$AA$2:$AA$45)*(Q1176-S1176)</f>
        <v>0</v>
      </c>
    </row>
    <row r="1177" spans="1:21" hidden="1" x14ac:dyDescent="0.25">
      <c r="A1177" s="2">
        <v>39552</v>
      </c>
      <c r="B1177" s="13" t="s">
        <v>1827</v>
      </c>
      <c r="C1177" s="14" t="s">
        <v>39</v>
      </c>
      <c r="D1177" s="15">
        <v>45322</v>
      </c>
      <c r="E1177" s="2">
        <v>0</v>
      </c>
      <c r="F1177" s="14" t="s">
        <v>49</v>
      </c>
      <c r="G1177" t="s">
        <v>1832</v>
      </c>
      <c r="H1177" s="14" t="s">
        <v>42</v>
      </c>
      <c r="I1177" s="2">
        <v>81</v>
      </c>
      <c r="J1177" s="2">
        <v>0</v>
      </c>
      <c r="K1177" s="2">
        <v>0</v>
      </c>
      <c r="L1177" s="2"/>
      <c r="M1177" s="2">
        <v>0</v>
      </c>
      <c r="N1177" s="14"/>
      <c r="O1177" s="14"/>
      <c r="P1177" s="2">
        <v>125</v>
      </c>
      <c r="Q1177" s="2">
        <v>10125</v>
      </c>
      <c r="R1177" s="2">
        <v>102.35</v>
      </c>
      <c r="S1177">
        <f t="shared" si="85"/>
        <v>8290.35</v>
      </c>
      <c r="T1177" t="s">
        <v>66</v>
      </c>
      <c r="U1177" s="1">
        <f>_xlfn.XLOOKUP(T1177,$Y$2:$Y$45,$AA$2:$AA$45)*(Q1177-S1177)</f>
        <v>0</v>
      </c>
    </row>
    <row r="1178" spans="1:21" hidden="1" x14ac:dyDescent="0.25">
      <c r="A1178" s="2">
        <v>39562</v>
      </c>
      <c r="B1178" s="13" t="s">
        <v>1833</v>
      </c>
      <c r="C1178" s="14" t="s">
        <v>39</v>
      </c>
      <c r="D1178" s="15">
        <v>45322</v>
      </c>
      <c r="E1178" s="2">
        <v>0</v>
      </c>
      <c r="F1178" s="14" t="s">
        <v>581</v>
      </c>
      <c r="G1178" t="s">
        <v>582</v>
      </c>
      <c r="H1178" s="14" t="s">
        <v>42</v>
      </c>
      <c r="I1178" s="2">
        <v>4</v>
      </c>
      <c r="J1178" s="2">
        <v>0</v>
      </c>
      <c r="K1178" s="2">
        <v>0</v>
      </c>
      <c r="L1178" s="2"/>
      <c r="M1178" s="2">
        <v>0</v>
      </c>
      <c r="N1178" s="14"/>
      <c r="O1178" s="14"/>
      <c r="P1178" s="2">
        <v>222</v>
      </c>
      <c r="Q1178" s="2">
        <v>888</v>
      </c>
      <c r="R1178" s="2">
        <v>183.6</v>
      </c>
      <c r="S1178">
        <f t="shared" si="85"/>
        <v>734.4</v>
      </c>
      <c r="T1178" t="s">
        <v>56</v>
      </c>
      <c r="U1178" s="1">
        <f>_xlfn.XLOOKUP(T1178,$Y$2:$Y$45,$AA$2:$AA$45)*(Q1178-S1178)</f>
        <v>13.056000000000003</v>
      </c>
    </row>
    <row r="1179" spans="1:21" hidden="1" x14ac:dyDescent="0.25">
      <c r="A1179" s="2">
        <v>39576</v>
      </c>
      <c r="B1179" s="13" t="s">
        <v>1834</v>
      </c>
      <c r="C1179" s="14" t="s">
        <v>39</v>
      </c>
      <c r="D1179" s="15">
        <v>45322</v>
      </c>
      <c r="E1179" s="2">
        <v>0</v>
      </c>
      <c r="F1179" s="14" t="s">
        <v>1835</v>
      </c>
      <c r="G1179" t="s">
        <v>1836</v>
      </c>
      <c r="H1179" s="14" t="s">
        <v>42</v>
      </c>
      <c r="I1179" s="2">
        <v>4</v>
      </c>
      <c r="J1179" s="2">
        <v>0</v>
      </c>
      <c r="K1179" s="2">
        <v>0</v>
      </c>
      <c r="L1179" s="2"/>
      <c r="M1179" s="2">
        <v>0</v>
      </c>
      <c r="N1179" s="14"/>
      <c r="O1179" s="14"/>
      <c r="P1179" s="2">
        <v>768.52</v>
      </c>
      <c r="Q1179" s="2">
        <v>3074.08</v>
      </c>
      <c r="R1179" s="2">
        <v>630.19000000000005</v>
      </c>
      <c r="S1179">
        <f t="shared" si="85"/>
        <v>2520.7600000000002</v>
      </c>
      <c r="T1179" t="s">
        <v>47</v>
      </c>
      <c r="U1179" s="1">
        <f>_xlfn.XLOOKUP(T1179,$Y$2:$Y$45,$AA$2:$AA$45)*(Q1179-S1179)</f>
        <v>47.032199999999982</v>
      </c>
    </row>
    <row r="1180" spans="1:21" x14ac:dyDescent="0.25">
      <c r="A1180" s="2">
        <v>39665</v>
      </c>
      <c r="B1180" s="13" t="s">
        <v>1837</v>
      </c>
      <c r="C1180" s="14" t="s">
        <v>39</v>
      </c>
      <c r="D1180" s="15">
        <v>45321</v>
      </c>
      <c r="E1180" s="2">
        <v>0</v>
      </c>
      <c r="F1180" s="14" t="s">
        <v>1838</v>
      </c>
      <c r="G1180" t="s">
        <v>1839</v>
      </c>
      <c r="H1180" s="14" t="s">
        <v>93</v>
      </c>
      <c r="I1180" s="2">
        <v>3</v>
      </c>
      <c r="J1180" s="2">
        <v>0</v>
      </c>
      <c r="K1180" s="2">
        <v>0</v>
      </c>
      <c r="L1180" s="2"/>
      <c r="M1180" s="2">
        <v>0</v>
      </c>
      <c r="N1180" s="14"/>
      <c r="O1180" s="14"/>
      <c r="P1180" s="2">
        <v>200</v>
      </c>
      <c r="Q1180" s="2">
        <v>600</v>
      </c>
      <c r="R1180" s="2">
        <v>56</v>
      </c>
      <c r="S1180">
        <f t="shared" si="85"/>
        <v>168</v>
      </c>
      <c r="T1180" t="s">
        <v>70</v>
      </c>
      <c r="U1180">
        <f>_xlfn.XLOOKUP(T1180,$Y$2:$Y$45,$AB$2:$AB$45)*(Q1180)</f>
        <v>0</v>
      </c>
    </row>
    <row r="1181" spans="1:21" hidden="1" x14ac:dyDescent="0.25">
      <c r="A1181" s="2">
        <v>39695</v>
      </c>
      <c r="B1181" s="13" t="s">
        <v>1840</v>
      </c>
      <c r="C1181" s="14" t="s">
        <v>39</v>
      </c>
      <c r="D1181" s="15">
        <v>45322</v>
      </c>
      <c r="E1181" s="2">
        <v>0</v>
      </c>
      <c r="F1181" s="14" t="s">
        <v>1841</v>
      </c>
      <c r="G1181" t="s">
        <v>1842</v>
      </c>
      <c r="H1181" s="14" t="s">
        <v>1807</v>
      </c>
      <c r="I1181" s="2">
        <v>465</v>
      </c>
      <c r="J1181" s="2">
        <v>0</v>
      </c>
      <c r="K1181" s="2">
        <v>0</v>
      </c>
      <c r="L1181" s="2"/>
      <c r="M1181" s="2">
        <v>0</v>
      </c>
      <c r="N1181" s="14"/>
      <c r="O1181" s="14"/>
      <c r="P1181" s="2">
        <v>1054.02</v>
      </c>
      <c r="Q1181" s="2">
        <v>490119.3</v>
      </c>
      <c r="R1181" s="2">
        <v>895.92</v>
      </c>
      <c r="S1181">
        <f t="shared" si="85"/>
        <v>416602.8</v>
      </c>
      <c r="T1181" t="s">
        <v>70</v>
      </c>
      <c r="U1181" s="1">
        <f t="shared" ref="U1181:U1186" si="87">_xlfn.XLOOKUP(T1181,$Y$2:$Y$45,$AA$2:$AA$45)*(Q1181-S1181)</f>
        <v>0</v>
      </c>
    </row>
    <row r="1182" spans="1:21" hidden="1" x14ac:dyDescent="0.25">
      <c r="A1182" s="2">
        <v>39695</v>
      </c>
      <c r="B1182" s="13" t="s">
        <v>1840</v>
      </c>
      <c r="C1182" s="14" t="s">
        <v>39</v>
      </c>
      <c r="D1182" s="15">
        <v>45322</v>
      </c>
      <c r="E1182" s="2">
        <v>0</v>
      </c>
      <c r="F1182" s="14" t="s">
        <v>1843</v>
      </c>
      <c r="G1182" t="s">
        <v>1844</v>
      </c>
      <c r="H1182" s="14" t="s">
        <v>1807</v>
      </c>
      <c r="I1182" s="2">
        <v>40</v>
      </c>
      <c r="J1182" s="2">
        <v>0</v>
      </c>
      <c r="K1182" s="2">
        <v>0</v>
      </c>
      <c r="L1182" s="2"/>
      <c r="M1182" s="2">
        <v>0</v>
      </c>
      <c r="N1182" s="14"/>
      <c r="O1182" s="14"/>
      <c r="P1182" s="2">
        <v>131.01</v>
      </c>
      <c r="Q1182" s="2">
        <v>5240.3999999999996</v>
      </c>
      <c r="R1182" s="2">
        <v>122.52</v>
      </c>
      <c r="S1182">
        <f t="shared" si="85"/>
        <v>4900.8</v>
      </c>
      <c r="T1182" t="s">
        <v>70</v>
      </c>
      <c r="U1182" s="1">
        <f t="shared" si="87"/>
        <v>0</v>
      </c>
    </row>
    <row r="1183" spans="1:21" hidden="1" x14ac:dyDescent="0.25">
      <c r="A1183" s="2">
        <v>39695</v>
      </c>
      <c r="B1183" s="13" t="s">
        <v>1840</v>
      </c>
      <c r="C1183" s="14" t="s">
        <v>39</v>
      </c>
      <c r="D1183" s="15">
        <v>45322</v>
      </c>
      <c r="E1183" s="2">
        <v>0</v>
      </c>
      <c r="F1183" s="14" t="s">
        <v>1845</v>
      </c>
      <c r="G1183" t="s">
        <v>1846</v>
      </c>
      <c r="H1183" s="14" t="s">
        <v>1807</v>
      </c>
      <c r="I1183" s="2">
        <v>3</v>
      </c>
      <c r="J1183" s="2">
        <v>0</v>
      </c>
      <c r="K1183" s="2">
        <v>0</v>
      </c>
      <c r="L1183" s="2"/>
      <c r="M1183" s="2">
        <v>0</v>
      </c>
      <c r="N1183" s="14"/>
      <c r="O1183" s="14"/>
      <c r="P1183" s="2">
        <v>315.70999999999998</v>
      </c>
      <c r="Q1183" s="2">
        <v>947.13</v>
      </c>
      <c r="R1183" s="2">
        <v>265.2</v>
      </c>
      <c r="S1183">
        <f t="shared" si="85"/>
        <v>795.59999999999991</v>
      </c>
      <c r="T1183" t="s">
        <v>70</v>
      </c>
      <c r="U1183" s="1">
        <f t="shared" si="87"/>
        <v>0</v>
      </c>
    </row>
    <row r="1184" spans="1:21" hidden="1" x14ac:dyDescent="0.25">
      <c r="A1184" s="2">
        <v>39695</v>
      </c>
      <c r="B1184" s="13" t="s">
        <v>1840</v>
      </c>
      <c r="C1184" s="14" t="s">
        <v>39</v>
      </c>
      <c r="D1184" s="15">
        <v>45322</v>
      </c>
      <c r="E1184" s="2">
        <v>0</v>
      </c>
      <c r="F1184" s="14" t="s">
        <v>1847</v>
      </c>
      <c r="G1184" t="s">
        <v>1848</v>
      </c>
      <c r="H1184" s="14" t="s">
        <v>1807</v>
      </c>
      <c r="I1184" s="2">
        <v>10</v>
      </c>
      <c r="J1184" s="2">
        <v>0</v>
      </c>
      <c r="K1184" s="2">
        <v>0</v>
      </c>
      <c r="L1184" s="2"/>
      <c r="M1184" s="2">
        <v>0</v>
      </c>
      <c r="N1184" s="14"/>
      <c r="O1184" s="14"/>
      <c r="P1184" s="2">
        <v>163</v>
      </c>
      <c r="Q1184" s="2">
        <v>1630</v>
      </c>
      <c r="R1184" s="2">
        <v>136.91999999999999</v>
      </c>
      <c r="S1184">
        <f t="shared" si="85"/>
        <v>1369.1999999999998</v>
      </c>
      <c r="T1184" t="s">
        <v>70</v>
      </c>
      <c r="U1184" s="1">
        <f t="shared" si="87"/>
        <v>0</v>
      </c>
    </row>
    <row r="1185" spans="1:21" hidden="1" x14ac:dyDescent="0.25">
      <c r="A1185" s="2">
        <v>39695</v>
      </c>
      <c r="B1185" s="13" t="s">
        <v>1840</v>
      </c>
      <c r="C1185" s="14" t="s">
        <v>39</v>
      </c>
      <c r="D1185" s="15">
        <v>45322</v>
      </c>
      <c r="E1185" s="2">
        <v>0</v>
      </c>
      <c r="F1185" s="14" t="s">
        <v>1849</v>
      </c>
      <c r="G1185" t="s">
        <v>1850</v>
      </c>
      <c r="H1185" s="14" t="s">
        <v>1807</v>
      </c>
      <c r="I1185" s="2">
        <v>8</v>
      </c>
      <c r="J1185" s="2">
        <v>0</v>
      </c>
      <c r="K1185" s="2">
        <v>0</v>
      </c>
      <c r="L1185" s="2"/>
      <c r="M1185" s="2">
        <v>0</v>
      </c>
      <c r="N1185" s="14"/>
      <c r="O1185" s="14"/>
      <c r="P1185" s="2">
        <v>236.71</v>
      </c>
      <c r="Q1185" s="2">
        <v>1893.68</v>
      </c>
      <c r="R1185" s="2">
        <v>198.84</v>
      </c>
      <c r="S1185">
        <f t="shared" si="85"/>
        <v>1590.72</v>
      </c>
      <c r="T1185" t="s">
        <v>70</v>
      </c>
      <c r="U1185" s="1">
        <f t="shared" si="87"/>
        <v>0</v>
      </c>
    </row>
    <row r="1186" spans="1:21" hidden="1" x14ac:dyDescent="0.25">
      <c r="A1186" s="35" t="s">
        <v>2270</v>
      </c>
      <c r="B1186" t="s">
        <v>2328</v>
      </c>
      <c r="C1186" s="14" t="s">
        <v>39</v>
      </c>
      <c r="D1186" s="15">
        <v>45293</v>
      </c>
      <c r="E1186" s="2"/>
      <c r="H1186" s="14" t="s">
        <v>42</v>
      </c>
      <c r="Q1186" s="2">
        <v>20232.2</v>
      </c>
      <c r="S1186">
        <v>15625.15</v>
      </c>
      <c r="T1186" s="14" t="s">
        <v>2385</v>
      </c>
      <c r="U1186" s="1">
        <f t="shared" si="87"/>
        <v>391.5992500000001</v>
      </c>
    </row>
    <row r="1187" spans="1:21" hidden="1" x14ac:dyDescent="0.25">
      <c r="A1187" s="35" t="s">
        <v>2271</v>
      </c>
      <c r="B1187" t="s">
        <v>2329</v>
      </c>
      <c r="C1187" s="14" t="s">
        <v>39</v>
      </c>
      <c r="D1187" s="15">
        <v>45295</v>
      </c>
      <c r="E1187" s="2"/>
      <c r="H1187" s="14" t="s">
        <v>42</v>
      </c>
      <c r="Q1187" s="2">
        <v>149</v>
      </c>
      <c r="S1187">
        <v>115.65</v>
      </c>
      <c r="T1187" s="14" t="s">
        <v>2385</v>
      </c>
      <c r="U1187" s="1">
        <f t="shared" ref="U1187:U1243" si="88">_xlfn.XLOOKUP(T1187,$Y$2:$Y$45,$AA$2:$AA$45)*(Q1187-S1187)</f>
        <v>2.8347499999999997</v>
      </c>
    </row>
    <row r="1188" spans="1:21" x14ac:dyDescent="0.25">
      <c r="A1188" s="35" t="s">
        <v>2272</v>
      </c>
      <c r="B1188" t="s">
        <v>2330</v>
      </c>
      <c r="C1188" s="14" t="s">
        <v>39</v>
      </c>
      <c r="D1188" s="15">
        <v>45296</v>
      </c>
      <c r="E1188" s="2">
        <v>5680</v>
      </c>
      <c r="H1188" s="14" t="s">
        <v>93</v>
      </c>
      <c r="Q1188" s="2">
        <v>2000</v>
      </c>
      <c r="T1188" s="14" t="s">
        <v>2386</v>
      </c>
      <c r="U1188" s="1">
        <f>_xlfn.XLOOKUP(T1188,$Y$2:$Y$45,$AB$2:$AB$45)*(Q1188)</f>
        <v>80</v>
      </c>
    </row>
    <row r="1189" spans="1:21" hidden="1" x14ac:dyDescent="0.25">
      <c r="A1189" s="35" t="s">
        <v>2273</v>
      </c>
      <c r="B1189" t="s">
        <v>2331</v>
      </c>
      <c r="C1189" s="14" t="s">
        <v>39</v>
      </c>
      <c r="D1189" s="15">
        <v>45296</v>
      </c>
      <c r="E1189" s="2"/>
      <c r="H1189" s="14" t="s">
        <v>42</v>
      </c>
      <c r="Q1189" s="2">
        <v>1516.62</v>
      </c>
      <c r="S1189">
        <v>1278.99</v>
      </c>
      <c r="T1189" s="14" t="s">
        <v>2385</v>
      </c>
      <c r="U1189" s="1">
        <f t="shared" si="88"/>
        <v>20.19854999999999</v>
      </c>
    </row>
    <row r="1190" spans="1:21" hidden="1" x14ac:dyDescent="0.25">
      <c r="A1190" s="35" t="s">
        <v>2274</v>
      </c>
      <c r="B1190" t="s">
        <v>2332</v>
      </c>
      <c r="C1190" s="14" t="s">
        <v>39</v>
      </c>
      <c r="D1190" s="15">
        <v>45296</v>
      </c>
      <c r="E1190" s="2"/>
      <c r="H1190" s="14" t="s">
        <v>42</v>
      </c>
      <c r="Q1190" s="2">
        <v>2107</v>
      </c>
      <c r="S1190">
        <v>1972.49</v>
      </c>
      <c r="T1190" s="14" t="s">
        <v>2385</v>
      </c>
      <c r="U1190" s="1">
        <f t="shared" si="88"/>
        <v>11.433350000000001</v>
      </c>
    </row>
    <row r="1191" spans="1:21" hidden="1" x14ac:dyDescent="0.25">
      <c r="A1191" s="35" t="s">
        <v>2275</v>
      </c>
      <c r="B1191" t="s">
        <v>2333</v>
      </c>
      <c r="C1191" s="14" t="s">
        <v>39</v>
      </c>
      <c r="D1191" s="15">
        <v>45299</v>
      </c>
      <c r="E1191" s="2"/>
      <c r="H1191" s="14" t="s">
        <v>42</v>
      </c>
      <c r="Q1191" s="2">
        <v>1227.8800000000001</v>
      </c>
      <c r="S1191">
        <v>982.3</v>
      </c>
      <c r="T1191" s="14" t="s">
        <v>2385</v>
      </c>
      <c r="U1191" s="1">
        <f t="shared" si="88"/>
        <v>20.874300000000016</v>
      </c>
    </row>
    <row r="1192" spans="1:21" hidden="1" x14ac:dyDescent="0.25">
      <c r="A1192" s="35" t="s">
        <v>2276</v>
      </c>
      <c r="B1192" t="s">
        <v>2334</v>
      </c>
      <c r="C1192" s="14" t="s">
        <v>39</v>
      </c>
      <c r="D1192" s="15">
        <v>45299</v>
      </c>
      <c r="E1192" s="2"/>
      <c r="H1192" s="14" t="s">
        <v>42</v>
      </c>
      <c r="Q1192" s="2">
        <v>4186.38</v>
      </c>
      <c r="S1192">
        <v>3449.64</v>
      </c>
      <c r="T1192" s="14" t="s">
        <v>2385</v>
      </c>
      <c r="U1192" s="1">
        <f>_xlfn.XLOOKUP(T1192,$Y$2:$Y$45,$AA$2:$AA$45)*(Q1192-S1192)</f>
        <v>62.622900000000023</v>
      </c>
    </row>
    <row r="1193" spans="1:21" hidden="1" x14ac:dyDescent="0.25">
      <c r="A1193" s="35" t="s">
        <v>2277</v>
      </c>
      <c r="B1193" t="s">
        <v>2329</v>
      </c>
      <c r="C1193" s="14" t="s">
        <v>39</v>
      </c>
      <c r="D1193" s="15">
        <v>45301</v>
      </c>
      <c r="E1193" s="2"/>
      <c r="H1193" s="14" t="s">
        <v>42</v>
      </c>
      <c r="Q1193" s="2">
        <v>149</v>
      </c>
      <c r="S1193">
        <v>115.65</v>
      </c>
      <c r="T1193" s="14" t="s">
        <v>2385</v>
      </c>
      <c r="U1193" s="1">
        <f>_xlfn.XLOOKUP(T1193,$Y$2:$Y$45,$AA$2:$AA$45)*(Q1193-S1193)</f>
        <v>2.8347499999999997</v>
      </c>
    </row>
    <row r="1194" spans="1:21" hidden="1" x14ac:dyDescent="0.25">
      <c r="A1194" s="35" t="s">
        <v>2278</v>
      </c>
      <c r="B1194" t="s">
        <v>2335</v>
      </c>
      <c r="C1194" s="14" t="s">
        <v>39</v>
      </c>
      <c r="D1194" s="15">
        <v>45301</v>
      </c>
      <c r="E1194" s="2"/>
      <c r="H1194" s="14" t="s">
        <v>42</v>
      </c>
      <c r="Q1194" s="2">
        <v>59.99</v>
      </c>
      <c r="S1194">
        <v>52.36</v>
      </c>
      <c r="T1194" s="14" t="s">
        <v>2385</v>
      </c>
      <c r="U1194" s="1">
        <f>_xlfn.XLOOKUP(T1194,$Y$2:$Y$45,$AA$2:$AA$45)*(Q1194-S1194)</f>
        <v>0.64855000000000029</v>
      </c>
    </row>
    <row r="1195" spans="1:21" hidden="1" x14ac:dyDescent="0.25">
      <c r="A1195" s="35" t="s">
        <v>2279</v>
      </c>
      <c r="B1195" t="s">
        <v>2336</v>
      </c>
      <c r="C1195" s="14" t="s">
        <v>39</v>
      </c>
      <c r="D1195" s="15">
        <v>45301</v>
      </c>
      <c r="E1195" s="2"/>
      <c r="H1195" s="14" t="s">
        <v>42</v>
      </c>
      <c r="Q1195" s="2">
        <v>312.08999999999997</v>
      </c>
      <c r="S1195">
        <v>278.95</v>
      </c>
      <c r="T1195" s="14" t="s">
        <v>2385</v>
      </c>
      <c r="U1195" s="1">
        <f>_xlfn.XLOOKUP(T1195,$Y$2:$Y$45,$AA$2:$AA$45)*(Q1195-S1195)</f>
        <v>2.8168999999999991</v>
      </c>
    </row>
    <row r="1196" spans="1:21" hidden="1" x14ac:dyDescent="0.25">
      <c r="A1196" s="35" t="s">
        <v>2280</v>
      </c>
      <c r="B1196" t="s">
        <v>2337</v>
      </c>
      <c r="C1196" s="14" t="s">
        <v>39</v>
      </c>
      <c r="D1196" s="15">
        <v>45302</v>
      </c>
      <c r="E1196" s="2"/>
      <c r="H1196" s="14" t="s">
        <v>42</v>
      </c>
      <c r="Q1196" s="2">
        <v>349</v>
      </c>
      <c r="S1196">
        <v>289.99</v>
      </c>
      <c r="T1196" s="14" t="s">
        <v>2385</v>
      </c>
      <c r="U1196" s="1">
        <f>_xlfn.XLOOKUP(T1196,$Y$2:$Y$45,$AA$2:$AA$45)*(Q1196-S1196)</f>
        <v>5.0158499999999995</v>
      </c>
    </row>
    <row r="1197" spans="1:21" hidden="1" x14ac:dyDescent="0.25">
      <c r="A1197" s="35" t="s">
        <v>2281</v>
      </c>
      <c r="B1197" t="s">
        <v>2338</v>
      </c>
      <c r="C1197" s="14" t="s">
        <v>39</v>
      </c>
      <c r="D1197" s="15">
        <v>45302</v>
      </c>
      <c r="E1197" s="2"/>
      <c r="H1197" s="14" t="s">
        <v>42</v>
      </c>
      <c r="Q1197" s="2">
        <v>1419</v>
      </c>
      <c r="S1197">
        <v>1383.02</v>
      </c>
      <c r="T1197" s="14" t="s">
        <v>2385</v>
      </c>
      <c r="U1197" s="1">
        <f t="shared" si="88"/>
        <v>3.0583000000000018</v>
      </c>
    </row>
    <row r="1198" spans="1:21" hidden="1" x14ac:dyDescent="0.25">
      <c r="A1198" s="35" t="s">
        <v>2282</v>
      </c>
      <c r="B1198" t="s">
        <v>2339</v>
      </c>
      <c r="C1198" s="14" t="s">
        <v>39</v>
      </c>
      <c r="D1198" s="15">
        <v>45303</v>
      </c>
      <c r="E1198" s="2">
        <v>0</v>
      </c>
      <c r="H1198" s="14" t="s">
        <v>42</v>
      </c>
      <c r="Q1198" s="2">
        <v>24235.200000000001</v>
      </c>
      <c r="S1198">
        <v>18152.43</v>
      </c>
      <c r="T1198" s="14" t="s">
        <v>2385</v>
      </c>
      <c r="U1198" s="1">
        <f t="shared" si="88"/>
        <v>517.03545000000008</v>
      </c>
    </row>
    <row r="1199" spans="1:21" x14ac:dyDescent="0.25">
      <c r="A1199" s="35" t="s">
        <v>2283</v>
      </c>
      <c r="B1199" t="s">
        <v>2340</v>
      </c>
      <c r="C1199" s="14" t="s">
        <v>39</v>
      </c>
      <c r="D1199" s="15">
        <v>45303</v>
      </c>
      <c r="E1199" s="2">
        <v>1445</v>
      </c>
      <c r="H1199" t="s">
        <v>126</v>
      </c>
      <c r="Q1199" s="2">
        <v>0</v>
      </c>
      <c r="T1199" s="14" t="s">
        <v>156</v>
      </c>
      <c r="U1199" s="1">
        <f>_xlfn.XLOOKUP(T1199,$Y$2:$Y$45,$AB$2:$AB$45)*(Q1199)</f>
        <v>0</v>
      </c>
    </row>
    <row r="1200" spans="1:21" hidden="1" x14ac:dyDescent="0.25">
      <c r="A1200" s="35" t="s">
        <v>2284</v>
      </c>
      <c r="B1200" t="s">
        <v>2341</v>
      </c>
      <c r="C1200" s="14" t="s">
        <v>39</v>
      </c>
      <c r="D1200" s="15">
        <v>45303</v>
      </c>
      <c r="E1200" s="2"/>
      <c r="H1200" s="14" t="s">
        <v>42</v>
      </c>
      <c r="Q1200" s="2">
        <v>2887.12</v>
      </c>
      <c r="S1200">
        <v>2624.88</v>
      </c>
      <c r="T1200" s="14" t="s">
        <v>2385</v>
      </c>
      <c r="U1200" s="1">
        <f t="shared" si="88"/>
        <v>22.290399999999984</v>
      </c>
    </row>
    <row r="1201" spans="1:21" hidden="1" x14ac:dyDescent="0.25">
      <c r="A1201" s="35" t="s">
        <v>2285</v>
      </c>
      <c r="B1201" t="s">
        <v>2342</v>
      </c>
      <c r="C1201" s="14" t="s">
        <v>39</v>
      </c>
      <c r="D1201" s="15">
        <v>45303</v>
      </c>
      <c r="E1201" s="2"/>
      <c r="H1201" s="14" t="s">
        <v>42</v>
      </c>
      <c r="Q1201" s="2">
        <v>1208.6400000000001</v>
      </c>
      <c r="S1201">
        <v>949.65</v>
      </c>
      <c r="T1201" s="14" t="s">
        <v>2385</v>
      </c>
      <c r="U1201" s="1">
        <f t="shared" si="88"/>
        <v>22.014150000000011</v>
      </c>
    </row>
    <row r="1202" spans="1:21" hidden="1" x14ac:dyDescent="0.25">
      <c r="A1202" s="35" t="s">
        <v>2286</v>
      </c>
      <c r="B1202" t="s">
        <v>2343</v>
      </c>
      <c r="C1202" s="14" t="s">
        <v>39</v>
      </c>
      <c r="D1202" s="15">
        <v>45303</v>
      </c>
      <c r="E1202" s="2"/>
      <c r="H1202" s="14" t="s">
        <v>42</v>
      </c>
      <c r="Q1202" s="2">
        <v>1416.75</v>
      </c>
      <c r="S1202">
        <v>1133.4000000000001</v>
      </c>
      <c r="T1202" s="14" t="s">
        <v>2385</v>
      </c>
      <c r="U1202" s="1">
        <f t="shared" si="88"/>
        <v>24.084749999999993</v>
      </c>
    </row>
    <row r="1203" spans="1:21" hidden="1" x14ac:dyDescent="0.25">
      <c r="A1203" s="35" t="s">
        <v>2287</v>
      </c>
      <c r="B1203" t="s">
        <v>2344</v>
      </c>
      <c r="C1203" s="14" t="s">
        <v>39</v>
      </c>
      <c r="D1203" s="15">
        <v>45303</v>
      </c>
      <c r="E1203" s="2"/>
      <c r="H1203" s="14" t="s">
        <v>42</v>
      </c>
      <c r="Q1203" s="2">
        <v>1857</v>
      </c>
      <c r="S1203">
        <v>1708.16</v>
      </c>
      <c r="T1203" s="14" t="s">
        <v>2385</v>
      </c>
      <c r="U1203" s="1">
        <f t="shared" si="88"/>
        <v>12.651399999999994</v>
      </c>
    </row>
    <row r="1204" spans="1:21" hidden="1" x14ac:dyDescent="0.25">
      <c r="A1204" s="35" t="s">
        <v>2288</v>
      </c>
      <c r="B1204" t="s">
        <v>2345</v>
      </c>
      <c r="C1204" s="14" t="s">
        <v>39</v>
      </c>
      <c r="D1204" s="15">
        <v>45306</v>
      </c>
      <c r="E1204" s="2">
        <v>4045.35</v>
      </c>
      <c r="H1204" s="14" t="s">
        <v>2388</v>
      </c>
      <c r="Q1204" s="2">
        <v>0</v>
      </c>
      <c r="T1204" s="14" t="s">
        <v>117</v>
      </c>
      <c r="U1204" s="1">
        <f>_xlfn.XLOOKUP(T1204,$Y$2:$Y$45,$AB$2:$AB$45)*(Q1204)</f>
        <v>0</v>
      </c>
    </row>
    <row r="1205" spans="1:21" hidden="1" x14ac:dyDescent="0.25">
      <c r="A1205" s="35" t="s">
        <v>2289</v>
      </c>
      <c r="B1205" t="s">
        <v>2346</v>
      </c>
      <c r="C1205" s="14" t="s">
        <v>39</v>
      </c>
      <c r="D1205" s="15">
        <v>45306</v>
      </c>
      <c r="E1205" s="2"/>
      <c r="H1205" s="14" t="s">
        <v>42</v>
      </c>
      <c r="Q1205" s="2">
        <v>149.24</v>
      </c>
      <c r="S1205">
        <v>119.39</v>
      </c>
      <c r="T1205" s="14" t="s">
        <v>2385</v>
      </c>
      <c r="U1205" s="1">
        <f t="shared" si="88"/>
        <v>2.5372500000000011</v>
      </c>
    </row>
    <row r="1206" spans="1:21" hidden="1" x14ac:dyDescent="0.25">
      <c r="A1206" s="35" t="s">
        <v>2290</v>
      </c>
      <c r="B1206" t="s">
        <v>2347</v>
      </c>
      <c r="C1206" s="14" t="s">
        <v>39</v>
      </c>
      <c r="D1206" s="15">
        <v>45306</v>
      </c>
      <c r="E1206" s="2"/>
      <c r="H1206" s="14" t="s">
        <v>42</v>
      </c>
      <c r="Q1206" s="2">
        <v>150.79</v>
      </c>
      <c r="S1206">
        <v>144.76</v>
      </c>
      <c r="T1206" s="14" t="s">
        <v>2385</v>
      </c>
      <c r="U1206" s="1">
        <f t="shared" si="88"/>
        <v>0.51255000000000017</v>
      </c>
    </row>
    <row r="1207" spans="1:21" hidden="1" x14ac:dyDescent="0.25">
      <c r="A1207" s="35" t="s">
        <v>2291</v>
      </c>
      <c r="B1207" t="s">
        <v>2348</v>
      </c>
      <c r="C1207" s="14" t="s">
        <v>39</v>
      </c>
      <c r="D1207" s="15">
        <v>45306</v>
      </c>
      <c r="E1207" s="2"/>
      <c r="H1207" s="14" t="s">
        <v>42</v>
      </c>
      <c r="Q1207" s="2">
        <v>112</v>
      </c>
      <c r="S1207">
        <v>106.9</v>
      </c>
      <c r="T1207" s="14" t="s">
        <v>2385</v>
      </c>
      <c r="U1207" s="1">
        <f t="shared" si="88"/>
        <v>0.43349999999999955</v>
      </c>
    </row>
    <row r="1208" spans="1:21" x14ac:dyDescent="0.25">
      <c r="A1208" s="35" t="s">
        <v>2292</v>
      </c>
      <c r="B1208" t="s">
        <v>2349</v>
      </c>
      <c r="C1208" s="14" t="s">
        <v>39</v>
      </c>
      <c r="D1208" s="15">
        <v>45307</v>
      </c>
      <c r="E1208" s="2">
        <v>247.5</v>
      </c>
      <c r="H1208" t="s">
        <v>126</v>
      </c>
      <c r="Q1208" s="2">
        <v>495</v>
      </c>
      <c r="T1208" s="14" t="s">
        <v>2387</v>
      </c>
      <c r="U1208" s="1">
        <f>_xlfn.XLOOKUP(T1208,$Y$2:$Y$45,$AB$2:$AB$45)*(Q1208)</f>
        <v>19.8</v>
      </c>
    </row>
    <row r="1209" spans="1:21" hidden="1" x14ac:dyDescent="0.25">
      <c r="A1209" s="35" t="s">
        <v>2293</v>
      </c>
      <c r="B1209" t="s">
        <v>2350</v>
      </c>
      <c r="C1209" s="14" t="s">
        <v>39</v>
      </c>
      <c r="D1209" s="15">
        <v>45307</v>
      </c>
      <c r="E1209" s="2"/>
      <c r="H1209" s="14" t="s">
        <v>42</v>
      </c>
      <c r="Q1209" s="2">
        <v>167.74</v>
      </c>
      <c r="S1209">
        <v>134.19</v>
      </c>
      <c r="T1209" s="14" t="s">
        <v>2385</v>
      </c>
      <c r="U1209" s="1">
        <f t="shared" si="88"/>
        <v>2.8517500000000013</v>
      </c>
    </row>
    <row r="1210" spans="1:21" hidden="1" x14ac:dyDescent="0.25">
      <c r="A1210" s="35" t="s">
        <v>2294</v>
      </c>
      <c r="B1210" t="s">
        <v>2351</v>
      </c>
      <c r="C1210" s="14" t="s">
        <v>39</v>
      </c>
      <c r="D1210" s="15">
        <v>45308</v>
      </c>
      <c r="E1210" s="2">
        <v>5322.97</v>
      </c>
      <c r="H1210" t="s">
        <v>104</v>
      </c>
      <c r="Q1210" s="2">
        <v>0</v>
      </c>
      <c r="T1210" s="14" t="s">
        <v>121</v>
      </c>
      <c r="U1210" s="1">
        <f>_xlfn.XLOOKUP(T1210,$Y$2:$Y$45,$AB$2:$AB$45)*(Q1210)</f>
        <v>0</v>
      </c>
    </row>
    <row r="1211" spans="1:21" hidden="1" x14ac:dyDescent="0.25">
      <c r="A1211" s="35" t="s">
        <v>2295</v>
      </c>
      <c r="B1211" t="s">
        <v>2352</v>
      </c>
      <c r="C1211" s="14" t="s">
        <v>39</v>
      </c>
      <c r="D1211" s="15">
        <v>45308</v>
      </c>
      <c r="E1211" s="2"/>
      <c r="H1211" s="14" t="s">
        <v>42</v>
      </c>
      <c r="Q1211" s="2">
        <v>4722.3999999999996</v>
      </c>
      <c r="S1211">
        <v>3981.8</v>
      </c>
      <c r="T1211" s="14" t="s">
        <v>2385</v>
      </c>
      <c r="U1211" s="1">
        <f t="shared" si="88"/>
        <v>62.950999999999958</v>
      </c>
    </row>
    <row r="1212" spans="1:21" hidden="1" x14ac:dyDescent="0.25">
      <c r="A1212" s="35" t="s">
        <v>2296</v>
      </c>
      <c r="B1212" t="s">
        <v>2353</v>
      </c>
      <c r="C1212" s="14" t="s">
        <v>39</v>
      </c>
      <c r="D1212" s="15">
        <v>45308</v>
      </c>
      <c r="E1212" s="2"/>
      <c r="H1212" s="14" t="s">
        <v>42</v>
      </c>
      <c r="Q1212" s="2">
        <v>1199</v>
      </c>
      <c r="S1212">
        <v>964.49</v>
      </c>
      <c r="T1212" s="14" t="s">
        <v>2385</v>
      </c>
      <c r="U1212" s="1">
        <f t="shared" si="88"/>
        <v>19.933350000000001</v>
      </c>
    </row>
    <row r="1213" spans="1:21" hidden="1" x14ac:dyDescent="0.25">
      <c r="A1213" s="35" t="s">
        <v>2297</v>
      </c>
      <c r="B1213" t="s">
        <v>2354</v>
      </c>
      <c r="C1213" s="14" t="s">
        <v>39</v>
      </c>
      <c r="D1213" s="15">
        <v>45309</v>
      </c>
      <c r="E1213" s="2">
        <v>0</v>
      </c>
      <c r="H1213" t="s">
        <v>104</v>
      </c>
      <c r="Q1213" s="2">
        <v>0</v>
      </c>
      <c r="T1213" s="14" t="s">
        <v>2387</v>
      </c>
      <c r="U1213" s="1">
        <f>_xlfn.XLOOKUP(T1213,$Y$2:$Y$45,$AB$2:$AB$45)*(Q1213)</f>
        <v>0</v>
      </c>
    </row>
    <row r="1214" spans="1:21" hidden="1" x14ac:dyDescent="0.25">
      <c r="A1214" s="35" t="s">
        <v>2298</v>
      </c>
      <c r="B1214" t="s">
        <v>2355</v>
      </c>
      <c r="C1214" s="14" t="s">
        <v>39</v>
      </c>
      <c r="D1214" s="15">
        <v>45309</v>
      </c>
      <c r="E1214" s="2">
        <v>0</v>
      </c>
      <c r="H1214" s="14" t="s">
        <v>42</v>
      </c>
      <c r="Q1214" s="2">
        <v>450</v>
      </c>
      <c r="S1214">
        <f>Q1214*0.85</f>
        <v>382.5</v>
      </c>
      <c r="T1214" s="14" t="s">
        <v>156</v>
      </c>
      <c r="U1214" s="36">
        <f t="shared" si="88"/>
        <v>5.4</v>
      </c>
    </row>
    <row r="1215" spans="1:21" hidden="1" x14ac:dyDescent="0.25">
      <c r="A1215" s="35" t="s">
        <v>2299</v>
      </c>
      <c r="B1215" t="s">
        <v>2356</v>
      </c>
      <c r="C1215" s="14" t="s">
        <v>39</v>
      </c>
      <c r="D1215" s="15">
        <v>45309</v>
      </c>
      <c r="E1215" s="2"/>
      <c r="H1215" s="14" t="s">
        <v>42</v>
      </c>
      <c r="Q1215" s="2">
        <v>189</v>
      </c>
      <c r="S1215">
        <v>174.48</v>
      </c>
      <c r="T1215" s="14" t="s">
        <v>2385</v>
      </c>
      <c r="U1215" s="1">
        <f t="shared" si="88"/>
        <v>1.2342000000000009</v>
      </c>
    </row>
    <row r="1216" spans="1:21" hidden="1" x14ac:dyDescent="0.25">
      <c r="A1216" s="35" t="s">
        <v>2300</v>
      </c>
      <c r="B1216" t="s">
        <v>2357</v>
      </c>
      <c r="C1216" s="14" t="s">
        <v>39</v>
      </c>
      <c r="D1216" s="15">
        <v>45309</v>
      </c>
      <c r="E1216" s="2"/>
      <c r="H1216" s="14" t="s">
        <v>42</v>
      </c>
      <c r="Q1216" s="2">
        <v>369</v>
      </c>
      <c r="S1216">
        <v>315.58999999999997</v>
      </c>
      <c r="T1216" s="14" t="s">
        <v>2385</v>
      </c>
      <c r="U1216" s="1">
        <f t="shared" si="88"/>
        <v>4.5398500000000022</v>
      </c>
    </row>
    <row r="1217" spans="1:21" hidden="1" x14ac:dyDescent="0.25">
      <c r="A1217" s="35" t="s">
        <v>2301</v>
      </c>
      <c r="B1217" t="s">
        <v>2358</v>
      </c>
      <c r="C1217" s="14" t="s">
        <v>39</v>
      </c>
      <c r="D1217" s="15">
        <v>45309</v>
      </c>
      <c r="E1217" s="2"/>
      <c r="H1217" s="14" t="s">
        <v>42</v>
      </c>
      <c r="Q1217" s="2">
        <v>677.75</v>
      </c>
      <c r="S1217">
        <v>542.20000000000005</v>
      </c>
      <c r="T1217" s="14" t="s">
        <v>2385</v>
      </c>
      <c r="U1217" s="1">
        <f t="shared" si="88"/>
        <v>11.521749999999997</v>
      </c>
    </row>
    <row r="1218" spans="1:21" hidden="1" x14ac:dyDescent="0.25">
      <c r="A1218" s="35" t="s">
        <v>2302</v>
      </c>
      <c r="B1218" t="s">
        <v>2359</v>
      </c>
      <c r="C1218" s="14" t="s">
        <v>39</v>
      </c>
      <c r="D1218" s="15">
        <v>45310</v>
      </c>
      <c r="E1218" s="2">
        <v>970</v>
      </c>
      <c r="H1218" s="14" t="s">
        <v>2388</v>
      </c>
      <c r="Q1218" s="2">
        <v>1000</v>
      </c>
      <c r="T1218" s="14" t="s">
        <v>168</v>
      </c>
      <c r="U1218" s="1">
        <f>_xlfn.XLOOKUP(T1218,$Y$2:$Y$45,$AB$2:$AB$45)*(Q1218)</f>
        <v>0</v>
      </c>
    </row>
    <row r="1219" spans="1:21" hidden="1" x14ac:dyDescent="0.25">
      <c r="A1219" s="35" t="s">
        <v>2303</v>
      </c>
      <c r="B1219" t="s">
        <v>2360</v>
      </c>
      <c r="C1219" s="14" t="s">
        <v>39</v>
      </c>
      <c r="D1219" s="15">
        <v>45310</v>
      </c>
      <c r="E1219" s="2"/>
      <c r="H1219" s="14" t="s">
        <v>42</v>
      </c>
      <c r="Q1219" s="2">
        <v>581.88</v>
      </c>
      <c r="S1219">
        <v>465.5</v>
      </c>
      <c r="T1219" s="14" t="s">
        <v>2385</v>
      </c>
      <c r="U1219" s="1">
        <f t="shared" si="88"/>
        <v>9.8923000000000005</v>
      </c>
    </row>
    <row r="1220" spans="1:21" hidden="1" x14ac:dyDescent="0.25">
      <c r="A1220" s="35" t="s">
        <v>2304</v>
      </c>
      <c r="B1220" t="s">
        <v>2361</v>
      </c>
      <c r="C1220" s="14" t="s">
        <v>39</v>
      </c>
      <c r="D1220" s="15">
        <v>45310</v>
      </c>
      <c r="E1220" s="2"/>
      <c r="H1220" s="14" t="s">
        <v>42</v>
      </c>
      <c r="Q1220" s="2">
        <v>9797.76</v>
      </c>
      <c r="S1220">
        <v>8164.8</v>
      </c>
      <c r="T1220" s="14" t="s">
        <v>2385</v>
      </c>
      <c r="U1220" s="1">
        <f t="shared" si="88"/>
        <v>138.80160000000001</v>
      </c>
    </row>
    <row r="1221" spans="1:21" hidden="1" x14ac:dyDescent="0.25">
      <c r="A1221" s="35" t="s">
        <v>2305</v>
      </c>
      <c r="B1221" t="s">
        <v>2362</v>
      </c>
      <c r="C1221" s="14" t="s">
        <v>39</v>
      </c>
      <c r="D1221" s="15">
        <v>45310</v>
      </c>
      <c r="E1221" s="2"/>
      <c r="H1221" s="14" t="s">
        <v>42</v>
      </c>
      <c r="Q1221" s="2">
        <v>13462.45</v>
      </c>
      <c r="S1221">
        <v>7661.17</v>
      </c>
      <c r="T1221" s="14" t="s">
        <v>2385</v>
      </c>
      <c r="U1221" s="1">
        <f t="shared" si="88"/>
        <v>493.10880000000009</v>
      </c>
    </row>
    <row r="1222" spans="1:21" x14ac:dyDescent="0.25">
      <c r="A1222" s="35" t="s">
        <v>2306</v>
      </c>
      <c r="B1222" s="40" t="s">
        <v>2363</v>
      </c>
      <c r="C1222" s="14" t="s">
        <v>39</v>
      </c>
      <c r="D1222" s="15">
        <v>45313</v>
      </c>
      <c r="E1222" s="2">
        <v>0</v>
      </c>
      <c r="H1222" s="14" t="s">
        <v>93</v>
      </c>
      <c r="Q1222" s="2">
        <v>6725</v>
      </c>
      <c r="T1222" s="14" t="s">
        <v>117</v>
      </c>
      <c r="U1222" s="1">
        <f>_xlfn.XLOOKUP(T1222,$Y$2:$Y$45,$AB$2:$AB$45)*(Q1222)</f>
        <v>269</v>
      </c>
    </row>
    <row r="1223" spans="1:21" hidden="1" x14ac:dyDescent="0.25">
      <c r="A1223" s="35" t="s">
        <v>2307</v>
      </c>
      <c r="B1223" t="s">
        <v>2364</v>
      </c>
      <c r="C1223" s="14" t="s">
        <v>39</v>
      </c>
      <c r="D1223" s="15">
        <v>45313</v>
      </c>
      <c r="E1223" s="2"/>
      <c r="H1223" s="14" t="s">
        <v>42</v>
      </c>
      <c r="Q1223" s="2">
        <v>1712</v>
      </c>
      <c r="S1223">
        <v>1557.92</v>
      </c>
      <c r="T1223" s="14" t="s">
        <v>2385</v>
      </c>
      <c r="U1223" s="1">
        <f t="shared" si="88"/>
        <v>13.096799999999995</v>
      </c>
    </row>
    <row r="1224" spans="1:21" hidden="1" x14ac:dyDescent="0.25">
      <c r="A1224" s="35" t="s">
        <v>2308</v>
      </c>
      <c r="B1224" t="s">
        <v>2365</v>
      </c>
      <c r="C1224" s="14" t="s">
        <v>39</v>
      </c>
      <c r="D1224" s="15">
        <v>45314</v>
      </c>
      <c r="E1224" s="2">
        <v>0</v>
      </c>
      <c r="H1224" s="14" t="s">
        <v>42</v>
      </c>
      <c r="Q1224" s="2">
        <v>4790.3</v>
      </c>
      <c r="S1224">
        <f>Q1224*0.85</f>
        <v>4071.7550000000001</v>
      </c>
      <c r="T1224" s="14" t="s">
        <v>2386</v>
      </c>
      <c r="U1224" s="36">
        <f t="shared" si="88"/>
        <v>28.741800000000005</v>
      </c>
    </row>
    <row r="1225" spans="1:21" x14ac:dyDescent="0.25">
      <c r="A1225" s="35" t="s">
        <v>2309</v>
      </c>
      <c r="B1225" t="s">
        <v>2366</v>
      </c>
      <c r="C1225" s="14" t="s">
        <v>39</v>
      </c>
      <c r="D1225" s="15">
        <v>45314</v>
      </c>
      <c r="E1225" s="2">
        <v>292.5</v>
      </c>
      <c r="H1225" t="s">
        <v>126</v>
      </c>
      <c r="Q1225" s="2">
        <v>0</v>
      </c>
      <c r="T1225" s="14" t="s">
        <v>2387</v>
      </c>
      <c r="U1225" s="1">
        <f>_xlfn.XLOOKUP(T1225,$Y$2:$Y$45,$AB$2:$AB$45)*(Q1225)</f>
        <v>0</v>
      </c>
    </row>
    <row r="1226" spans="1:21" hidden="1" x14ac:dyDescent="0.25">
      <c r="A1226" s="35" t="s">
        <v>2310</v>
      </c>
      <c r="B1226" t="s">
        <v>2367</v>
      </c>
      <c r="C1226" s="14" t="s">
        <v>39</v>
      </c>
      <c r="D1226" s="15">
        <v>45314</v>
      </c>
      <c r="E1226" s="2"/>
      <c r="H1226" s="14" t="s">
        <v>42</v>
      </c>
      <c r="Q1226" s="2">
        <v>22599.8</v>
      </c>
      <c r="S1226">
        <v>19289.8</v>
      </c>
      <c r="T1226" s="14" t="s">
        <v>2385</v>
      </c>
      <c r="U1226" s="1">
        <f t="shared" si="88"/>
        <v>281.35000000000002</v>
      </c>
    </row>
    <row r="1227" spans="1:21" hidden="1" x14ac:dyDescent="0.25">
      <c r="A1227" s="35" t="s">
        <v>2311</v>
      </c>
      <c r="B1227" t="s">
        <v>2368</v>
      </c>
      <c r="C1227" s="14" t="s">
        <v>39</v>
      </c>
      <c r="D1227" s="15">
        <v>45314</v>
      </c>
      <c r="E1227" s="2"/>
      <c r="H1227" s="14" t="s">
        <v>42</v>
      </c>
      <c r="Q1227" s="2">
        <v>1293.2</v>
      </c>
      <c r="S1227">
        <v>1034.56</v>
      </c>
      <c r="T1227" s="14" t="s">
        <v>2385</v>
      </c>
      <c r="U1227" s="1">
        <f t="shared" si="88"/>
        <v>21.984400000000011</v>
      </c>
    </row>
    <row r="1228" spans="1:21" hidden="1" x14ac:dyDescent="0.25">
      <c r="A1228" s="35" t="s">
        <v>2312</v>
      </c>
      <c r="B1228" t="s">
        <v>2369</v>
      </c>
      <c r="C1228" s="14" t="s">
        <v>39</v>
      </c>
      <c r="D1228" s="15">
        <v>45314</v>
      </c>
      <c r="E1228" s="2"/>
      <c r="H1228" s="14" t="s">
        <v>42</v>
      </c>
      <c r="Q1228" s="2">
        <v>1791.38</v>
      </c>
      <c r="S1228">
        <v>1043.3499999999999</v>
      </c>
      <c r="T1228" s="14" t="s">
        <v>2385</v>
      </c>
      <c r="U1228" s="1">
        <f t="shared" si="88"/>
        <v>63.582550000000019</v>
      </c>
    </row>
    <row r="1229" spans="1:21" hidden="1" x14ac:dyDescent="0.25">
      <c r="A1229" s="35" t="s">
        <v>2313</v>
      </c>
      <c r="B1229" t="s">
        <v>2370</v>
      </c>
      <c r="C1229" s="14" t="s">
        <v>39</v>
      </c>
      <c r="D1229" s="15">
        <v>45314</v>
      </c>
      <c r="E1229" s="2"/>
      <c r="H1229" s="14" t="s">
        <v>42</v>
      </c>
      <c r="Q1229" s="2">
        <v>5848.22</v>
      </c>
      <c r="S1229">
        <v>5080.3</v>
      </c>
      <c r="T1229" s="14" t="s">
        <v>2385</v>
      </c>
      <c r="U1229" s="1">
        <f t="shared" si="88"/>
        <v>65.273200000000017</v>
      </c>
    </row>
    <row r="1230" spans="1:21" hidden="1" x14ac:dyDescent="0.25">
      <c r="A1230" s="35" t="s">
        <v>2314</v>
      </c>
      <c r="B1230" t="s">
        <v>2371</v>
      </c>
      <c r="C1230" s="14" t="s">
        <v>39</v>
      </c>
      <c r="D1230" s="15">
        <v>45314</v>
      </c>
      <c r="E1230" s="2"/>
      <c r="H1230" s="14" t="s">
        <v>42</v>
      </c>
      <c r="Q1230" s="2">
        <v>71.89</v>
      </c>
      <c r="S1230">
        <v>62.51</v>
      </c>
      <c r="T1230" s="14" t="s">
        <v>2385</v>
      </c>
      <c r="U1230" s="1">
        <f t="shared" si="88"/>
        <v>0.79730000000000023</v>
      </c>
    </row>
    <row r="1231" spans="1:21" hidden="1" x14ac:dyDescent="0.25">
      <c r="A1231" s="35" t="s">
        <v>2315</v>
      </c>
      <c r="B1231" t="s">
        <v>2372</v>
      </c>
      <c r="C1231" s="14" t="s">
        <v>39</v>
      </c>
      <c r="D1231" s="15">
        <v>45314</v>
      </c>
      <c r="E1231" s="2"/>
      <c r="H1231" s="14" t="s">
        <v>42</v>
      </c>
      <c r="Q1231" s="2">
        <v>135</v>
      </c>
      <c r="S1231">
        <v>109.64</v>
      </c>
      <c r="T1231" s="14" t="s">
        <v>2385</v>
      </c>
      <c r="U1231" s="1">
        <f t="shared" si="88"/>
        <v>2.1556000000000002</v>
      </c>
    </row>
    <row r="1232" spans="1:21" hidden="1" x14ac:dyDescent="0.25">
      <c r="A1232" s="35" t="s">
        <v>2316</v>
      </c>
      <c r="B1232" t="s">
        <v>2373</v>
      </c>
      <c r="C1232" s="14" t="s">
        <v>39</v>
      </c>
      <c r="D1232" s="15">
        <v>45314</v>
      </c>
      <c r="E1232" s="2"/>
      <c r="H1232" s="14" t="s">
        <v>42</v>
      </c>
      <c r="Q1232" s="2">
        <v>1848</v>
      </c>
      <c r="S1232">
        <v>1682.77</v>
      </c>
      <c r="T1232" s="14" t="s">
        <v>2385</v>
      </c>
      <c r="U1232" s="1">
        <f t="shared" si="88"/>
        <v>14.044550000000003</v>
      </c>
    </row>
    <row r="1233" spans="1:21" hidden="1" x14ac:dyDescent="0.25">
      <c r="A1233" s="35" t="s">
        <v>2317</v>
      </c>
      <c r="B1233" t="s">
        <v>2374</v>
      </c>
      <c r="C1233" s="14" t="s">
        <v>39</v>
      </c>
      <c r="D1233" s="15">
        <v>45314</v>
      </c>
      <c r="E1233" s="2"/>
      <c r="H1233" s="14" t="s">
        <v>42</v>
      </c>
      <c r="Q1233" s="2">
        <v>3060</v>
      </c>
      <c r="S1233">
        <v>2448</v>
      </c>
      <c r="T1233" s="14" t="s">
        <v>2385</v>
      </c>
      <c r="U1233" s="1">
        <f t="shared" si="88"/>
        <v>52.02</v>
      </c>
    </row>
    <row r="1234" spans="1:21" x14ac:dyDescent="0.25">
      <c r="A1234" s="35" t="s">
        <v>2318</v>
      </c>
      <c r="B1234" t="s">
        <v>2375</v>
      </c>
      <c r="C1234" s="14" t="s">
        <v>39</v>
      </c>
      <c r="D1234" s="15">
        <v>45315</v>
      </c>
      <c r="E1234" s="2">
        <v>1200</v>
      </c>
      <c r="H1234" t="s">
        <v>126</v>
      </c>
      <c r="Q1234" s="2">
        <v>0</v>
      </c>
      <c r="T1234" s="14" t="s">
        <v>143</v>
      </c>
      <c r="U1234" s="1">
        <f>_xlfn.XLOOKUP(T1234,$Y$2:$Y$45,$AB$2:$AB$45)*(Q1234)</f>
        <v>0</v>
      </c>
    </row>
    <row r="1235" spans="1:21" hidden="1" x14ac:dyDescent="0.25">
      <c r="A1235" s="35" t="s">
        <v>2319</v>
      </c>
      <c r="B1235" t="s">
        <v>2376</v>
      </c>
      <c r="C1235" s="14" t="s">
        <v>39</v>
      </c>
      <c r="D1235" s="15">
        <v>45315</v>
      </c>
      <c r="E1235" s="2"/>
      <c r="H1235" s="14" t="s">
        <v>42</v>
      </c>
      <c r="Q1235" s="2">
        <v>1205.6099999999999</v>
      </c>
      <c r="S1235">
        <v>964.49</v>
      </c>
      <c r="T1235" s="14" t="s">
        <v>2385</v>
      </c>
      <c r="U1235" s="1">
        <f t="shared" si="88"/>
        <v>20.495199999999993</v>
      </c>
    </row>
    <row r="1236" spans="1:21" hidden="1" x14ac:dyDescent="0.25">
      <c r="A1236" s="35" t="s">
        <v>2320</v>
      </c>
      <c r="B1236" t="s">
        <v>2377</v>
      </c>
      <c r="C1236" s="14" t="s">
        <v>39</v>
      </c>
      <c r="D1236" s="15">
        <v>45316</v>
      </c>
      <c r="E1236" s="2"/>
      <c r="H1236" s="14" t="s">
        <v>42</v>
      </c>
      <c r="Q1236" s="2">
        <v>851.16</v>
      </c>
      <c r="S1236">
        <v>653</v>
      </c>
      <c r="T1236" s="14" t="s">
        <v>2385</v>
      </c>
      <c r="U1236" s="1">
        <f t="shared" si="88"/>
        <v>16.843599999999999</v>
      </c>
    </row>
    <row r="1237" spans="1:21" hidden="1" x14ac:dyDescent="0.25">
      <c r="A1237" s="35" t="s">
        <v>2321</v>
      </c>
      <c r="B1237" t="s">
        <v>2378</v>
      </c>
      <c r="C1237" s="14" t="s">
        <v>39</v>
      </c>
      <c r="D1237" s="15">
        <v>45316</v>
      </c>
      <c r="E1237" s="2"/>
      <c r="H1237" s="14" t="s">
        <v>42</v>
      </c>
      <c r="Q1237" s="2">
        <v>12970.72</v>
      </c>
      <c r="S1237">
        <v>10442.33</v>
      </c>
      <c r="T1237" s="14" t="s">
        <v>2385</v>
      </c>
      <c r="U1237" s="1">
        <f t="shared" si="88"/>
        <v>214.91314999999997</v>
      </c>
    </row>
    <row r="1238" spans="1:21" hidden="1" x14ac:dyDescent="0.25">
      <c r="A1238" s="35" t="s">
        <v>2322</v>
      </c>
      <c r="B1238" t="s">
        <v>2379</v>
      </c>
      <c r="C1238" s="14" t="s">
        <v>39</v>
      </c>
      <c r="D1238" s="15">
        <v>45317</v>
      </c>
      <c r="E1238" s="2"/>
      <c r="H1238" s="14" t="s">
        <v>42</v>
      </c>
      <c r="Q1238" s="2">
        <v>15245.5</v>
      </c>
      <c r="S1238">
        <v>13216.8</v>
      </c>
      <c r="T1238" s="14" t="s">
        <v>2385</v>
      </c>
      <c r="U1238" s="1">
        <f t="shared" si="88"/>
        <v>172.43950000000007</v>
      </c>
    </row>
    <row r="1239" spans="1:21" hidden="1" x14ac:dyDescent="0.25">
      <c r="A1239" s="35" t="s">
        <v>2323</v>
      </c>
      <c r="B1239" t="s">
        <v>2380</v>
      </c>
      <c r="C1239" s="14" t="s">
        <v>39</v>
      </c>
      <c r="D1239" s="15">
        <v>45318</v>
      </c>
      <c r="E1239" s="2"/>
      <c r="H1239" s="14" t="s">
        <v>42</v>
      </c>
      <c r="Q1239" s="2">
        <v>3792</v>
      </c>
      <c r="S1239">
        <v>3405.92</v>
      </c>
      <c r="T1239" s="14" t="s">
        <v>2385</v>
      </c>
      <c r="U1239" s="1">
        <f t="shared" si="88"/>
        <v>32.816799999999994</v>
      </c>
    </row>
    <row r="1240" spans="1:21" hidden="1" x14ac:dyDescent="0.25">
      <c r="A1240" s="35" t="s">
        <v>2324</v>
      </c>
      <c r="B1240" t="s">
        <v>2381</v>
      </c>
      <c r="C1240" s="14" t="s">
        <v>39</v>
      </c>
      <c r="D1240" s="15">
        <v>45320</v>
      </c>
      <c r="E1240" s="2"/>
      <c r="H1240" s="14" t="s">
        <v>42</v>
      </c>
      <c r="Q1240" s="2">
        <v>3223</v>
      </c>
      <c r="S1240">
        <v>2578.4</v>
      </c>
      <c r="T1240" s="14" t="s">
        <v>2385</v>
      </c>
      <c r="U1240" s="1">
        <f t="shared" si="88"/>
        <v>54.790999999999997</v>
      </c>
    </row>
    <row r="1241" spans="1:21" x14ac:dyDescent="0.25">
      <c r="A1241" s="35" t="s">
        <v>2325</v>
      </c>
      <c r="B1241" t="s">
        <v>2382</v>
      </c>
      <c r="C1241" s="14" t="s">
        <v>39</v>
      </c>
      <c r="D1241" s="15">
        <v>45316</v>
      </c>
      <c r="E1241" s="2">
        <v>0</v>
      </c>
      <c r="H1241" s="14" t="s">
        <v>93</v>
      </c>
      <c r="Q1241" s="2">
        <v>1320</v>
      </c>
      <c r="T1241" s="14" t="s">
        <v>70</v>
      </c>
      <c r="U1241" s="1">
        <f>_xlfn.XLOOKUP(T1241,$Y$2:$Y$45,$AB$2:$AB$45)*(Q1241)</f>
        <v>0</v>
      </c>
    </row>
    <row r="1242" spans="1:21" hidden="1" x14ac:dyDescent="0.25">
      <c r="A1242" s="35" t="s">
        <v>2326</v>
      </c>
      <c r="B1242" t="s">
        <v>2383</v>
      </c>
      <c r="C1242" s="14" t="s">
        <v>39</v>
      </c>
      <c r="D1242" s="15">
        <v>45321</v>
      </c>
      <c r="E1242" s="2"/>
      <c r="H1242" s="14" t="s">
        <v>42</v>
      </c>
      <c r="Q1242" s="2">
        <v>1629.04</v>
      </c>
      <c r="S1242">
        <v>1416.56</v>
      </c>
      <c r="T1242" s="14" t="s">
        <v>2385</v>
      </c>
      <c r="U1242" s="1">
        <f t="shared" si="88"/>
        <v>18.060800000000004</v>
      </c>
    </row>
    <row r="1243" spans="1:21" hidden="1" x14ac:dyDescent="0.25">
      <c r="A1243" s="35" t="s">
        <v>2327</v>
      </c>
      <c r="B1243" t="s">
        <v>2384</v>
      </c>
      <c r="C1243" s="14" t="s">
        <v>39</v>
      </c>
      <c r="D1243" s="15">
        <v>45321</v>
      </c>
      <c r="E1243" s="2"/>
      <c r="H1243" s="14" t="s">
        <v>42</v>
      </c>
      <c r="Q1243" s="2">
        <v>750.58</v>
      </c>
      <c r="S1243">
        <v>652.67999999999995</v>
      </c>
      <c r="T1243" s="14" t="s">
        <v>2385</v>
      </c>
      <c r="U1243" s="1">
        <f t="shared" si="88"/>
        <v>8.3215000000000074</v>
      </c>
    </row>
  </sheetData>
  <autoFilter ref="A1:U1243" xr:uid="{001DFE05-54ED-4092-AD55-237218030F17}">
    <filterColumn colId="7">
      <filters>
        <filter val="IT/LAN Installation"/>
        <filter val="Managed Security Services"/>
      </filters>
    </filterColumn>
  </autoFilter>
  <conditionalFormatting sqref="A1186:A1243">
    <cfRule type="duplicateValues" dxfId="14" priority="20"/>
    <cfRule type="duplicateValues" dxfId="13" priority="2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62361-42D3-4027-B7C7-604C780A27E2}">
  <dimension ref="A1:L45"/>
  <sheetViews>
    <sheetView topLeftCell="A10" workbookViewId="0">
      <selection activeCell="E6" sqref="E6"/>
    </sheetView>
  </sheetViews>
  <sheetFormatPr defaultRowHeight="15" x14ac:dyDescent="0.25"/>
  <cols>
    <col min="1" max="1" width="18.7109375" bestFit="1" customWidth="1"/>
    <col min="2" max="2" width="19" bestFit="1" customWidth="1"/>
    <col min="3" max="3" width="19" customWidth="1"/>
    <col min="4" max="4" width="22.85546875" bestFit="1" customWidth="1"/>
    <col min="5" max="5" width="12.140625" bestFit="1" customWidth="1"/>
    <col min="6" max="12" width="9.140625" style="20"/>
  </cols>
  <sheetData>
    <row r="1" spans="1:12" x14ac:dyDescent="0.25">
      <c r="A1" t="s">
        <v>32</v>
      </c>
      <c r="B1" t="s">
        <v>33</v>
      </c>
      <c r="C1" t="s">
        <v>2434</v>
      </c>
      <c r="D1" t="s">
        <v>34</v>
      </c>
      <c r="E1" t="s">
        <v>35</v>
      </c>
      <c r="F1" s="32">
        <v>0</v>
      </c>
      <c r="G1" s="33">
        <v>1</v>
      </c>
      <c r="H1" s="33">
        <v>12</v>
      </c>
      <c r="I1" s="32">
        <v>24</v>
      </c>
      <c r="J1" s="32">
        <v>36</v>
      </c>
      <c r="K1" s="32">
        <v>48</v>
      </c>
      <c r="L1" s="32">
        <v>60</v>
      </c>
    </row>
    <row r="2" spans="1:12" x14ac:dyDescent="0.25">
      <c r="A2" t="s">
        <v>43</v>
      </c>
      <c r="B2" t="s">
        <v>44</v>
      </c>
      <c r="C2" t="s">
        <v>2435</v>
      </c>
      <c r="D2" s="17">
        <v>8.5000000000000006E-2</v>
      </c>
      <c r="E2" s="17">
        <v>0.04</v>
      </c>
      <c r="F2" s="20">
        <v>0</v>
      </c>
      <c r="G2" s="31">
        <v>0</v>
      </c>
      <c r="H2" s="34">
        <v>0.125</v>
      </c>
      <c r="I2" s="34">
        <v>0.125</v>
      </c>
      <c r="J2" s="34">
        <v>0.5</v>
      </c>
      <c r="K2" s="34">
        <v>0.5</v>
      </c>
      <c r="L2" s="34">
        <v>0.625</v>
      </c>
    </row>
    <row r="3" spans="1:12" x14ac:dyDescent="0.25">
      <c r="A3" t="s">
        <v>47</v>
      </c>
      <c r="B3" t="s">
        <v>44</v>
      </c>
      <c r="C3" t="s">
        <v>2435</v>
      </c>
      <c r="D3" s="17">
        <v>8.5000000000000006E-2</v>
      </c>
      <c r="E3" s="17">
        <v>0.04</v>
      </c>
      <c r="F3" s="20">
        <v>0</v>
      </c>
      <c r="G3" s="31">
        <v>0</v>
      </c>
      <c r="H3" s="34">
        <v>0.125</v>
      </c>
      <c r="I3" s="34">
        <v>0.125</v>
      </c>
      <c r="J3" s="34">
        <v>0.5</v>
      </c>
      <c r="K3" s="34">
        <v>0.5</v>
      </c>
      <c r="L3" s="34">
        <v>0.625</v>
      </c>
    </row>
    <row r="4" spans="1:12" x14ac:dyDescent="0.25">
      <c r="A4" t="s">
        <v>51</v>
      </c>
      <c r="B4" t="s">
        <v>44</v>
      </c>
      <c r="C4" t="s">
        <v>2435</v>
      </c>
      <c r="D4" s="17">
        <v>8.5000000000000006E-2</v>
      </c>
      <c r="E4" s="17">
        <v>0.04</v>
      </c>
      <c r="F4" s="20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</row>
    <row r="5" spans="1:12" x14ac:dyDescent="0.25">
      <c r="A5" t="s">
        <v>56</v>
      </c>
      <c r="B5" t="s">
        <v>44</v>
      </c>
      <c r="C5" t="s">
        <v>2435</v>
      </c>
      <c r="D5" s="17">
        <v>8.5000000000000006E-2</v>
      </c>
      <c r="E5" s="17">
        <v>0.04</v>
      </c>
      <c r="F5" s="20">
        <v>0</v>
      </c>
      <c r="G5" s="31">
        <v>0</v>
      </c>
      <c r="H5" s="34">
        <v>0.125</v>
      </c>
      <c r="I5" s="34">
        <v>0.125</v>
      </c>
      <c r="J5" s="34">
        <v>0.5</v>
      </c>
      <c r="K5" s="34">
        <v>0.5</v>
      </c>
      <c r="L5" s="34">
        <v>0.625</v>
      </c>
    </row>
    <row r="6" spans="1:12" x14ac:dyDescent="0.25">
      <c r="A6" t="s">
        <v>2385</v>
      </c>
      <c r="B6" t="s">
        <v>44</v>
      </c>
      <c r="C6" t="s">
        <v>2435</v>
      </c>
      <c r="D6" s="17">
        <v>8.5000000000000006E-2</v>
      </c>
      <c r="E6" s="17">
        <v>0.04</v>
      </c>
      <c r="F6" s="20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</row>
    <row r="7" spans="1:12" x14ac:dyDescent="0.25">
      <c r="A7" t="s">
        <v>61</v>
      </c>
      <c r="B7" t="s">
        <v>62</v>
      </c>
      <c r="C7" t="s">
        <v>2435</v>
      </c>
      <c r="D7" s="17">
        <v>0</v>
      </c>
      <c r="E7" s="17">
        <v>0</v>
      </c>
      <c r="F7" s="20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</row>
    <row r="8" spans="1:12" x14ac:dyDescent="0.25">
      <c r="A8" t="s">
        <v>66</v>
      </c>
      <c r="B8" t="s">
        <v>62</v>
      </c>
      <c r="C8" t="s">
        <v>2435</v>
      </c>
      <c r="D8" s="17">
        <v>0</v>
      </c>
      <c r="E8" s="17">
        <v>0</v>
      </c>
      <c r="F8" s="20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</row>
    <row r="9" spans="1:12" x14ac:dyDescent="0.25">
      <c r="A9" t="s">
        <v>70</v>
      </c>
      <c r="B9" t="s">
        <v>71</v>
      </c>
      <c r="C9" t="s">
        <v>2435</v>
      </c>
      <c r="D9" s="20">
        <v>0</v>
      </c>
      <c r="E9" s="20">
        <v>0</v>
      </c>
      <c r="F9" s="20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</row>
    <row r="10" spans="1:12" x14ac:dyDescent="0.25">
      <c r="A10" t="s">
        <v>74</v>
      </c>
      <c r="B10" t="s">
        <v>71</v>
      </c>
      <c r="C10" t="s">
        <v>2435</v>
      </c>
      <c r="D10" s="20">
        <v>0</v>
      </c>
      <c r="E10" s="20">
        <v>0</v>
      </c>
      <c r="F10" s="20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</row>
    <row r="11" spans="1:12" x14ac:dyDescent="0.25">
      <c r="A11" t="s">
        <v>77</v>
      </c>
      <c r="B11" t="s">
        <v>71</v>
      </c>
      <c r="C11" t="s">
        <v>2435</v>
      </c>
      <c r="D11" s="20">
        <v>0</v>
      </c>
      <c r="E11" s="20">
        <v>0</v>
      </c>
      <c r="F11" s="20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</row>
    <row r="12" spans="1:12" x14ac:dyDescent="0.25">
      <c r="A12" t="s">
        <v>80</v>
      </c>
      <c r="B12" t="s">
        <v>81</v>
      </c>
      <c r="C12" s="37" t="s">
        <v>2436</v>
      </c>
      <c r="D12" s="17">
        <v>0.04</v>
      </c>
      <c r="E12" s="17">
        <v>0.04</v>
      </c>
      <c r="F12" s="20">
        <v>0</v>
      </c>
      <c r="G12" s="31">
        <v>0</v>
      </c>
      <c r="H12" s="31">
        <v>0.35</v>
      </c>
      <c r="I12" s="31">
        <v>0.5</v>
      </c>
      <c r="J12" s="31">
        <v>1</v>
      </c>
      <c r="K12" s="31">
        <v>1.25</v>
      </c>
      <c r="L12" s="31">
        <v>1.5</v>
      </c>
    </row>
    <row r="13" spans="1:12" x14ac:dyDescent="0.25">
      <c r="A13" t="s">
        <v>84</v>
      </c>
      <c r="B13" t="s">
        <v>81</v>
      </c>
      <c r="C13" s="37" t="s">
        <v>2436</v>
      </c>
      <c r="D13" s="17">
        <v>0.04</v>
      </c>
      <c r="E13" s="17">
        <v>0.04</v>
      </c>
      <c r="F13" s="20">
        <v>0</v>
      </c>
      <c r="G13" s="31">
        <v>0</v>
      </c>
      <c r="H13" s="31">
        <v>0.35</v>
      </c>
      <c r="I13" s="31">
        <v>0.5</v>
      </c>
      <c r="J13" s="31">
        <v>1</v>
      </c>
      <c r="K13" s="31">
        <v>1.25</v>
      </c>
      <c r="L13" s="31">
        <v>1.5</v>
      </c>
    </row>
    <row r="14" spans="1:12" x14ac:dyDescent="0.25">
      <c r="A14" t="s">
        <v>87</v>
      </c>
      <c r="B14" t="s">
        <v>81</v>
      </c>
      <c r="C14" s="37" t="s">
        <v>2436</v>
      </c>
      <c r="D14" s="17">
        <v>0.04</v>
      </c>
      <c r="E14" s="17">
        <v>0.04</v>
      </c>
      <c r="F14" s="20">
        <v>0</v>
      </c>
      <c r="G14" s="31">
        <v>0</v>
      </c>
      <c r="H14" s="31">
        <v>0.35</v>
      </c>
      <c r="I14" s="31">
        <v>0.5</v>
      </c>
      <c r="J14" s="31">
        <v>1</v>
      </c>
      <c r="K14" s="31">
        <v>1.25</v>
      </c>
      <c r="L14" s="31">
        <v>1.5</v>
      </c>
    </row>
    <row r="15" spans="1:12" x14ac:dyDescent="0.25">
      <c r="A15" t="s">
        <v>90</v>
      </c>
      <c r="B15" t="s">
        <v>81</v>
      </c>
      <c r="C15" s="37" t="s">
        <v>2437</v>
      </c>
      <c r="D15" s="17">
        <v>0.04</v>
      </c>
      <c r="E15" s="17">
        <v>0.04</v>
      </c>
      <c r="F15" s="20">
        <v>0</v>
      </c>
      <c r="G15" s="31">
        <v>0</v>
      </c>
      <c r="H15" s="31">
        <v>0.35</v>
      </c>
      <c r="I15" s="31">
        <v>0.5</v>
      </c>
      <c r="J15" s="31">
        <v>1</v>
      </c>
      <c r="K15" s="31">
        <v>1.25</v>
      </c>
      <c r="L15" s="31">
        <v>1.5</v>
      </c>
    </row>
    <row r="16" spans="1:12" x14ac:dyDescent="0.25">
      <c r="A16" t="s">
        <v>94</v>
      </c>
      <c r="B16" t="s">
        <v>81</v>
      </c>
      <c r="C16" s="37" t="s">
        <v>2437</v>
      </c>
      <c r="D16" s="17">
        <v>0.04</v>
      </c>
      <c r="E16" s="17">
        <v>0.04</v>
      </c>
      <c r="F16" s="20">
        <v>0</v>
      </c>
      <c r="G16" s="31">
        <v>0</v>
      </c>
      <c r="H16" s="31">
        <v>0.35</v>
      </c>
      <c r="I16" s="31">
        <v>0.5</v>
      </c>
      <c r="J16" s="31">
        <v>1</v>
      </c>
      <c r="K16" s="31">
        <v>1.25</v>
      </c>
      <c r="L16" s="31">
        <v>1.5</v>
      </c>
    </row>
    <row r="17" spans="1:12" x14ac:dyDescent="0.25">
      <c r="A17" t="s">
        <v>97</v>
      </c>
      <c r="B17" t="s">
        <v>81</v>
      </c>
      <c r="C17" s="37" t="s">
        <v>2437</v>
      </c>
      <c r="D17" s="17">
        <v>0.04</v>
      </c>
      <c r="E17" s="17">
        <v>0.04</v>
      </c>
      <c r="F17" s="20">
        <v>0</v>
      </c>
      <c r="G17" s="31">
        <v>0</v>
      </c>
      <c r="H17" s="31">
        <v>0.35</v>
      </c>
      <c r="I17" s="31">
        <v>0.5</v>
      </c>
      <c r="J17" s="31">
        <v>1</v>
      </c>
      <c r="K17" s="31">
        <v>1.25</v>
      </c>
      <c r="L17" s="31">
        <v>1.5</v>
      </c>
    </row>
    <row r="18" spans="1:12" x14ac:dyDescent="0.25">
      <c r="A18" t="s">
        <v>100</v>
      </c>
      <c r="B18" t="s">
        <v>81</v>
      </c>
      <c r="C18" s="37" t="s">
        <v>2438</v>
      </c>
      <c r="D18" s="17">
        <v>0.04</v>
      </c>
      <c r="E18" s="17">
        <v>0.04</v>
      </c>
      <c r="F18" s="20">
        <v>0</v>
      </c>
      <c r="G18" s="31">
        <v>0</v>
      </c>
      <c r="H18" s="31">
        <v>0.35</v>
      </c>
      <c r="I18" s="31">
        <v>0.5</v>
      </c>
      <c r="J18" s="31">
        <v>1</v>
      </c>
      <c r="K18" s="31">
        <v>1.25</v>
      </c>
      <c r="L18" s="31">
        <v>1.5</v>
      </c>
    </row>
    <row r="19" spans="1:12" x14ac:dyDescent="0.25">
      <c r="A19" t="s">
        <v>105</v>
      </c>
      <c r="B19" t="s">
        <v>81</v>
      </c>
      <c r="C19" s="37" t="s">
        <v>2438</v>
      </c>
      <c r="D19" s="17">
        <v>0.04</v>
      </c>
      <c r="E19" s="17">
        <v>0.04</v>
      </c>
      <c r="F19" s="20">
        <v>0</v>
      </c>
      <c r="G19" s="31">
        <v>0</v>
      </c>
      <c r="H19" s="31">
        <v>0.35</v>
      </c>
      <c r="I19" s="31">
        <v>0.5</v>
      </c>
      <c r="J19" s="31">
        <v>1</v>
      </c>
      <c r="K19" s="31">
        <v>1.25</v>
      </c>
      <c r="L19" s="31">
        <v>1.5</v>
      </c>
    </row>
    <row r="20" spans="1:12" x14ac:dyDescent="0.25">
      <c r="A20" t="s">
        <v>107</v>
      </c>
      <c r="B20" t="s">
        <v>81</v>
      </c>
      <c r="C20" s="37" t="s">
        <v>2438</v>
      </c>
      <c r="D20" s="17">
        <v>0.04</v>
      </c>
      <c r="E20" s="17">
        <v>0.04</v>
      </c>
      <c r="F20" s="20">
        <v>0</v>
      </c>
      <c r="G20" s="31">
        <v>0</v>
      </c>
      <c r="H20" s="31">
        <v>0.35</v>
      </c>
      <c r="I20" s="31">
        <v>0.5</v>
      </c>
      <c r="J20" s="31">
        <v>1</v>
      </c>
      <c r="K20" s="31">
        <v>1.25</v>
      </c>
      <c r="L20" s="31">
        <v>1.5</v>
      </c>
    </row>
    <row r="21" spans="1:12" x14ac:dyDescent="0.25">
      <c r="A21" t="s">
        <v>110</v>
      </c>
      <c r="B21" t="s">
        <v>81</v>
      </c>
      <c r="C21" s="37" t="s">
        <v>2438</v>
      </c>
      <c r="D21" s="17">
        <v>0.04</v>
      </c>
      <c r="E21" s="17">
        <v>0.04</v>
      </c>
      <c r="F21" s="20">
        <v>0</v>
      </c>
      <c r="G21" s="31">
        <v>0</v>
      </c>
      <c r="H21" s="31">
        <v>0.35</v>
      </c>
      <c r="I21" s="31">
        <v>0.5</v>
      </c>
      <c r="J21" s="31">
        <v>1</v>
      </c>
      <c r="K21" s="31">
        <v>1.25</v>
      </c>
      <c r="L21" s="31">
        <v>1.5</v>
      </c>
    </row>
    <row r="22" spans="1:12" x14ac:dyDescent="0.25">
      <c r="A22" t="s">
        <v>2386</v>
      </c>
      <c r="B22" t="s">
        <v>81</v>
      </c>
      <c r="C22" s="37" t="s">
        <v>168</v>
      </c>
      <c r="D22" s="17">
        <v>0.04</v>
      </c>
      <c r="E22" s="17">
        <v>0.04</v>
      </c>
      <c r="F22" s="20">
        <v>0</v>
      </c>
      <c r="G22" s="31">
        <v>0</v>
      </c>
      <c r="H22" s="31">
        <v>0.35</v>
      </c>
      <c r="I22" s="31">
        <v>0.5</v>
      </c>
      <c r="J22" s="31">
        <v>1</v>
      </c>
      <c r="K22" s="31">
        <v>1.25</v>
      </c>
      <c r="L22" s="31">
        <v>1.5</v>
      </c>
    </row>
    <row r="23" spans="1:12" x14ac:dyDescent="0.25">
      <c r="A23" t="s">
        <v>117</v>
      </c>
      <c r="B23" t="s">
        <v>81</v>
      </c>
      <c r="C23" s="37" t="s">
        <v>168</v>
      </c>
      <c r="D23" s="17">
        <v>0.04</v>
      </c>
      <c r="E23" s="17">
        <v>0.04</v>
      </c>
      <c r="F23" s="20">
        <v>0</v>
      </c>
      <c r="G23" s="31">
        <v>0</v>
      </c>
      <c r="H23" s="31">
        <v>0.35</v>
      </c>
      <c r="I23" s="31">
        <v>0.5</v>
      </c>
      <c r="J23" s="31">
        <v>1</v>
      </c>
      <c r="K23" s="31">
        <v>1.25</v>
      </c>
      <c r="L23" s="31">
        <v>1.5</v>
      </c>
    </row>
    <row r="24" spans="1:12" x14ac:dyDescent="0.25">
      <c r="A24" t="s">
        <v>121</v>
      </c>
      <c r="B24" t="s">
        <v>81</v>
      </c>
      <c r="C24" s="37" t="s">
        <v>168</v>
      </c>
      <c r="D24" s="17">
        <v>0.04</v>
      </c>
      <c r="E24" s="17">
        <v>0.04</v>
      </c>
      <c r="F24" s="20">
        <v>0</v>
      </c>
      <c r="G24" s="31">
        <v>0</v>
      </c>
      <c r="H24" s="31">
        <v>0.35</v>
      </c>
      <c r="I24" s="31">
        <v>0.5</v>
      </c>
      <c r="J24" s="31">
        <v>1</v>
      </c>
      <c r="K24" s="31">
        <v>1.25</v>
      </c>
      <c r="L24" s="31">
        <v>1.5</v>
      </c>
    </row>
    <row r="25" spans="1:12" x14ac:dyDescent="0.25">
      <c r="A25" t="s">
        <v>122</v>
      </c>
      <c r="B25" t="s">
        <v>81</v>
      </c>
      <c r="C25" s="37" t="s">
        <v>2439</v>
      </c>
      <c r="D25" s="17">
        <v>0.04</v>
      </c>
      <c r="E25" s="17">
        <v>0.04</v>
      </c>
      <c r="F25" s="20">
        <v>0</v>
      </c>
      <c r="G25" s="31">
        <v>0</v>
      </c>
      <c r="H25" s="31">
        <v>0.35</v>
      </c>
      <c r="I25" s="31">
        <v>0.5</v>
      </c>
      <c r="J25" s="31">
        <v>1</v>
      </c>
      <c r="K25" s="31">
        <v>1.25</v>
      </c>
      <c r="L25" s="31">
        <v>1.5</v>
      </c>
    </row>
    <row r="26" spans="1:12" x14ac:dyDescent="0.25">
      <c r="A26" t="s">
        <v>127</v>
      </c>
      <c r="B26" t="s">
        <v>81</v>
      </c>
      <c r="C26" s="37" t="s">
        <v>2439</v>
      </c>
      <c r="D26" s="17">
        <v>0.04</v>
      </c>
      <c r="E26" s="17">
        <v>0.04</v>
      </c>
      <c r="F26" s="20">
        <v>0</v>
      </c>
      <c r="G26" s="31">
        <v>0</v>
      </c>
      <c r="H26" s="31">
        <v>0.35</v>
      </c>
      <c r="I26" s="31">
        <v>0.5</v>
      </c>
      <c r="J26" s="31">
        <v>1</v>
      </c>
      <c r="K26" s="31">
        <v>1.25</v>
      </c>
      <c r="L26" s="31">
        <v>1.5</v>
      </c>
    </row>
    <row r="27" spans="1:12" x14ac:dyDescent="0.25">
      <c r="A27" t="s">
        <v>132</v>
      </c>
      <c r="B27" t="s">
        <v>133</v>
      </c>
      <c r="C27" s="37" t="s">
        <v>2440</v>
      </c>
      <c r="D27" s="17">
        <v>0.08</v>
      </c>
      <c r="E27" s="17">
        <v>0.04</v>
      </c>
      <c r="F27" s="20">
        <v>0</v>
      </c>
      <c r="G27" s="31">
        <v>0</v>
      </c>
      <c r="H27" s="31">
        <v>0.15</v>
      </c>
      <c r="I27" s="31">
        <v>0.25</v>
      </c>
      <c r="J27" s="31">
        <v>0.5</v>
      </c>
      <c r="K27" s="31">
        <v>0.75</v>
      </c>
      <c r="L27" s="31">
        <v>1</v>
      </c>
    </row>
    <row r="28" spans="1:12" x14ac:dyDescent="0.25">
      <c r="A28" t="s">
        <v>136</v>
      </c>
      <c r="B28" t="s">
        <v>133</v>
      </c>
      <c r="C28" s="37" t="s">
        <v>2440</v>
      </c>
      <c r="D28" s="17">
        <v>0.08</v>
      </c>
      <c r="E28" s="17">
        <v>0.04</v>
      </c>
      <c r="F28" s="20">
        <v>0</v>
      </c>
      <c r="G28" s="31">
        <v>0</v>
      </c>
      <c r="H28" s="31">
        <v>0.15</v>
      </c>
      <c r="I28" s="31">
        <v>0.25</v>
      </c>
      <c r="J28" s="31">
        <v>0.5</v>
      </c>
      <c r="K28" s="31">
        <v>0.75</v>
      </c>
      <c r="L28" s="31">
        <v>1</v>
      </c>
    </row>
    <row r="29" spans="1:12" x14ac:dyDescent="0.25">
      <c r="A29" t="s">
        <v>140</v>
      </c>
      <c r="B29" t="s">
        <v>133</v>
      </c>
      <c r="C29" s="37" t="s">
        <v>2440</v>
      </c>
      <c r="D29" s="17">
        <v>0.08</v>
      </c>
      <c r="E29" s="17">
        <v>0.04</v>
      </c>
      <c r="F29" s="20">
        <v>0</v>
      </c>
      <c r="G29" s="31">
        <v>0</v>
      </c>
      <c r="H29" s="31">
        <v>0.15</v>
      </c>
      <c r="I29" s="31">
        <v>0.25</v>
      </c>
      <c r="J29" s="31">
        <v>0.5</v>
      </c>
      <c r="K29" s="31">
        <v>0.75</v>
      </c>
      <c r="L29" s="31">
        <v>1</v>
      </c>
    </row>
    <row r="30" spans="1:12" x14ac:dyDescent="0.25">
      <c r="A30" t="s">
        <v>143</v>
      </c>
      <c r="B30" t="s">
        <v>133</v>
      </c>
      <c r="C30" s="37" t="s">
        <v>2441</v>
      </c>
      <c r="D30" s="17">
        <v>0.08</v>
      </c>
      <c r="E30" s="17">
        <v>0.04</v>
      </c>
      <c r="F30" s="20">
        <v>0</v>
      </c>
      <c r="G30" s="31">
        <v>0</v>
      </c>
      <c r="H30" s="31">
        <v>0.15</v>
      </c>
      <c r="I30" s="31">
        <v>0.25</v>
      </c>
      <c r="J30" s="31">
        <v>0.5</v>
      </c>
      <c r="K30" s="31">
        <v>0.75</v>
      </c>
      <c r="L30" s="31">
        <v>1</v>
      </c>
    </row>
    <row r="31" spans="1:12" x14ac:dyDescent="0.25">
      <c r="A31" t="s">
        <v>147</v>
      </c>
      <c r="B31" t="s">
        <v>133</v>
      </c>
      <c r="C31" s="37" t="s">
        <v>2440</v>
      </c>
      <c r="D31" s="17">
        <v>0.08</v>
      </c>
      <c r="E31" s="17">
        <v>0.04</v>
      </c>
      <c r="F31" s="20">
        <v>0</v>
      </c>
      <c r="G31" s="31">
        <v>0</v>
      </c>
      <c r="H31" s="31">
        <v>0.15</v>
      </c>
      <c r="I31" s="31">
        <v>0.25</v>
      </c>
      <c r="J31" s="31">
        <v>0.5</v>
      </c>
      <c r="K31" s="31">
        <v>0.75</v>
      </c>
      <c r="L31" s="31">
        <v>1</v>
      </c>
    </row>
    <row r="32" spans="1:12" x14ac:dyDescent="0.25">
      <c r="A32" t="s">
        <v>150</v>
      </c>
      <c r="B32" t="s">
        <v>133</v>
      </c>
      <c r="C32" s="37" t="s">
        <v>2440</v>
      </c>
      <c r="D32" s="17">
        <v>0.08</v>
      </c>
      <c r="E32" s="17">
        <v>0.04</v>
      </c>
      <c r="F32" s="20">
        <v>0</v>
      </c>
      <c r="G32" s="31">
        <v>0</v>
      </c>
      <c r="H32" s="31">
        <v>0.15</v>
      </c>
      <c r="I32" s="31">
        <v>0.25</v>
      </c>
      <c r="J32" s="31">
        <v>0.5</v>
      </c>
      <c r="K32" s="31">
        <v>0.75</v>
      </c>
      <c r="L32" s="31">
        <v>1</v>
      </c>
    </row>
    <row r="33" spans="1:12" x14ac:dyDescent="0.25">
      <c r="A33" t="s">
        <v>151</v>
      </c>
      <c r="B33" t="s">
        <v>133</v>
      </c>
      <c r="C33" s="37" t="s">
        <v>2441</v>
      </c>
      <c r="D33" s="17">
        <v>0.08</v>
      </c>
      <c r="E33" s="17">
        <v>0.04</v>
      </c>
      <c r="F33" s="20">
        <v>0</v>
      </c>
      <c r="G33" s="31">
        <v>0</v>
      </c>
      <c r="H33" s="31">
        <v>0.15</v>
      </c>
      <c r="I33" s="31">
        <v>0.25</v>
      </c>
      <c r="J33" s="31">
        <v>0.5</v>
      </c>
      <c r="K33" s="31">
        <v>0.75</v>
      </c>
      <c r="L33" s="31">
        <v>1</v>
      </c>
    </row>
    <row r="34" spans="1:12" x14ac:dyDescent="0.25">
      <c r="A34" t="s">
        <v>2387</v>
      </c>
      <c r="B34" t="s">
        <v>133</v>
      </c>
      <c r="C34" s="37" t="s">
        <v>2441</v>
      </c>
      <c r="D34" s="17">
        <v>0.08</v>
      </c>
      <c r="E34" s="17">
        <v>0.04</v>
      </c>
      <c r="F34" s="20">
        <v>0</v>
      </c>
      <c r="G34" s="31">
        <v>0</v>
      </c>
      <c r="H34" s="31">
        <v>0.15</v>
      </c>
      <c r="I34" s="31">
        <v>0.25</v>
      </c>
      <c r="J34" s="31">
        <v>0.5</v>
      </c>
      <c r="K34" s="31">
        <v>0.75</v>
      </c>
      <c r="L34" s="31">
        <v>1</v>
      </c>
    </row>
    <row r="35" spans="1:12" x14ac:dyDescent="0.25">
      <c r="A35" t="s">
        <v>156</v>
      </c>
      <c r="B35" t="s">
        <v>133</v>
      </c>
      <c r="C35" s="37" t="s">
        <v>2441</v>
      </c>
      <c r="D35" s="17">
        <v>0.08</v>
      </c>
      <c r="E35" s="17">
        <v>0.04</v>
      </c>
      <c r="F35" s="20">
        <v>0</v>
      </c>
      <c r="G35" s="31">
        <v>0</v>
      </c>
      <c r="H35" s="31">
        <v>0.15</v>
      </c>
      <c r="I35" s="31">
        <v>0.25</v>
      </c>
      <c r="J35" s="31">
        <v>0.5</v>
      </c>
      <c r="K35" s="31">
        <v>0.75</v>
      </c>
      <c r="L35" s="31">
        <v>1</v>
      </c>
    </row>
    <row r="36" spans="1:12" x14ac:dyDescent="0.25">
      <c r="A36" t="s">
        <v>160</v>
      </c>
      <c r="B36" t="s">
        <v>133</v>
      </c>
      <c r="C36" s="37" t="s">
        <v>2441</v>
      </c>
      <c r="D36" s="17">
        <v>0.08</v>
      </c>
      <c r="E36" s="17">
        <v>0.04</v>
      </c>
      <c r="F36" s="20">
        <v>0</v>
      </c>
      <c r="G36" s="31">
        <v>0</v>
      </c>
      <c r="H36" s="31">
        <v>0.15</v>
      </c>
      <c r="I36" s="31">
        <v>0.25</v>
      </c>
      <c r="J36" s="31">
        <v>0.5</v>
      </c>
      <c r="K36" s="31">
        <v>0.75</v>
      </c>
      <c r="L36" s="31">
        <v>1</v>
      </c>
    </row>
    <row r="37" spans="1:12" x14ac:dyDescent="0.25">
      <c r="A37" t="s">
        <v>163</v>
      </c>
      <c r="B37" t="s">
        <v>133</v>
      </c>
      <c r="C37" s="37" t="s">
        <v>2441</v>
      </c>
      <c r="D37" s="17">
        <v>0.08</v>
      </c>
      <c r="E37" s="17">
        <v>0.04</v>
      </c>
      <c r="F37" s="20">
        <v>0</v>
      </c>
      <c r="G37" s="31">
        <v>0</v>
      </c>
      <c r="H37" s="31">
        <v>0.15</v>
      </c>
      <c r="I37" s="31">
        <v>0.25</v>
      </c>
      <c r="J37" s="31">
        <v>0.5</v>
      </c>
      <c r="K37" s="31">
        <v>0.75</v>
      </c>
      <c r="L37" s="31">
        <v>1</v>
      </c>
    </row>
    <row r="38" spans="1:12" x14ac:dyDescent="0.25">
      <c r="A38" t="s">
        <v>166</v>
      </c>
      <c r="B38" t="s">
        <v>81</v>
      </c>
      <c r="C38" s="37" t="s">
        <v>2438</v>
      </c>
      <c r="D38" s="17">
        <v>0.08</v>
      </c>
      <c r="E38" s="17">
        <v>0.04</v>
      </c>
      <c r="F38" s="20">
        <v>0</v>
      </c>
      <c r="G38" s="31">
        <v>0</v>
      </c>
      <c r="H38" s="31">
        <v>0.35</v>
      </c>
      <c r="I38" s="31">
        <v>0.5</v>
      </c>
      <c r="J38" s="31">
        <v>1</v>
      </c>
      <c r="K38" s="31">
        <v>1.25</v>
      </c>
      <c r="L38" s="31">
        <v>1.5</v>
      </c>
    </row>
    <row r="39" spans="1:12" x14ac:dyDescent="0.25">
      <c r="A39" t="s">
        <v>168</v>
      </c>
      <c r="B39" t="s">
        <v>169</v>
      </c>
      <c r="C39" s="37" t="s">
        <v>168</v>
      </c>
      <c r="D39" s="17">
        <v>0</v>
      </c>
      <c r="E39" s="17">
        <v>0</v>
      </c>
      <c r="F39" s="20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</row>
    <row r="40" spans="1:12" x14ac:dyDescent="0.25">
      <c r="A40" t="s">
        <v>174</v>
      </c>
      <c r="B40" t="s">
        <v>175</v>
      </c>
      <c r="C40" s="37" t="s">
        <v>2441</v>
      </c>
      <c r="D40" s="17">
        <v>0</v>
      </c>
      <c r="E40" s="17">
        <v>0</v>
      </c>
      <c r="F40" s="20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</row>
    <row r="41" spans="1:12" x14ac:dyDescent="0.25">
      <c r="A41" t="s">
        <v>178</v>
      </c>
      <c r="B41" t="s">
        <v>175</v>
      </c>
      <c r="D41" s="17">
        <v>0</v>
      </c>
      <c r="E41" s="17">
        <v>0</v>
      </c>
      <c r="F41" s="20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</row>
    <row r="42" spans="1:12" x14ac:dyDescent="0.25">
      <c r="A42" t="s">
        <v>181</v>
      </c>
      <c r="B42" t="s">
        <v>175</v>
      </c>
      <c r="D42" s="17">
        <v>0</v>
      </c>
      <c r="E42" s="17">
        <v>0</v>
      </c>
      <c r="F42" s="20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</row>
    <row r="43" spans="1:12" x14ac:dyDescent="0.25">
      <c r="A43" t="s">
        <v>184</v>
      </c>
      <c r="B43" t="s">
        <v>175</v>
      </c>
      <c r="C43" s="37" t="s">
        <v>2440</v>
      </c>
      <c r="D43" s="17">
        <v>0</v>
      </c>
      <c r="E43" s="17">
        <v>0</v>
      </c>
      <c r="F43" s="20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</row>
    <row r="44" spans="1:12" x14ac:dyDescent="0.25">
      <c r="A44" t="s">
        <v>188</v>
      </c>
      <c r="B44" t="s">
        <v>175</v>
      </c>
      <c r="D44" s="17">
        <v>0</v>
      </c>
      <c r="E44" s="17">
        <v>0</v>
      </c>
      <c r="F44" s="20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</row>
    <row r="45" spans="1:12" x14ac:dyDescent="0.25">
      <c r="A45" t="e">
        <v>#N/A</v>
      </c>
      <c r="B45" t="s">
        <v>175</v>
      </c>
      <c r="D45" s="17">
        <v>0</v>
      </c>
      <c r="E45" s="17">
        <v>0</v>
      </c>
      <c r="F45" s="20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</row>
  </sheetData>
  <conditionalFormatting sqref="C12:C40">
    <cfRule type="containsText" dxfId="12" priority="1" operator="containsText" text="Phased">
      <formula>NOT(ISERROR(SEARCH("Phased",C12)))</formula>
    </cfRule>
  </conditionalFormatting>
  <conditionalFormatting sqref="C43">
    <cfRule type="containsText" dxfId="11" priority="2" operator="containsText" text="Phased">
      <formula>NOT(ISERROR(SEARCH("Phased",C43)))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B219-7DEC-444F-88D9-9A50C92FD0F3}">
  <dimension ref="A1:Q618"/>
  <sheetViews>
    <sheetView tabSelected="1" topLeftCell="F1" workbookViewId="0">
      <pane ySplit="1" topLeftCell="A2" activePane="bottomLeft" state="frozen"/>
      <selection pane="bottomLeft" activeCell="P26" sqref="P26"/>
    </sheetView>
  </sheetViews>
  <sheetFormatPr defaultRowHeight="15" x14ac:dyDescent="0.25"/>
  <cols>
    <col min="1" max="1" width="24.5703125" bestFit="1" customWidth="1"/>
    <col min="2" max="2" width="20.140625" bestFit="1" customWidth="1"/>
    <col min="3" max="3" width="20.140625" customWidth="1"/>
    <col min="4" max="4" width="12.85546875" bestFit="1" customWidth="1"/>
    <col min="5" max="5" width="23.7109375" bestFit="1" customWidth="1"/>
    <col min="6" max="6" width="45.28515625" bestFit="1" customWidth="1"/>
    <col min="7" max="7" width="96.28515625" bestFit="1" customWidth="1"/>
    <col min="8" max="8" width="13.28515625" bestFit="1" customWidth="1"/>
    <col min="9" max="9" width="12.85546875" style="1" bestFit="1" customWidth="1"/>
    <col min="10" max="10" width="16.5703125" style="1" bestFit="1" customWidth="1"/>
    <col min="11" max="11" width="7.7109375" bestFit="1" customWidth="1"/>
    <col min="12" max="12" width="20.5703125" bestFit="1" customWidth="1"/>
    <col min="13" max="13" width="19.85546875" bestFit="1" customWidth="1"/>
    <col min="14" max="14" width="20.5703125" style="1" bestFit="1" customWidth="1"/>
    <col min="15" max="15" width="20.7109375" style="1" bestFit="1" customWidth="1"/>
    <col min="16" max="16" width="23.42578125" bestFit="1" customWidth="1"/>
    <col min="17" max="17" width="24.28515625" bestFit="1" customWidth="1"/>
  </cols>
  <sheetData>
    <row r="1" spans="1:17" x14ac:dyDescent="0.25">
      <c r="A1" t="s">
        <v>0</v>
      </c>
      <c r="B1" t="s">
        <v>1</v>
      </c>
      <c r="C1" t="s">
        <v>2442</v>
      </c>
      <c r="D1" t="s">
        <v>2</v>
      </c>
      <c r="E1" t="s">
        <v>3</v>
      </c>
      <c r="F1" t="s">
        <v>4</v>
      </c>
      <c r="G1" t="s">
        <v>5</v>
      </c>
      <c r="H1" t="s">
        <v>2389</v>
      </c>
      <c r="I1" s="1" t="s">
        <v>6</v>
      </c>
      <c r="J1" s="1" t="s">
        <v>7</v>
      </c>
      <c r="K1" t="s">
        <v>8</v>
      </c>
      <c r="L1" t="s">
        <v>9</v>
      </c>
      <c r="M1" t="s">
        <v>10</v>
      </c>
      <c r="N1" s="1" t="s">
        <v>12</v>
      </c>
      <c r="O1" s="1" t="s">
        <v>13</v>
      </c>
      <c r="P1" t="s">
        <v>2268</v>
      </c>
      <c r="Q1" t="s">
        <v>2269</v>
      </c>
    </row>
    <row r="2" spans="1:17" x14ac:dyDescent="0.25">
      <c r="A2">
        <v>24731</v>
      </c>
      <c r="B2" t="s">
        <v>61</v>
      </c>
      <c r="C2" t="str">
        <f>_xlfn.XLOOKUP(B2,Multipliers!A:A,Multipliers!C:C)</f>
        <v>John Powell</v>
      </c>
      <c r="D2" s="3">
        <v>45313</v>
      </c>
      <c r="E2" t="s">
        <v>1881</v>
      </c>
      <c r="F2" t="s">
        <v>2162</v>
      </c>
      <c r="G2" t="s">
        <v>38</v>
      </c>
      <c r="H2">
        <v>0</v>
      </c>
      <c r="I2" s="1">
        <v>0</v>
      </c>
      <c r="J2" s="1">
        <v>0</v>
      </c>
      <c r="K2">
        <v>1</v>
      </c>
      <c r="L2">
        <f>IF(E2="4. Renewal - MRR",IF(I2&lt;=0,0,VLOOKUP(B2,Multipliers!A:L,MATCH(K2,Multipliers!$A$1:$L$1,0),FALSE)),VLOOKUP(B2,Multipliers!A:L,MATCH(K2,Multipliers!$A$1:$L$1,0),FALSE))</f>
        <v>0</v>
      </c>
      <c r="M2">
        <f t="shared" ref="M2:M65" si="0">IF(E2="4. Renewal - MRR",IF(K2&gt;24,0.25,0),0)</f>
        <v>0</v>
      </c>
      <c r="N2" s="1">
        <f>_xlfn.XLOOKUP(A2,'Product Detail'!$AG:$AG,'Product Detail'!$AH:$AH,"N/A")</f>
        <v>0</v>
      </c>
      <c r="O2" s="1">
        <f t="shared" ref="O2:O65" si="1">I2*L2+J2*M2</f>
        <v>0</v>
      </c>
      <c r="P2" s="4">
        <f t="shared" ref="P2:P65" si="2">EOMONTH(D2,1)+1</f>
        <v>45352</v>
      </c>
      <c r="Q2" s="4">
        <f t="shared" ref="Q2:Q65" si="3">EOMONTH(D2,3)+1</f>
        <v>45413</v>
      </c>
    </row>
    <row r="3" spans="1:17" x14ac:dyDescent="0.25">
      <c r="A3" s="2">
        <v>39495</v>
      </c>
      <c r="B3" t="s">
        <v>107</v>
      </c>
      <c r="C3" t="str">
        <f>_xlfn.XLOOKUP(B3,Multipliers!A:A,Multipliers!C:C)</f>
        <v>Luis Blanco</v>
      </c>
      <c r="D3" s="3">
        <v>45322</v>
      </c>
      <c r="E3" t="s">
        <v>1877</v>
      </c>
      <c r="F3" t="s">
        <v>1883</v>
      </c>
      <c r="G3" t="s">
        <v>2187</v>
      </c>
      <c r="H3">
        <v>0</v>
      </c>
      <c r="I3" s="1">
        <v>12.96</v>
      </c>
      <c r="J3" s="1">
        <v>0</v>
      </c>
      <c r="K3">
        <v>12</v>
      </c>
      <c r="L3">
        <f>IF(E3="4. Renewal - MRR",IF(I3&lt;=0,0,VLOOKUP(B3,Multipliers!A:L,MATCH(K3,Multipliers!$A$1:$L$1,0),FALSE)),VLOOKUP(B3,Multipliers!A:L,MATCH(K3,Multipliers!$A$1:$L$1,0),FALSE))</f>
        <v>0.35</v>
      </c>
      <c r="M3">
        <f t="shared" si="0"/>
        <v>0</v>
      </c>
      <c r="N3" s="1" t="str">
        <f>_xlfn.XLOOKUP(A3,'Product Detail'!$AG:$AG,'Product Detail'!$AH:$AH,"N/A")</f>
        <v>N/A</v>
      </c>
      <c r="O3" s="1">
        <f t="shared" si="1"/>
        <v>4.5359999999999996</v>
      </c>
      <c r="P3" s="4">
        <f t="shared" si="2"/>
        <v>45352</v>
      </c>
      <c r="Q3" s="4">
        <f t="shared" si="3"/>
        <v>45413</v>
      </c>
    </row>
    <row r="4" spans="1:17" x14ac:dyDescent="0.25">
      <c r="A4" s="2">
        <v>39487</v>
      </c>
      <c r="B4" t="s">
        <v>107</v>
      </c>
      <c r="C4" t="str">
        <f>_xlfn.XLOOKUP(B4,Multipliers!A:A,Multipliers!C:C)</f>
        <v>Luis Blanco</v>
      </c>
      <c r="D4" s="3">
        <v>45322</v>
      </c>
      <c r="E4" t="s">
        <v>1877</v>
      </c>
      <c r="F4" t="s">
        <v>1884</v>
      </c>
      <c r="G4" t="s">
        <v>1815</v>
      </c>
      <c r="H4">
        <v>0</v>
      </c>
      <c r="I4" s="1">
        <v>0</v>
      </c>
      <c r="J4" s="1">
        <v>0</v>
      </c>
      <c r="K4">
        <v>1</v>
      </c>
      <c r="L4">
        <f>IF(E4="4. Renewal - MRR",IF(I4&lt;=0,0,VLOOKUP(B4,Multipliers!A:L,MATCH(K4,Multipliers!$A$1:$L$1,0),FALSE)),VLOOKUP(B4,Multipliers!A:L,MATCH(K4,Multipliers!$A$1:$L$1,0),FALSE))</f>
        <v>0</v>
      </c>
      <c r="M4">
        <f t="shared" si="0"/>
        <v>0</v>
      </c>
      <c r="N4" s="1">
        <f>_xlfn.XLOOKUP(A4,'Product Detail'!$AG:$AG,'Product Detail'!$AH:$AH,"N/A")</f>
        <v>30.013999999999996</v>
      </c>
      <c r="O4" s="1">
        <f t="shared" si="1"/>
        <v>0</v>
      </c>
      <c r="P4" s="4">
        <f t="shared" si="2"/>
        <v>45352</v>
      </c>
      <c r="Q4" s="4">
        <f t="shared" si="3"/>
        <v>45413</v>
      </c>
    </row>
    <row r="5" spans="1:17" x14ac:dyDescent="0.25">
      <c r="A5" s="2">
        <v>39462</v>
      </c>
      <c r="B5" t="s">
        <v>107</v>
      </c>
      <c r="C5" t="str">
        <f>_xlfn.XLOOKUP(B5,Multipliers!A:A,Multipliers!C:C)</f>
        <v>Luis Blanco</v>
      </c>
      <c r="D5" s="3">
        <v>45322</v>
      </c>
      <c r="E5" t="s">
        <v>1877</v>
      </c>
      <c r="F5" t="s">
        <v>1885</v>
      </c>
      <c r="G5" t="s">
        <v>2188</v>
      </c>
      <c r="H5">
        <v>0</v>
      </c>
      <c r="I5" s="1">
        <v>4.75</v>
      </c>
      <c r="J5" s="1">
        <v>0</v>
      </c>
      <c r="K5">
        <v>12</v>
      </c>
      <c r="L5">
        <f>IF(E5="4. Renewal - MRR",IF(I5&lt;=0,0,VLOOKUP(B5,Multipliers!A:L,MATCH(K5,Multipliers!$A$1:$L$1,0),FALSE)),VLOOKUP(B5,Multipliers!A:L,MATCH(K5,Multipliers!$A$1:$L$1,0),FALSE))</f>
        <v>0.35</v>
      </c>
      <c r="M5">
        <f t="shared" si="0"/>
        <v>0</v>
      </c>
      <c r="N5" s="1" t="str">
        <f>_xlfn.XLOOKUP(A5,'Product Detail'!$AG:$AG,'Product Detail'!$AH:$AH,"N/A")</f>
        <v>N/A</v>
      </c>
      <c r="O5" s="1">
        <f t="shared" si="1"/>
        <v>1.6624999999999999</v>
      </c>
      <c r="P5" s="4">
        <f t="shared" si="2"/>
        <v>45352</v>
      </c>
      <c r="Q5" s="4">
        <f t="shared" si="3"/>
        <v>45413</v>
      </c>
    </row>
    <row r="6" spans="1:17" x14ac:dyDescent="0.25">
      <c r="A6">
        <v>28734</v>
      </c>
      <c r="B6" t="s">
        <v>61</v>
      </c>
      <c r="C6" t="str">
        <f>_xlfn.XLOOKUP(B6,Multipliers!A:A,Multipliers!C:C)</f>
        <v>John Powell</v>
      </c>
      <c r="D6" s="3">
        <v>45300</v>
      </c>
      <c r="E6" t="s">
        <v>1881</v>
      </c>
      <c r="F6" t="s">
        <v>2160</v>
      </c>
      <c r="G6" t="s">
        <v>63</v>
      </c>
      <c r="H6">
        <v>0</v>
      </c>
      <c r="I6" s="1">
        <v>0</v>
      </c>
      <c r="J6" s="1">
        <v>0</v>
      </c>
      <c r="K6">
        <v>1</v>
      </c>
      <c r="L6">
        <f>IF(E6="4. Renewal - MRR",IF(I6&lt;=0,0,VLOOKUP(B6,Multipliers!A:L,MATCH(K6,Multipliers!$A$1:$L$1,0),FALSE)),VLOOKUP(B6,Multipliers!A:L,MATCH(K6,Multipliers!$A$1:$L$1,0),FALSE))</f>
        <v>0</v>
      </c>
      <c r="M6">
        <f t="shared" si="0"/>
        <v>0</v>
      </c>
      <c r="N6" s="1">
        <f>_xlfn.XLOOKUP(A6,'Product Detail'!$AG:$AG,'Product Detail'!$AH:$AH,"N/A")</f>
        <v>0</v>
      </c>
      <c r="O6" s="1">
        <f t="shared" si="1"/>
        <v>0</v>
      </c>
      <c r="P6" s="4">
        <f t="shared" si="2"/>
        <v>45352</v>
      </c>
      <c r="Q6" s="4">
        <f t="shared" si="3"/>
        <v>45413</v>
      </c>
    </row>
    <row r="7" spans="1:17" x14ac:dyDescent="0.25">
      <c r="A7" s="2">
        <v>39431</v>
      </c>
      <c r="B7" t="s">
        <v>140</v>
      </c>
      <c r="C7" t="str">
        <f>_xlfn.XLOOKUP(B7,Multipliers!A:A,Multipliers!C:C)</f>
        <v>Jeffrey Weight</v>
      </c>
      <c r="D7" s="3">
        <v>45320</v>
      </c>
      <c r="E7" t="s">
        <v>1877</v>
      </c>
      <c r="F7" t="s">
        <v>1887</v>
      </c>
      <c r="G7" t="s">
        <v>1743</v>
      </c>
      <c r="H7">
        <v>0</v>
      </c>
      <c r="I7" s="1">
        <v>11.25</v>
      </c>
      <c r="J7" s="1">
        <v>0</v>
      </c>
      <c r="K7">
        <v>12</v>
      </c>
      <c r="L7">
        <f>IF(E7="4. Renewal - MRR",IF(I7&lt;=0,0,VLOOKUP(B7,Multipliers!A:L,MATCH(K7,Multipliers!$A$1:$L$1,0),FALSE)),VLOOKUP(B7,Multipliers!A:L,MATCH(K7,Multipliers!$A$1:$L$1,0),FALSE))</f>
        <v>0.15</v>
      </c>
      <c r="M7">
        <f t="shared" si="0"/>
        <v>0</v>
      </c>
      <c r="N7" s="1">
        <f>_xlfn.XLOOKUP(A7,'Product Detail'!$AG:$AG,'Product Detail'!$AH:$AH,"N/A")</f>
        <v>11.972799999999998</v>
      </c>
      <c r="O7" s="1">
        <f t="shared" si="1"/>
        <v>1.6875</v>
      </c>
      <c r="P7" s="4">
        <f t="shared" si="2"/>
        <v>45352</v>
      </c>
      <c r="Q7" s="4">
        <f t="shared" si="3"/>
        <v>45413</v>
      </c>
    </row>
    <row r="8" spans="1:17" x14ac:dyDescent="0.25">
      <c r="A8">
        <v>29991</v>
      </c>
      <c r="B8" t="s">
        <v>61</v>
      </c>
      <c r="C8" t="str">
        <f>_xlfn.XLOOKUP(B8,Multipliers!A:A,Multipliers!C:C)</f>
        <v>John Powell</v>
      </c>
      <c r="D8" s="3">
        <v>45298</v>
      </c>
      <c r="E8" t="s">
        <v>1881</v>
      </c>
      <c r="F8" t="s">
        <v>2159</v>
      </c>
      <c r="G8" t="s">
        <v>111</v>
      </c>
      <c r="H8">
        <v>0</v>
      </c>
      <c r="I8" s="1">
        <v>0</v>
      </c>
      <c r="J8" s="1">
        <v>0</v>
      </c>
      <c r="K8">
        <v>1</v>
      </c>
      <c r="L8">
        <f>IF(E8="4. Renewal - MRR",IF(I8&lt;=0,0,VLOOKUP(B8,Multipliers!A:L,MATCH(K8,Multipliers!$A$1:$L$1,0),FALSE)),VLOOKUP(B8,Multipliers!A:L,MATCH(K8,Multipliers!$A$1:$L$1,0),FALSE))</f>
        <v>0</v>
      </c>
      <c r="M8">
        <f t="shared" si="0"/>
        <v>0</v>
      </c>
      <c r="N8" s="1">
        <f>_xlfn.XLOOKUP(A8,'Product Detail'!$AG:$AG,'Product Detail'!$AH:$AH,"N/A")</f>
        <v>0</v>
      </c>
      <c r="O8" s="1">
        <f t="shared" si="1"/>
        <v>0</v>
      </c>
      <c r="P8" s="4">
        <f t="shared" si="2"/>
        <v>45352</v>
      </c>
      <c r="Q8" s="4">
        <f t="shared" si="3"/>
        <v>45413</v>
      </c>
    </row>
    <row r="9" spans="1:17" x14ac:dyDescent="0.25">
      <c r="A9" s="2">
        <v>39410</v>
      </c>
      <c r="B9" t="s">
        <v>132</v>
      </c>
      <c r="C9" t="str">
        <f>_xlfn.XLOOKUP(B9,Multipliers!A:A,Multipliers!C:C)</f>
        <v>Jeffrey Weight</v>
      </c>
      <c r="D9" s="3">
        <v>45322</v>
      </c>
      <c r="E9" t="s">
        <v>1877</v>
      </c>
      <c r="F9" t="s">
        <v>1889</v>
      </c>
      <c r="G9" t="s">
        <v>2190</v>
      </c>
      <c r="H9">
        <v>0</v>
      </c>
      <c r="I9" s="1">
        <v>5.76</v>
      </c>
      <c r="J9" s="1">
        <v>0</v>
      </c>
      <c r="K9">
        <v>12</v>
      </c>
      <c r="L9">
        <f>IF(E9="4. Renewal - MRR",IF(I9&lt;=0,0,VLOOKUP(B9,Multipliers!A:L,MATCH(K9,Multipliers!$A$1:$L$1,0),FALSE)),VLOOKUP(B9,Multipliers!A:L,MATCH(K9,Multipliers!$A$1:$L$1,0),FALSE))</f>
        <v>0.15</v>
      </c>
      <c r="M9">
        <f t="shared" si="0"/>
        <v>0</v>
      </c>
      <c r="N9" s="1" t="str">
        <f>_xlfn.XLOOKUP(A9,'Product Detail'!$AG:$AG,'Product Detail'!$AH:$AH,"N/A")</f>
        <v>N/A</v>
      </c>
      <c r="O9" s="1">
        <f t="shared" si="1"/>
        <v>0.86399999999999999</v>
      </c>
      <c r="P9" s="4">
        <f t="shared" si="2"/>
        <v>45352</v>
      </c>
      <c r="Q9" s="4">
        <f t="shared" si="3"/>
        <v>45413</v>
      </c>
    </row>
    <row r="10" spans="1:17" x14ac:dyDescent="0.25">
      <c r="A10">
        <v>30198</v>
      </c>
      <c r="B10" t="s">
        <v>61</v>
      </c>
      <c r="C10" t="str">
        <f>_xlfn.XLOOKUP(B10,Multipliers!A:A,Multipliers!C:C)</f>
        <v>John Powell</v>
      </c>
      <c r="D10" s="3">
        <v>45320</v>
      </c>
      <c r="E10" t="s">
        <v>1881</v>
      </c>
      <c r="F10" t="s">
        <v>2085</v>
      </c>
      <c r="G10" t="s">
        <v>114</v>
      </c>
      <c r="H10">
        <v>0</v>
      </c>
      <c r="I10" s="1">
        <v>0</v>
      </c>
      <c r="J10" s="1">
        <v>0</v>
      </c>
      <c r="K10">
        <v>1</v>
      </c>
      <c r="L10">
        <f>IF(E10="4. Renewal - MRR",IF(I10&lt;=0,0,VLOOKUP(B10,Multipliers!A:L,MATCH(K10,Multipliers!$A$1:$L$1,0),FALSE)),VLOOKUP(B10,Multipliers!A:L,MATCH(K10,Multipliers!$A$1:$L$1,0),FALSE))</f>
        <v>0</v>
      </c>
      <c r="M10">
        <f t="shared" si="0"/>
        <v>0</v>
      </c>
      <c r="N10" s="1">
        <f>_xlfn.XLOOKUP(A10,'Product Detail'!$AG:$AG,'Product Detail'!$AH:$AH,"N/A")</f>
        <v>0</v>
      </c>
      <c r="O10" s="1">
        <f t="shared" si="1"/>
        <v>0</v>
      </c>
      <c r="P10" s="4">
        <f t="shared" si="2"/>
        <v>45352</v>
      </c>
      <c r="Q10" s="4">
        <f t="shared" si="3"/>
        <v>45413</v>
      </c>
    </row>
    <row r="11" spans="1:17" x14ac:dyDescent="0.25">
      <c r="A11" s="2">
        <v>39402</v>
      </c>
      <c r="B11" t="s">
        <v>132</v>
      </c>
      <c r="C11" t="str">
        <f>_xlfn.XLOOKUP(B11,Multipliers!A:A,Multipliers!C:C)</f>
        <v>Jeffrey Weight</v>
      </c>
      <c r="D11" s="3">
        <v>45320</v>
      </c>
      <c r="E11" t="s">
        <v>1877</v>
      </c>
      <c r="F11" t="s">
        <v>1891</v>
      </c>
      <c r="G11" t="s">
        <v>2192</v>
      </c>
      <c r="H11">
        <v>0</v>
      </c>
      <c r="I11" s="1">
        <v>48.46</v>
      </c>
      <c r="J11" s="1">
        <v>0</v>
      </c>
      <c r="K11">
        <v>12</v>
      </c>
      <c r="L11">
        <f>IF(E11="4. Renewal - MRR",IF(I11&lt;=0,0,VLOOKUP(B11,Multipliers!A:L,MATCH(K11,Multipliers!$A$1:$L$1,0),FALSE)),VLOOKUP(B11,Multipliers!A:L,MATCH(K11,Multipliers!$A$1:$L$1,0),FALSE))</f>
        <v>0.15</v>
      </c>
      <c r="M11">
        <f t="shared" si="0"/>
        <v>0</v>
      </c>
      <c r="N11" s="1" t="str">
        <f>_xlfn.XLOOKUP(A11,'Product Detail'!$AG:$AG,'Product Detail'!$AH:$AH,"N/A")</f>
        <v>N/A</v>
      </c>
      <c r="O11" s="1">
        <f t="shared" si="1"/>
        <v>7.2690000000000001</v>
      </c>
      <c r="P11" s="4">
        <f t="shared" si="2"/>
        <v>45352</v>
      </c>
      <c r="Q11" s="4">
        <f t="shared" si="3"/>
        <v>45413</v>
      </c>
    </row>
    <row r="12" spans="1:17" x14ac:dyDescent="0.25">
      <c r="A12">
        <v>30511</v>
      </c>
      <c r="B12" t="s">
        <v>61</v>
      </c>
      <c r="C12" t="str">
        <f>_xlfn.XLOOKUP(B12,Multipliers!A:A,Multipliers!C:C)</f>
        <v>John Powell</v>
      </c>
      <c r="D12" s="3">
        <v>45315</v>
      </c>
      <c r="E12" t="s">
        <v>1881</v>
      </c>
      <c r="F12" t="s">
        <v>2185</v>
      </c>
      <c r="G12" t="s">
        <v>118</v>
      </c>
      <c r="H12">
        <v>0</v>
      </c>
      <c r="I12" s="1">
        <v>0</v>
      </c>
      <c r="J12" s="1">
        <v>0</v>
      </c>
      <c r="K12">
        <v>0</v>
      </c>
      <c r="L12">
        <f>IF(E12="4. Renewal - MRR",IF(I12&lt;=0,0,VLOOKUP(B12,Multipliers!A:L,MATCH(K12,Multipliers!$A$1:$L$1,0),FALSE)),VLOOKUP(B12,Multipliers!A:L,MATCH(K12,Multipliers!$A$1:$L$1,0),FALSE))</f>
        <v>0</v>
      </c>
      <c r="M12">
        <f t="shared" si="0"/>
        <v>0</v>
      </c>
      <c r="N12" s="1">
        <f>_xlfn.XLOOKUP(A12,'Product Detail'!$AG:$AG,'Product Detail'!$AH:$AH,"N/A")</f>
        <v>0</v>
      </c>
      <c r="O12" s="1">
        <f t="shared" si="1"/>
        <v>0</v>
      </c>
      <c r="P12" s="4">
        <f t="shared" si="2"/>
        <v>45352</v>
      </c>
      <c r="Q12" s="4">
        <f t="shared" si="3"/>
        <v>45413</v>
      </c>
    </row>
    <row r="13" spans="1:17" x14ac:dyDescent="0.25">
      <c r="A13" s="2">
        <v>39379</v>
      </c>
      <c r="B13" t="s">
        <v>147</v>
      </c>
      <c r="C13" t="str">
        <f>_xlfn.XLOOKUP(B13,Multipliers!A:A,Multipliers!C:C)</f>
        <v>Jeffrey Weight</v>
      </c>
      <c r="D13" s="3">
        <v>45321</v>
      </c>
      <c r="E13" t="s">
        <v>1878</v>
      </c>
      <c r="F13" t="s">
        <v>1893</v>
      </c>
      <c r="G13" t="s">
        <v>2194</v>
      </c>
      <c r="H13">
        <v>0</v>
      </c>
      <c r="I13" s="1">
        <v>0</v>
      </c>
      <c r="J13" s="1">
        <v>0</v>
      </c>
      <c r="K13">
        <v>24</v>
      </c>
      <c r="L13">
        <f>IF(E13="4. Renewal - MRR",IF(I13&lt;=0,0,VLOOKUP(B13,Multipliers!A:L,MATCH(K13,Multipliers!$A$1:$L$1,0),FALSE)),VLOOKUP(B13,Multipliers!A:L,MATCH(K13,Multipliers!$A$1:$L$1,0),FALSE))</f>
        <v>0.25</v>
      </c>
      <c r="M13">
        <f t="shared" si="0"/>
        <v>0</v>
      </c>
      <c r="N13" s="1" t="str">
        <f>_xlfn.XLOOKUP(A13,'Product Detail'!$AG:$AG,'Product Detail'!$AH:$AH,"N/A")</f>
        <v>N/A</v>
      </c>
      <c r="O13" s="1">
        <f t="shared" si="1"/>
        <v>0</v>
      </c>
      <c r="P13" s="4">
        <f t="shared" si="2"/>
        <v>45352</v>
      </c>
      <c r="Q13" s="4">
        <f t="shared" si="3"/>
        <v>45413</v>
      </c>
    </row>
    <row r="14" spans="1:17" x14ac:dyDescent="0.25">
      <c r="A14" s="2">
        <v>39374</v>
      </c>
      <c r="B14" t="s">
        <v>107</v>
      </c>
      <c r="C14" t="str">
        <f>_xlfn.XLOOKUP(B14,Multipliers!A:A,Multipliers!C:C)</f>
        <v>Luis Blanco</v>
      </c>
      <c r="D14" s="3">
        <v>45317</v>
      </c>
      <c r="E14" t="s">
        <v>1877</v>
      </c>
      <c r="F14" t="s">
        <v>1894</v>
      </c>
      <c r="G14" t="s">
        <v>2195</v>
      </c>
      <c r="H14">
        <v>0</v>
      </c>
      <c r="I14" s="1">
        <v>64</v>
      </c>
      <c r="J14" s="1">
        <v>0</v>
      </c>
      <c r="K14">
        <v>36</v>
      </c>
      <c r="L14">
        <f>IF(E14="4. Renewal - MRR",IF(I14&lt;=0,0,VLOOKUP(B14,Multipliers!A:L,MATCH(K14,Multipliers!$A$1:$L$1,0),FALSE)),VLOOKUP(B14,Multipliers!A:L,MATCH(K14,Multipliers!$A$1:$L$1,0),FALSE))</f>
        <v>1</v>
      </c>
      <c r="M14">
        <f t="shared" si="0"/>
        <v>0</v>
      </c>
      <c r="N14" s="1" t="str">
        <f>_xlfn.XLOOKUP(A14,'Product Detail'!$AG:$AG,'Product Detail'!$AH:$AH,"N/A")</f>
        <v>N/A</v>
      </c>
      <c r="O14" s="1">
        <f t="shared" si="1"/>
        <v>64</v>
      </c>
      <c r="P14" s="4">
        <f t="shared" si="2"/>
        <v>45352</v>
      </c>
      <c r="Q14" s="4">
        <f t="shared" si="3"/>
        <v>45413</v>
      </c>
    </row>
    <row r="15" spans="1:17" x14ac:dyDescent="0.25">
      <c r="A15" s="2">
        <v>39359</v>
      </c>
      <c r="B15" t="s">
        <v>107</v>
      </c>
      <c r="C15" t="str">
        <f>_xlfn.XLOOKUP(B15,Multipliers!A:A,Multipliers!C:C)</f>
        <v>Luis Blanco</v>
      </c>
      <c r="D15" s="3">
        <v>45317</v>
      </c>
      <c r="E15" t="s">
        <v>1877</v>
      </c>
      <c r="F15" t="s">
        <v>1895</v>
      </c>
      <c r="G15" t="s">
        <v>2196</v>
      </c>
      <c r="H15">
        <v>0</v>
      </c>
      <c r="I15" s="1">
        <v>4.75</v>
      </c>
      <c r="J15" s="1">
        <v>0</v>
      </c>
      <c r="K15">
        <v>12</v>
      </c>
      <c r="L15">
        <f>IF(E15="4. Renewal - MRR",IF(I15&lt;=0,0,VLOOKUP(B15,Multipliers!A:L,MATCH(K15,Multipliers!$A$1:$L$1,0),FALSE)),VLOOKUP(B15,Multipliers!A:L,MATCH(K15,Multipliers!$A$1:$L$1,0),FALSE))</f>
        <v>0.35</v>
      </c>
      <c r="M15">
        <f t="shared" si="0"/>
        <v>0</v>
      </c>
      <c r="N15" s="1" t="str">
        <f>_xlfn.XLOOKUP(A15,'Product Detail'!$AG:$AG,'Product Detail'!$AH:$AH,"N/A")</f>
        <v>N/A</v>
      </c>
      <c r="O15" s="1">
        <f t="shared" si="1"/>
        <v>1.6624999999999999</v>
      </c>
      <c r="P15" s="4">
        <f t="shared" si="2"/>
        <v>45352</v>
      </c>
      <c r="Q15" s="4">
        <f t="shared" si="3"/>
        <v>45413</v>
      </c>
    </row>
    <row r="16" spans="1:17" x14ac:dyDescent="0.25">
      <c r="A16" s="2">
        <v>39334</v>
      </c>
      <c r="B16" t="s">
        <v>132</v>
      </c>
      <c r="C16" t="str">
        <f>_xlfn.XLOOKUP(B16,Multipliers!A:A,Multipliers!C:C)</f>
        <v>Jeffrey Weight</v>
      </c>
      <c r="D16" s="3">
        <v>45317</v>
      </c>
      <c r="E16" t="s">
        <v>1877</v>
      </c>
      <c r="F16" t="s">
        <v>1896</v>
      </c>
      <c r="G16" t="s">
        <v>2197</v>
      </c>
      <c r="H16">
        <v>0</v>
      </c>
      <c r="I16" s="1">
        <v>0.72</v>
      </c>
      <c r="J16" s="1">
        <v>0</v>
      </c>
      <c r="K16">
        <v>12</v>
      </c>
      <c r="L16">
        <f>IF(E16="4. Renewal - MRR",IF(I16&lt;=0,0,VLOOKUP(B16,Multipliers!A:L,MATCH(K16,Multipliers!$A$1:$L$1,0),FALSE)),VLOOKUP(B16,Multipliers!A:L,MATCH(K16,Multipliers!$A$1:$L$1,0),FALSE))</f>
        <v>0.15</v>
      </c>
      <c r="M16">
        <f t="shared" si="0"/>
        <v>0</v>
      </c>
      <c r="N16" s="1" t="str">
        <f>_xlfn.XLOOKUP(A16,'Product Detail'!$AG:$AG,'Product Detail'!$AH:$AH,"N/A")</f>
        <v>N/A</v>
      </c>
      <c r="O16" s="1">
        <f t="shared" si="1"/>
        <v>0.108</v>
      </c>
      <c r="P16" s="4">
        <f t="shared" si="2"/>
        <v>45352</v>
      </c>
      <c r="Q16" s="4">
        <f t="shared" si="3"/>
        <v>45413</v>
      </c>
    </row>
    <row r="17" spans="1:17" x14ac:dyDescent="0.25">
      <c r="A17" s="2">
        <v>39332</v>
      </c>
      <c r="B17" t="s">
        <v>1874</v>
      </c>
      <c r="C17" t="str">
        <f>_xlfn.XLOOKUP(B17,Multipliers!A:A,Multipliers!C:C)</f>
        <v>Jeffrey Weight</v>
      </c>
      <c r="D17" s="3">
        <v>45322</v>
      </c>
      <c r="E17" t="s">
        <v>1877</v>
      </c>
      <c r="F17" t="s">
        <v>1897</v>
      </c>
      <c r="G17" t="s">
        <v>2198</v>
      </c>
      <c r="H17">
        <v>0</v>
      </c>
      <c r="I17" s="1">
        <v>0</v>
      </c>
      <c r="J17" s="1">
        <v>0</v>
      </c>
      <c r="K17">
        <v>12</v>
      </c>
      <c r="L17">
        <f>IF(E17="4. Renewal - MRR",IF(I17&lt;=0,0,VLOOKUP(B17,Multipliers!A:L,MATCH(K17,Multipliers!$A$1:$L$1,0),FALSE)),VLOOKUP(B17,Multipliers!A:L,MATCH(K17,Multipliers!$A$1:$L$1,0),FALSE))</f>
        <v>0.15</v>
      </c>
      <c r="M17">
        <f t="shared" si="0"/>
        <v>0</v>
      </c>
      <c r="N17" s="1" t="str">
        <f>_xlfn.XLOOKUP(A17,'Product Detail'!$AG:$AG,'Product Detail'!$AH:$AH,"N/A")</f>
        <v>N/A</v>
      </c>
      <c r="O17" s="1">
        <f t="shared" si="1"/>
        <v>0</v>
      </c>
      <c r="P17" s="4">
        <f t="shared" si="2"/>
        <v>45352</v>
      </c>
      <c r="Q17" s="4">
        <f t="shared" si="3"/>
        <v>45413</v>
      </c>
    </row>
    <row r="18" spans="1:17" x14ac:dyDescent="0.25">
      <c r="A18" s="2">
        <v>39331</v>
      </c>
      <c r="B18" t="s">
        <v>150</v>
      </c>
      <c r="C18" t="str">
        <f>_xlfn.XLOOKUP(B18,Multipliers!A:A,Multipliers!C:C)</f>
        <v>Jeffrey Weight</v>
      </c>
      <c r="D18" s="3">
        <v>45316</v>
      </c>
      <c r="E18" t="s">
        <v>1877</v>
      </c>
      <c r="F18" t="s">
        <v>1898</v>
      </c>
      <c r="G18" t="s">
        <v>2199</v>
      </c>
      <c r="H18">
        <v>0</v>
      </c>
      <c r="I18" s="1">
        <v>2.25</v>
      </c>
      <c r="J18" s="1">
        <v>0</v>
      </c>
      <c r="K18">
        <v>12</v>
      </c>
      <c r="L18">
        <f>IF(E18="4. Renewal - MRR",IF(I18&lt;=0,0,VLOOKUP(B18,Multipliers!A:L,MATCH(K18,Multipliers!$A$1:$L$1,0),FALSE)),VLOOKUP(B18,Multipliers!A:L,MATCH(K18,Multipliers!$A$1:$L$1,0),FALSE))</f>
        <v>0.15</v>
      </c>
      <c r="M18">
        <f t="shared" si="0"/>
        <v>0</v>
      </c>
      <c r="N18" s="1" t="str">
        <f>_xlfn.XLOOKUP(A18,'Product Detail'!$AG:$AG,'Product Detail'!$AH:$AH,"N/A")</f>
        <v>N/A</v>
      </c>
      <c r="O18" s="1">
        <f t="shared" si="1"/>
        <v>0.33749999999999997</v>
      </c>
      <c r="P18" s="4">
        <f t="shared" si="2"/>
        <v>45352</v>
      </c>
      <c r="Q18" s="4">
        <f t="shared" si="3"/>
        <v>45413</v>
      </c>
    </row>
    <row r="19" spans="1:17" x14ac:dyDescent="0.25">
      <c r="A19" s="2">
        <v>39288</v>
      </c>
      <c r="B19" t="s">
        <v>132</v>
      </c>
      <c r="C19" t="str">
        <f>_xlfn.XLOOKUP(B19,Multipliers!A:A,Multipliers!C:C)</f>
        <v>Jeffrey Weight</v>
      </c>
      <c r="D19" s="3">
        <v>45317</v>
      </c>
      <c r="E19" t="s">
        <v>1877</v>
      </c>
      <c r="F19" t="s">
        <v>1899</v>
      </c>
      <c r="G19" t="s">
        <v>2200</v>
      </c>
      <c r="H19">
        <v>0</v>
      </c>
      <c r="I19" s="1">
        <v>5.04</v>
      </c>
      <c r="J19" s="1">
        <v>0</v>
      </c>
      <c r="K19">
        <v>12</v>
      </c>
      <c r="L19">
        <f>IF(E19="4. Renewal - MRR",IF(I19&lt;=0,0,VLOOKUP(B19,Multipliers!A:L,MATCH(K19,Multipliers!$A$1:$L$1,0),FALSE)),VLOOKUP(B19,Multipliers!A:L,MATCH(K19,Multipliers!$A$1:$L$1,0),FALSE))</f>
        <v>0.15</v>
      </c>
      <c r="M19">
        <f t="shared" si="0"/>
        <v>0</v>
      </c>
      <c r="N19" s="1" t="str">
        <f>_xlfn.XLOOKUP(A19,'Product Detail'!$AG:$AG,'Product Detail'!$AH:$AH,"N/A")</f>
        <v>N/A</v>
      </c>
      <c r="O19" s="1">
        <f t="shared" si="1"/>
        <v>0.75600000000000001</v>
      </c>
      <c r="P19" s="4">
        <f t="shared" si="2"/>
        <v>45352</v>
      </c>
      <c r="Q19" s="4">
        <f t="shared" si="3"/>
        <v>45413</v>
      </c>
    </row>
    <row r="20" spans="1:17" x14ac:dyDescent="0.25">
      <c r="A20">
        <v>31651</v>
      </c>
      <c r="B20" t="s">
        <v>61</v>
      </c>
      <c r="C20" t="str">
        <f>_xlfn.XLOOKUP(B20,Multipliers!A:A,Multipliers!C:C)</f>
        <v>John Powell</v>
      </c>
      <c r="D20" s="3">
        <v>45296</v>
      </c>
      <c r="E20" t="s">
        <v>1881</v>
      </c>
      <c r="F20" t="s">
        <v>2158</v>
      </c>
      <c r="G20" t="s">
        <v>123</v>
      </c>
      <c r="H20">
        <v>0</v>
      </c>
      <c r="I20" s="1">
        <v>0</v>
      </c>
      <c r="J20" s="1">
        <v>0</v>
      </c>
      <c r="K20">
        <v>1</v>
      </c>
      <c r="L20">
        <f>IF(E20="4. Renewal - MRR",IF(I20&lt;=0,0,VLOOKUP(B20,Multipliers!A:L,MATCH(K20,Multipliers!$A$1:$L$1,0),FALSE)),VLOOKUP(B20,Multipliers!A:L,MATCH(K20,Multipliers!$A$1:$L$1,0),FALSE))</f>
        <v>0</v>
      </c>
      <c r="M20">
        <f t="shared" si="0"/>
        <v>0</v>
      </c>
      <c r="N20" s="1">
        <f>_xlfn.XLOOKUP(A20,'Product Detail'!$AG:$AG,'Product Detail'!$AH:$AH,"N/A")</f>
        <v>0</v>
      </c>
      <c r="O20" s="1">
        <f t="shared" si="1"/>
        <v>0</v>
      </c>
      <c r="P20" s="4">
        <f t="shared" si="2"/>
        <v>45352</v>
      </c>
      <c r="Q20" s="4">
        <f t="shared" si="3"/>
        <v>45413</v>
      </c>
    </row>
    <row r="21" spans="1:17" x14ac:dyDescent="0.25">
      <c r="A21" s="2">
        <v>39231</v>
      </c>
      <c r="B21" t="s">
        <v>151</v>
      </c>
      <c r="C21" t="str">
        <f>_xlfn.XLOOKUP(B21,Multipliers!A:A,Multipliers!C:C)</f>
        <v>Anthony Laiewski</v>
      </c>
      <c r="D21" s="3">
        <v>45315</v>
      </c>
      <c r="E21" t="s">
        <v>1877</v>
      </c>
      <c r="F21" t="s">
        <v>1901</v>
      </c>
      <c r="G21" t="s">
        <v>2202</v>
      </c>
      <c r="H21">
        <v>0</v>
      </c>
      <c r="I21" s="1">
        <v>20</v>
      </c>
      <c r="J21" s="1">
        <v>0</v>
      </c>
      <c r="K21">
        <v>36</v>
      </c>
      <c r="L21">
        <f>IF(E21="4. Renewal - MRR",IF(I21&lt;=0,0,VLOOKUP(B21,Multipliers!A:L,MATCH(K21,Multipliers!$A$1:$L$1,0),FALSE)),VLOOKUP(B21,Multipliers!A:L,MATCH(K21,Multipliers!$A$1:$L$1,0),FALSE))</f>
        <v>0.5</v>
      </c>
      <c r="M21">
        <f t="shared" si="0"/>
        <v>0</v>
      </c>
      <c r="N21" s="1" t="str">
        <f>_xlfn.XLOOKUP(A21,'Product Detail'!$AG:$AG,'Product Detail'!$AH:$AH,"N/A")</f>
        <v>N/A</v>
      </c>
      <c r="O21" s="1">
        <f t="shared" si="1"/>
        <v>10</v>
      </c>
      <c r="P21" s="4">
        <f t="shared" si="2"/>
        <v>45352</v>
      </c>
      <c r="Q21" s="4">
        <f t="shared" si="3"/>
        <v>45413</v>
      </c>
    </row>
    <row r="22" spans="1:17" x14ac:dyDescent="0.25">
      <c r="A22" s="2">
        <v>39226</v>
      </c>
      <c r="B22" t="s">
        <v>132</v>
      </c>
      <c r="C22" t="str">
        <f>_xlfn.XLOOKUP(B22,Multipliers!A:A,Multipliers!C:C)</f>
        <v>Jeffrey Weight</v>
      </c>
      <c r="D22" s="3">
        <v>45322</v>
      </c>
      <c r="E22" t="s">
        <v>1877</v>
      </c>
      <c r="F22" t="s">
        <v>1902</v>
      </c>
      <c r="G22" t="s">
        <v>2203</v>
      </c>
      <c r="H22">
        <v>0</v>
      </c>
      <c r="I22" s="1">
        <v>1.32</v>
      </c>
      <c r="J22" s="1">
        <v>0</v>
      </c>
      <c r="K22">
        <v>12</v>
      </c>
      <c r="L22">
        <f>IF(E22="4. Renewal - MRR",IF(I22&lt;=0,0,VLOOKUP(B22,Multipliers!A:L,MATCH(K22,Multipliers!$A$1:$L$1,0),FALSE)),VLOOKUP(B22,Multipliers!A:L,MATCH(K22,Multipliers!$A$1:$L$1,0),FALSE))</f>
        <v>0.15</v>
      </c>
      <c r="M22">
        <f t="shared" si="0"/>
        <v>0</v>
      </c>
      <c r="N22" s="1" t="str">
        <f>_xlfn.XLOOKUP(A22,'Product Detail'!$AG:$AG,'Product Detail'!$AH:$AH,"N/A")</f>
        <v>N/A</v>
      </c>
      <c r="O22" s="1">
        <f t="shared" si="1"/>
        <v>0.19800000000000001</v>
      </c>
      <c r="P22" s="4">
        <f t="shared" si="2"/>
        <v>45352</v>
      </c>
      <c r="Q22" s="4">
        <f t="shared" si="3"/>
        <v>45413</v>
      </c>
    </row>
    <row r="23" spans="1:17" x14ac:dyDescent="0.25">
      <c r="A23" s="2">
        <v>39217</v>
      </c>
      <c r="B23" t="s">
        <v>1874</v>
      </c>
      <c r="C23" t="str">
        <f>_xlfn.XLOOKUP(B23,Multipliers!A:A,Multipliers!C:C)</f>
        <v>Jeffrey Weight</v>
      </c>
      <c r="D23" s="3">
        <v>45314</v>
      </c>
      <c r="E23" t="s">
        <v>1877</v>
      </c>
      <c r="F23" t="s">
        <v>1903</v>
      </c>
      <c r="G23" t="s">
        <v>2204</v>
      </c>
      <c r="H23">
        <v>0</v>
      </c>
      <c r="I23" s="1">
        <v>0</v>
      </c>
      <c r="J23" s="1">
        <v>0</v>
      </c>
      <c r="K23">
        <v>12</v>
      </c>
      <c r="L23">
        <f>IF(E23="4. Renewal - MRR",IF(I23&lt;=0,0,VLOOKUP(B23,Multipliers!A:L,MATCH(K23,Multipliers!$A$1:$L$1,0),FALSE)),VLOOKUP(B23,Multipliers!A:L,MATCH(K23,Multipliers!$A$1:$L$1,0),FALSE))</f>
        <v>0.15</v>
      </c>
      <c r="M23">
        <f t="shared" si="0"/>
        <v>0</v>
      </c>
      <c r="N23" s="1" t="str">
        <f>_xlfn.XLOOKUP(A23,'Product Detail'!$AG:$AG,'Product Detail'!$AH:$AH,"N/A")</f>
        <v>N/A</v>
      </c>
      <c r="O23" s="1">
        <f t="shared" si="1"/>
        <v>0</v>
      </c>
      <c r="P23" s="4">
        <f t="shared" si="2"/>
        <v>45352</v>
      </c>
      <c r="Q23" s="4">
        <f t="shared" si="3"/>
        <v>45413</v>
      </c>
    </row>
    <row r="24" spans="1:17" x14ac:dyDescent="0.25">
      <c r="A24" s="2">
        <v>39212</v>
      </c>
      <c r="B24" t="s">
        <v>147</v>
      </c>
      <c r="C24" t="str">
        <f>_xlfn.XLOOKUP(B24,Multipliers!A:A,Multipliers!C:C)</f>
        <v>Jeffrey Weight</v>
      </c>
      <c r="D24" s="3">
        <v>45314</v>
      </c>
      <c r="E24" t="s">
        <v>1877</v>
      </c>
      <c r="F24" t="s">
        <v>1904</v>
      </c>
      <c r="G24" t="s">
        <v>2205</v>
      </c>
      <c r="H24">
        <v>0</v>
      </c>
      <c r="I24" s="1">
        <v>47.5</v>
      </c>
      <c r="J24" s="1">
        <v>0</v>
      </c>
      <c r="K24">
        <v>36</v>
      </c>
      <c r="L24">
        <f>IF(E24="4. Renewal - MRR",IF(I24&lt;=0,0,VLOOKUP(B24,Multipliers!A:L,MATCH(K24,Multipliers!$A$1:$L$1,0),FALSE)),VLOOKUP(B24,Multipliers!A:L,MATCH(K24,Multipliers!$A$1:$L$1,0),FALSE))</f>
        <v>0.5</v>
      </c>
      <c r="M24">
        <f t="shared" si="0"/>
        <v>0</v>
      </c>
      <c r="N24" s="1" t="str">
        <f>_xlfn.XLOOKUP(A24,'Product Detail'!$AG:$AG,'Product Detail'!$AH:$AH,"N/A")</f>
        <v>N/A</v>
      </c>
      <c r="O24" s="1">
        <f t="shared" si="1"/>
        <v>23.75</v>
      </c>
      <c r="P24" s="4">
        <f t="shared" si="2"/>
        <v>45352</v>
      </c>
      <c r="Q24" s="4">
        <f t="shared" si="3"/>
        <v>45413</v>
      </c>
    </row>
    <row r="25" spans="1:17" x14ac:dyDescent="0.25">
      <c r="A25" s="2">
        <v>39206</v>
      </c>
      <c r="B25" t="s">
        <v>105</v>
      </c>
      <c r="C25" t="str">
        <f>_xlfn.XLOOKUP(B25,Multipliers!A:A,Multipliers!C:C)</f>
        <v>Luis Blanco</v>
      </c>
      <c r="D25" s="3">
        <v>45315</v>
      </c>
      <c r="E25" t="s">
        <v>1877</v>
      </c>
      <c r="F25" t="s">
        <v>1905</v>
      </c>
      <c r="G25" t="s">
        <v>1506</v>
      </c>
      <c r="H25">
        <v>0</v>
      </c>
      <c r="I25" s="1">
        <v>43.54</v>
      </c>
      <c r="J25" s="1">
        <v>0</v>
      </c>
      <c r="K25">
        <v>36</v>
      </c>
      <c r="L25">
        <f>IF(E25="4. Renewal - MRR",IF(I25&lt;=0,0,VLOOKUP(B25,Multipliers!A:L,MATCH(K25,Multipliers!$A$1:$L$1,0),FALSE)),VLOOKUP(B25,Multipliers!A:L,MATCH(K25,Multipliers!$A$1:$L$1,0),FALSE))</f>
        <v>1</v>
      </c>
      <c r="M25">
        <f t="shared" si="0"/>
        <v>0</v>
      </c>
      <c r="N25" s="1">
        <f>_xlfn.XLOOKUP(A25,'Product Detail'!$AG:$AG,'Product Detail'!$AH:$AH,"N/A")</f>
        <v>6.36</v>
      </c>
      <c r="O25" s="1">
        <f t="shared" si="1"/>
        <v>43.54</v>
      </c>
      <c r="P25" s="4">
        <f t="shared" si="2"/>
        <v>45352</v>
      </c>
      <c r="Q25" s="4">
        <f t="shared" si="3"/>
        <v>45413</v>
      </c>
    </row>
    <row r="26" spans="1:17" x14ac:dyDescent="0.25">
      <c r="A26" s="2">
        <v>32824</v>
      </c>
      <c r="B26" t="s">
        <v>43</v>
      </c>
      <c r="C26" t="s">
        <v>2440</v>
      </c>
      <c r="D26" s="3">
        <v>45302</v>
      </c>
      <c r="E26" t="s">
        <v>1877</v>
      </c>
      <c r="F26" t="s">
        <v>1971</v>
      </c>
      <c r="G26" t="s">
        <v>128</v>
      </c>
      <c r="H26">
        <v>0</v>
      </c>
      <c r="I26" s="1">
        <v>570</v>
      </c>
      <c r="J26" s="1">
        <v>0</v>
      </c>
      <c r="K26">
        <v>36</v>
      </c>
      <c r="L26">
        <f>IF(E26="4. Renewal - MRR",IF(I26&lt;=0,0,VLOOKUP(B26,Multipliers!A:L,MATCH(K26,Multipliers!$A$1:$L$1,0),FALSE)),VLOOKUP(B26,Multipliers!A:L,MATCH(K26,Multipliers!$A$1:$L$1,0),FALSE))</f>
        <v>0.5</v>
      </c>
      <c r="M26">
        <f t="shared" si="0"/>
        <v>0</v>
      </c>
      <c r="N26" s="1">
        <f>_xlfn.XLOOKUP(A26,'Product Detail'!$AG:$AG,'Product Detail'!$AH:$AH,"N/A")</f>
        <v>24</v>
      </c>
      <c r="O26" s="1">
        <f t="shared" si="1"/>
        <v>285</v>
      </c>
      <c r="P26" s="4">
        <f t="shared" si="2"/>
        <v>45352</v>
      </c>
      <c r="Q26" s="4">
        <f t="shared" si="3"/>
        <v>45413</v>
      </c>
    </row>
    <row r="27" spans="1:17" x14ac:dyDescent="0.25">
      <c r="A27" s="2">
        <v>39177</v>
      </c>
      <c r="B27" t="s">
        <v>132</v>
      </c>
      <c r="C27" t="str">
        <f>_xlfn.XLOOKUP(B27,Multipliers!A:A,Multipliers!C:C)</f>
        <v>Jeffrey Weight</v>
      </c>
      <c r="D27" s="3">
        <v>45315</v>
      </c>
      <c r="E27" t="s">
        <v>1877</v>
      </c>
      <c r="F27" t="s">
        <v>1907</v>
      </c>
      <c r="G27" t="s">
        <v>2207</v>
      </c>
      <c r="H27">
        <v>0</v>
      </c>
      <c r="I27" s="1">
        <v>5.4</v>
      </c>
      <c r="J27" s="1">
        <v>0</v>
      </c>
      <c r="K27">
        <v>12</v>
      </c>
      <c r="L27">
        <f>IF(E27="4. Renewal - MRR",IF(I27&lt;=0,0,VLOOKUP(B27,Multipliers!A:L,MATCH(K27,Multipliers!$A$1:$L$1,0),FALSE)),VLOOKUP(B27,Multipliers!A:L,MATCH(K27,Multipliers!$A$1:$L$1,0),FALSE))</f>
        <v>0.15</v>
      </c>
      <c r="M27">
        <f t="shared" si="0"/>
        <v>0</v>
      </c>
      <c r="N27" s="1" t="str">
        <f>_xlfn.XLOOKUP(A27,'Product Detail'!$AG:$AG,'Product Detail'!$AH:$AH,"N/A")</f>
        <v>N/A</v>
      </c>
      <c r="O27" s="1">
        <f t="shared" si="1"/>
        <v>0.81</v>
      </c>
      <c r="P27" s="4">
        <f t="shared" si="2"/>
        <v>45352</v>
      </c>
      <c r="Q27" s="4">
        <f t="shared" si="3"/>
        <v>45413</v>
      </c>
    </row>
    <row r="28" spans="1:17" x14ac:dyDescent="0.25">
      <c r="A28" s="2">
        <v>39170</v>
      </c>
      <c r="B28" t="s">
        <v>184</v>
      </c>
      <c r="C28" t="str">
        <f>_xlfn.XLOOKUP(B28,Multipliers!A:A,Multipliers!C:C)</f>
        <v>Jeffrey Weight</v>
      </c>
      <c r="D28" s="3">
        <v>45314</v>
      </c>
      <c r="E28" t="s">
        <v>1877</v>
      </c>
      <c r="F28" t="s">
        <v>1908</v>
      </c>
      <c r="G28" t="s">
        <v>1490</v>
      </c>
      <c r="H28">
        <v>0</v>
      </c>
      <c r="I28" s="1">
        <v>27</v>
      </c>
      <c r="J28" s="1">
        <v>0</v>
      </c>
      <c r="K28">
        <v>12</v>
      </c>
      <c r="L28">
        <f>IF(E28="4. Renewal - MRR",IF(I28&lt;=0,0,VLOOKUP(B28,Multipliers!A:L,MATCH(K28,Multipliers!$A$1:$L$1,0),FALSE)),VLOOKUP(B28,Multipliers!A:L,MATCH(K28,Multipliers!$A$1:$L$1,0),FALSE))</f>
        <v>0</v>
      </c>
      <c r="M28">
        <f t="shared" si="0"/>
        <v>0</v>
      </c>
      <c r="N28" s="1">
        <f>_xlfn.XLOOKUP(A28,'Product Detail'!$AG:$AG,'Product Detail'!$AH:$AH,"N/A")</f>
        <v>0</v>
      </c>
      <c r="O28" s="1">
        <f t="shared" si="1"/>
        <v>0</v>
      </c>
      <c r="P28" s="4">
        <f t="shared" si="2"/>
        <v>45352</v>
      </c>
      <c r="Q28" s="4">
        <f t="shared" si="3"/>
        <v>45413</v>
      </c>
    </row>
    <row r="29" spans="1:17" x14ac:dyDescent="0.25">
      <c r="A29" s="2">
        <v>33161</v>
      </c>
      <c r="B29" t="s">
        <v>47</v>
      </c>
      <c r="C29" t="s">
        <v>2440</v>
      </c>
      <c r="D29" s="3">
        <v>45295</v>
      </c>
      <c r="E29" t="s">
        <v>1878</v>
      </c>
      <c r="F29" t="s">
        <v>1943</v>
      </c>
      <c r="G29" t="s">
        <v>2260</v>
      </c>
      <c r="H29">
        <v>0</v>
      </c>
      <c r="I29" s="1">
        <v>-357.1</v>
      </c>
      <c r="J29" s="1">
        <v>0</v>
      </c>
      <c r="K29">
        <v>48</v>
      </c>
      <c r="L29">
        <f>IF(E29="4. Renewal - MRR",IF(I29&lt;=0,0,VLOOKUP(B29,Multipliers!A:L,MATCH(K29,Multipliers!$A$1:$L$1,0),FALSE)),VLOOKUP(B29,Multipliers!A:L,MATCH(K29,Multipliers!$A$1:$L$1,0),FALSE))</f>
        <v>0.5</v>
      </c>
      <c r="M29">
        <f t="shared" si="0"/>
        <v>0</v>
      </c>
      <c r="N29" s="1" t="str">
        <f>_xlfn.XLOOKUP(A29,'Product Detail'!$AG:$AG,'Product Detail'!$AH:$AH,"N/A")</f>
        <v>N/A</v>
      </c>
      <c r="O29" s="1">
        <f t="shared" si="1"/>
        <v>-178.55</v>
      </c>
      <c r="P29" s="4">
        <f t="shared" si="2"/>
        <v>45352</v>
      </c>
      <c r="Q29" s="4">
        <f t="shared" si="3"/>
        <v>45413</v>
      </c>
    </row>
    <row r="30" spans="1:17" x14ac:dyDescent="0.25">
      <c r="A30" s="2">
        <v>39155</v>
      </c>
      <c r="B30" t="s">
        <v>132</v>
      </c>
      <c r="C30" t="str">
        <f>_xlfn.XLOOKUP(B30,Multipliers!A:A,Multipliers!C:C)</f>
        <v>Jeffrey Weight</v>
      </c>
      <c r="D30" s="3">
        <v>45316</v>
      </c>
      <c r="E30" t="s">
        <v>1877</v>
      </c>
      <c r="F30" t="s">
        <v>1910</v>
      </c>
      <c r="G30" t="s">
        <v>1479</v>
      </c>
      <c r="H30">
        <v>0</v>
      </c>
      <c r="I30" s="1">
        <v>4.8</v>
      </c>
      <c r="J30" s="1">
        <v>0</v>
      </c>
      <c r="K30">
        <v>12</v>
      </c>
      <c r="L30">
        <f>IF(E30="4. Renewal - MRR",IF(I30&lt;=0,0,VLOOKUP(B30,Multipliers!A:L,MATCH(K30,Multipliers!$A$1:$L$1,0),FALSE)),VLOOKUP(B30,Multipliers!A:L,MATCH(K30,Multipliers!$A$1:$L$1,0),FALSE))</f>
        <v>0.15</v>
      </c>
      <c r="M30">
        <f t="shared" si="0"/>
        <v>0</v>
      </c>
      <c r="N30" s="1">
        <f>_xlfn.XLOOKUP(A30,'Product Detail'!$AG:$AG,'Product Detail'!$AH:$AH,"N/A")</f>
        <v>26.16</v>
      </c>
      <c r="O30" s="1">
        <f t="shared" si="1"/>
        <v>0.72</v>
      </c>
      <c r="P30" s="4">
        <f t="shared" si="2"/>
        <v>45352</v>
      </c>
      <c r="Q30" s="4">
        <f t="shared" si="3"/>
        <v>45413</v>
      </c>
    </row>
    <row r="31" spans="1:17" x14ac:dyDescent="0.25">
      <c r="A31">
        <v>36444</v>
      </c>
      <c r="B31" t="s">
        <v>47</v>
      </c>
      <c r="C31" t="str">
        <f>_xlfn.XLOOKUP(B31,Multipliers!A:A,Multipliers!C:C)</f>
        <v>John Powell</v>
      </c>
      <c r="D31" s="3">
        <v>45302</v>
      </c>
      <c r="E31" t="s">
        <v>1878</v>
      </c>
      <c r="F31" t="s">
        <v>1911</v>
      </c>
      <c r="G31" t="s">
        <v>2267</v>
      </c>
      <c r="H31">
        <v>0</v>
      </c>
      <c r="I31" s="1">
        <v>0</v>
      </c>
      <c r="J31" s="1">
        <v>0</v>
      </c>
      <c r="K31">
        <v>36</v>
      </c>
      <c r="L31">
        <f>IF(E31="4. Renewal - MRR",IF(I31&lt;=0,0,VLOOKUP(B31,Multipliers!A:L,MATCH(K31,Multipliers!$A$1:$L$1,0),FALSE)),VLOOKUP(B31,Multipliers!A:L,MATCH(K31,Multipliers!$A$1:$L$1,0),FALSE))</f>
        <v>0.5</v>
      </c>
      <c r="M31">
        <f t="shared" si="0"/>
        <v>0</v>
      </c>
      <c r="N31" s="1" t="str">
        <f>_xlfn.XLOOKUP(A31,'Product Detail'!$AG:$AG,'Product Detail'!$AH:$AH,"N/A")</f>
        <v>N/A</v>
      </c>
      <c r="O31" s="1">
        <f t="shared" si="1"/>
        <v>0</v>
      </c>
      <c r="P31" s="4">
        <f t="shared" si="2"/>
        <v>45352</v>
      </c>
      <c r="Q31" s="4">
        <f t="shared" si="3"/>
        <v>45413</v>
      </c>
    </row>
    <row r="32" spans="1:17" x14ac:dyDescent="0.25">
      <c r="A32" s="2">
        <v>36761</v>
      </c>
      <c r="B32" t="s">
        <v>43</v>
      </c>
      <c r="C32" t="s">
        <v>2441</v>
      </c>
      <c r="D32" s="3">
        <v>45313</v>
      </c>
      <c r="E32" t="s">
        <v>1879</v>
      </c>
      <c r="F32" t="s">
        <v>1892</v>
      </c>
      <c r="G32" t="s">
        <v>2257</v>
      </c>
      <c r="H32" t="s">
        <v>2390</v>
      </c>
      <c r="I32" s="1">
        <v>0</v>
      </c>
      <c r="J32" s="1">
        <v>3742</v>
      </c>
      <c r="K32">
        <v>36</v>
      </c>
      <c r="L32">
        <f>IF(E32="4. Renewal - MRR",IF(I32&lt;=0,0,VLOOKUP(B32,Multipliers!A:L,MATCH(K32,Multipliers!$A$1:$L$1,0),FALSE)),VLOOKUP(B32,Multipliers!A:L,MATCH(K32,Multipliers!$A$1:$L$1,0),FALSE))</f>
        <v>0</v>
      </c>
      <c r="M32">
        <f t="shared" si="0"/>
        <v>0.25</v>
      </c>
      <c r="N32" s="1" t="str">
        <f>_xlfn.XLOOKUP(A32,'Product Detail'!$AG:$AG,'Product Detail'!$AH:$AH,"N/A")</f>
        <v>N/A</v>
      </c>
      <c r="O32" s="1">
        <f t="shared" si="1"/>
        <v>935.5</v>
      </c>
      <c r="P32" s="4">
        <f t="shared" si="2"/>
        <v>45352</v>
      </c>
      <c r="Q32" s="4">
        <f t="shared" si="3"/>
        <v>45413</v>
      </c>
    </row>
    <row r="33" spans="1:17" x14ac:dyDescent="0.25">
      <c r="A33" s="2">
        <v>37592</v>
      </c>
      <c r="B33" t="s">
        <v>56</v>
      </c>
      <c r="C33" t="s">
        <v>2441</v>
      </c>
      <c r="D33" s="3">
        <v>45302</v>
      </c>
      <c r="E33" t="s">
        <v>1879</v>
      </c>
      <c r="F33" t="s">
        <v>1963</v>
      </c>
      <c r="G33" t="s">
        <v>329</v>
      </c>
      <c r="H33" t="s">
        <v>2390</v>
      </c>
      <c r="I33" s="1">
        <v>0</v>
      </c>
      <c r="J33" s="1">
        <v>6300</v>
      </c>
      <c r="K33">
        <v>36</v>
      </c>
      <c r="L33">
        <f>IF(E33="4. Renewal - MRR",IF(I33&lt;=0,0,VLOOKUP(B33,Multipliers!A:L,MATCH(K33,Multipliers!$A$1:$L$1,0),FALSE)),VLOOKUP(B33,Multipliers!A:L,MATCH(K33,Multipliers!$A$1:$L$1,0),FALSE))</f>
        <v>0</v>
      </c>
      <c r="M33">
        <f t="shared" si="0"/>
        <v>0.25</v>
      </c>
      <c r="N33" s="1">
        <f>_xlfn.XLOOKUP(A33,'Product Detail'!$AG:$AG,'Product Detail'!$AH:$AH,"N/A")</f>
        <v>252</v>
      </c>
      <c r="O33" s="1">
        <f t="shared" si="1"/>
        <v>1575</v>
      </c>
      <c r="P33" s="4">
        <f t="shared" si="2"/>
        <v>45352</v>
      </c>
      <c r="Q33" s="4">
        <f t="shared" si="3"/>
        <v>45413</v>
      </c>
    </row>
    <row r="34" spans="1:17" x14ac:dyDescent="0.25">
      <c r="A34" s="2">
        <v>39093</v>
      </c>
      <c r="B34" t="s">
        <v>140</v>
      </c>
      <c r="C34" t="str">
        <f>_xlfn.XLOOKUP(B34,Multipliers!A:A,Multipliers!C:C)</f>
        <v>Jeffrey Weight</v>
      </c>
      <c r="D34" s="3">
        <v>45309</v>
      </c>
      <c r="E34" t="s">
        <v>1877</v>
      </c>
      <c r="F34" t="s">
        <v>1913</v>
      </c>
      <c r="G34" t="s">
        <v>2211</v>
      </c>
      <c r="H34">
        <v>0</v>
      </c>
      <c r="I34" s="1">
        <v>2.25</v>
      </c>
      <c r="J34" s="1">
        <v>0</v>
      </c>
      <c r="K34">
        <v>12</v>
      </c>
      <c r="L34">
        <f>IF(E34="4. Renewal - MRR",IF(I34&lt;=0,0,VLOOKUP(B34,Multipliers!A:L,MATCH(K34,Multipliers!$A$1:$L$1,0),FALSE)),VLOOKUP(B34,Multipliers!A:L,MATCH(K34,Multipliers!$A$1:$L$1,0),FALSE))</f>
        <v>0.15</v>
      </c>
      <c r="M34">
        <f t="shared" si="0"/>
        <v>0</v>
      </c>
      <c r="N34" s="1" t="str">
        <f>_xlfn.XLOOKUP(A34,'Product Detail'!$AG:$AG,'Product Detail'!$AH:$AH,"N/A")</f>
        <v>N/A</v>
      </c>
      <c r="O34" s="1">
        <f t="shared" si="1"/>
        <v>0.33749999999999997</v>
      </c>
      <c r="P34" s="4">
        <f t="shared" si="2"/>
        <v>45352</v>
      </c>
      <c r="Q34" s="4">
        <f t="shared" si="3"/>
        <v>45413</v>
      </c>
    </row>
    <row r="35" spans="1:17" x14ac:dyDescent="0.25">
      <c r="A35" s="2">
        <v>39068</v>
      </c>
      <c r="B35" t="s">
        <v>105</v>
      </c>
      <c r="C35" t="str">
        <f>_xlfn.XLOOKUP(B35,Multipliers!A:A,Multipliers!C:C)</f>
        <v>Luis Blanco</v>
      </c>
      <c r="D35" s="3">
        <v>45309</v>
      </c>
      <c r="E35" t="s">
        <v>1877</v>
      </c>
      <c r="F35" t="s">
        <v>1914</v>
      </c>
      <c r="G35" t="s">
        <v>2212</v>
      </c>
      <c r="H35">
        <v>0</v>
      </c>
      <c r="I35" s="1">
        <v>686.9</v>
      </c>
      <c r="J35" s="1">
        <v>0</v>
      </c>
      <c r="K35">
        <v>1</v>
      </c>
      <c r="L35">
        <f>IF(E35="4. Renewal - MRR",IF(I35&lt;=0,0,VLOOKUP(B35,Multipliers!A:L,MATCH(K35,Multipliers!$A$1:$L$1,0),FALSE)),VLOOKUP(B35,Multipliers!A:L,MATCH(K35,Multipliers!$A$1:$L$1,0),FALSE))</f>
        <v>0</v>
      </c>
      <c r="M35">
        <f t="shared" si="0"/>
        <v>0</v>
      </c>
      <c r="N35" s="1" t="str">
        <f>_xlfn.XLOOKUP(A35,'Product Detail'!$AG:$AG,'Product Detail'!$AH:$AH,"N/A")</f>
        <v>N/A</v>
      </c>
      <c r="O35" s="1">
        <f t="shared" si="1"/>
        <v>0</v>
      </c>
      <c r="P35" s="4">
        <f t="shared" si="2"/>
        <v>45352</v>
      </c>
      <c r="Q35" s="4">
        <f t="shared" si="3"/>
        <v>45413</v>
      </c>
    </row>
    <row r="36" spans="1:17" x14ac:dyDescent="0.25">
      <c r="A36" s="2">
        <v>39053</v>
      </c>
      <c r="B36" t="s">
        <v>132</v>
      </c>
      <c r="C36" t="str">
        <f>_xlfn.XLOOKUP(B36,Multipliers!A:A,Multipliers!C:C)</f>
        <v>Jeffrey Weight</v>
      </c>
      <c r="D36" s="3">
        <v>45313</v>
      </c>
      <c r="E36" t="s">
        <v>1877</v>
      </c>
      <c r="F36" t="s">
        <v>1915</v>
      </c>
      <c r="G36" t="s">
        <v>1377</v>
      </c>
      <c r="H36">
        <v>0</v>
      </c>
      <c r="I36" s="1">
        <v>595</v>
      </c>
      <c r="J36" s="1">
        <v>0</v>
      </c>
      <c r="K36">
        <v>36</v>
      </c>
      <c r="L36">
        <f>IF(E36="4. Renewal - MRR",IF(I36&lt;=0,0,VLOOKUP(B36,Multipliers!A:L,MATCH(K36,Multipliers!$A$1:$L$1,0),FALSE)),VLOOKUP(B36,Multipliers!A:L,MATCH(K36,Multipliers!$A$1:$L$1,0),FALSE))</f>
        <v>0.5</v>
      </c>
      <c r="M36">
        <f t="shared" si="0"/>
        <v>0</v>
      </c>
      <c r="N36" s="1">
        <f>_xlfn.XLOOKUP(A36,'Product Detail'!$AG:$AG,'Product Detail'!$AH:$AH,"N/A")</f>
        <v>18</v>
      </c>
      <c r="O36" s="1">
        <f t="shared" si="1"/>
        <v>297.5</v>
      </c>
      <c r="P36" s="4">
        <f t="shared" si="2"/>
        <v>45352</v>
      </c>
      <c r="Q36" s="4">
        <f t="shared" si="3"/>
        <v>45413</v>
      </c>
    </row>
    <row r="37" spans="1:17" x14ac:dyDescent="0.25">
      <c r="A37" s="2">
        <v>39050</v>
      </c>
      <c r="B37" t="s">
        <v>132</v>
      </c>
      <c r="C37" t="str">
        <f>_xlfn.XLOOKUP(B37,Multipliers!A:A,Multipliers!C:C)</f>
        <v>Jeffrey Weight</v>
      </c>
      <c r="D37" s="3">
        <v>45315</v>
      </c>
      <c r="E37" t="s">
        <v>1879</v>
      </c>
      <c r="F37" t="s">
        <v>1916</v>
      </c>
      <c r="G37" t="s">
        <v>2213</v>
      </c>
      <c r="H37">
        <v>0</v>
      </c>
      <c r="I37" s="1">
        <v>0.91</v>
      </c>
      <c r="J37" s="1">
        <v>27.21</v>
      </c>
      <c r="K37">
        <v>12</v>
      </c>
      <c r="L37">
        <f>IF(E37="4. Renewal - MRR",IF(I37&lt;=0,0,VLOOKUP(B37,Multipliers!A:L,MATCH(K37,Multipliers!$A$1:$L$1,0),FALSE)),VLOOKUP(B37,Multipliers!A:L,MATCH(K37,Multipliers!$A$1:$L$1,0),FALSE))</f>
        <v>0.15</v>
      </c>
      <c r="M37">
        <f t="shared" si="0"/>
        <v>0</v>
      </c>
      <c r="N37" s="1" t="str">
        <f>_xlfn.XLOOKUP(A37,'Product Detail'!$AG:$AG,'Product Detail'!$AH:$AH,"N/A")</f>
        <v>N/A</v>
      </c>
      <c r="O37" s="1">
        <f t="shared" si="1"/>
        <v>0.13650000000000001</v>
      </c>
      <c r="P37" s="4">
        <f t="shared" si="2"/>
        <v>45352</v>
      </c>
      <c r="Q37" s="4">
        <f t="shared" si="3"/>
        <v>45413</v>
      </c>
    </row>
    <row r="38" spans="1:17" x14ac:dyDescent="0.25">
      <c r="A38" s="2">
        <v>39049</v>
      </c>
      <c r="B38" t="s">
        <v>1874</v>
      </c>
      <c r="C38" t="str">
        <f>_xlfn.XLOOKUP(B38,Multipliers!A:A,Multipliers!C:C)</f>
        <v>Jeffrey Weight</v>
      </c>
      <c r="D38" s="3">
        <v>45309</v>
      </c>
      <c r="E38" t="s">
        <v>1877</v>
      </c>
      <c r="F38" t="s">
        <v>1917</v>
      </c>
      <c r="G38" t="s">
        <v>2201</v>
      </c>
      <c r="H38">
        <v>0</v>
      </c>
      <c r="I38" s="1">
        <v>1.77</v>
      </c>
      <c r="J38" s="1">
        <v>0</v>
      </c>
      <c r="K38">
        <v>12</v>
      </c>
      <c r="L38">
        <f>IF(E38="4. Renewal - MRR",IF(I38&lt;=0,0,VLOOKUP(B38,Multipliers!A:L,MATCH(K38,Multipliers!$A$1:$L$1,0),FALSE)),VLOOKUP(B38,Multipliers!A:L,MATCH(K38,Multipliers!$A$1:$L$1,0),FALSE))</f>
        <v>0.15</v>
      </c>
      <c r="M38">
        <f t="shared" si="0"/>
        <v>0</v>
      </c>
      <c r="N38" s="1" t="str">
        <f>_xlfn.XLOOKUP(A38,'Product Detail'!$AG:$AG,'Product Detail'!$AH:$AH,"N/A")</f>
        <v>N/A</v>
      </c>
      <c r="O38" s="1">
        <f t="shared" si="1"/>
        <v>0.26550000000000001</v>
      </c>
      <c r="P38" s="4">
        <f t="shared" si="2"/>
        <v>45352</v>
      </c>
      <c r="Q38" s="4">
        <f t="shared" si="3"/>
        <v>45413</v>
      </c>
    </row>
    <row r="39" spans="1:17" x14ac:dyDescent="0.25">
      <c r="A39" s="2">
        <v>39029</v>
      </c>
      <c r="B39" t="s">
        <v>147</v>
      </c>
      <c r="C39" t="str">
        <f>_xlfn.XLOOKUP(B39,Multipliers!A:A,Multipliers!C:C)</f>
        <v>Jeffrey Weight</v>
      </c>
      <c r="D39" s="3">
        <v>45310</v>
      </c>
      <c r="E39" t="s">
        <v>1877</v>
      </c>
      <c r="F39" t="s">
        <v>1904</v>
      </c>
      <c r="G39" t="s">
        <v>1335</v>
      </c>
      <c r="H39">
        <v>0</v>
      </c>
      <c r="I39" s="1">
        <v>1511</v>
      </c>
      <c r="J39" s="1">
        <v>0</v>
      </c>
      <c r="K39">
        <v>36</v>
      </c>
      <c r="L39">
        <f>IF(E39="4. Renewal - MRR",IF(I39&lt;=0,0,VLOOKUP(B39,Multipliers!A:L,MATCH(K39,Multipliers!$A$1:$L$1,0),FALSE)),VLOOKUP(B39,Multipliers!A:L,MATCH(K39,Multipliers!$A$1:$L$1,0),FALSE))</f>
        <v>0.5</v>
      </c>
      <c r="M39">
        <f t="shared" si="0"/>
        <v>0</v>
      </c>
      <c r="N39" s="1">
        <f>_xlfn.XLOOKUP(A39,'Product Detail'!$AG:$AG,'Product Detail'!$AH:$AH,"N/A")</f>
        <v>137.25399999999999</v>
      </c>
      <c r="O39" s="1">
        <f t="shared" si="1"/>
        <v>755.5</v>
      </c>
      <c r="P39" s="4">
        <f t="shared" si="2"/>
        <v>45352</v>
      </c>
      <c r="Q39" s="4">
        <f t="shared" si="3"/>
        <v>45413</v>
      </c>
    </row>
    <row r="40" spans="1:17" x14ac:dyDescent="0.25">
      <c r="A40" s="2">
        <v>39025</v>
      </c>
      <c r="B40" t="s">
        <v>147</v>
      </c>
      <c r="C40" t="str">
        <f>_xlfn.XLOOKUP(B40,Multipliers!A:A,Multipliers!C:C)</f>
        <v>Jeffrey Weight</v>
      </c>
      <c r="D40" s="3">
        <v>45310</v>
      </c>
      <c r="E40" t="s">
        <v>1879</v>
      </c>
      <c r="F40" t="s">
        <v>1918</v>
      </c>
      <c r="G40" t="s">
        <v>1331</v>
      </c>
      <c r="H40">
        <v>0</v>
      </c>
      <c r="I40" s="1">
        <v>41.1</v>
      </c>
      <c r="J40" s="1">
        <v>0.9</v>
      </c>
      <c r="K40">
        <v>36</v>
      </c>
      <c r="L40">
        <f>IF(E40="4. Renewal - MRR",IF(I40&lt;=0,0,VLOOKUP(B40,Multipliers!A:L,MATCH(K40,Multipliers!$A$1:$L$1,0),FALSE)),VLOOKUP(B40,Multipliers!A:L,MATCH(K40,Multipliers!$A$1:$L$1,0),FALSE))</f>
        <v>0.5</v>
      </c>
      <c r="M40">
        <f t="shared" si="0"/>
        <v>0.25</v>
      </c>
      <c r="N40" s="1">
        <f>_xlfn.XLOOKUP(A40,'Product Detail'!$AG:$AG,'Product Detail'!$AH:$AH,"N/A")</f>
        <v>0.12</v>
      </c>
      <c r="O40" s="1">
        <f t="shared" si="1"/>
        <v>20.775000000000002</v>
      </c>
      <c r="P40" s="4">
        <f t="shared" si="2"/>
        <v>45352</v>
      </c>
      <c r="Q40" s="4">
        <f t="shared" si="3"/>
        <v>45413</v>
      </c>
    </row>
    <row r="41" spans="1:17" x14ac:dyDescent="0.25">
      <c r="A41" s="2">
        <v>39023</v>
      </c>
      <c r="B41" t="s">
        <v>147</v>
      </c>
      <c r="C41" t="str">
        <f>_xlfn.XLOOKUP(B41,Multipliers!A:A,Multipliers!C:C)</f>
        <v>Jeffrey Weight</v>
      </c>
      <c r="D41" s="3">
        <v>45308</v>
      </c>
      <c r="E41" t="s">
        <v>1877</v>
      </c>
      <c r="F41" t="s">
        <v>1919</v>
      </c>
      <c r="G41" t="s">
        <v>2214</v>
      </c>
      <c r="H41">
        <v>0</v>
      </c>
      <c r="I41" s="1">
        <v>1.65</v>
      </c>
      <c r="J41" s="1">
        <v>0</v>
      </c>
      <c r="K41">
        <v>12</v>
      </c>
      <c r="L41">
        <f>IF(E41="4. Renewal - MRR",IF(I41&lt;=0,0,VLOOKUP(B41,Multipliers!A:L,MATCH(K41,Multipliers!$A$1:$L$1,0),FALSE)),VLOOKUP(B41,Multipliers!A:L,MATCH(K41,Multipliers!$A$1:$L$1,0),FALSE))</f>
        <v>0.15</v>
      </c>
      <c r="M41">
        <f t="shared" si="0"/>
        <v>0</v>
      </c>
      <c r="N41" s="1" t="str">
        <f>_xlfn.XLOOKUP(A41,'Product Detail'!$AG:$AG,'Product Detail'!$AH:$AH,"N/A")</f>
        <v>N/A</v>
      </c>
      <c r="O41" s="1">
        <f t="shared" si="1"/>
        <v>0.24749999999999997</v>
      </c>
      <c r="P41" s="4">
        <f t="shared" si="2"/>
        <v>45352</v>
      </c>
      <c r="Q41" s="4">
        <f t="shared" si="3"/>
        <v>45413</v>
      </c>
    </row>
    <row r="42" spans="1:17" x14ac:dyDescent="0.25">
      <c r="A42" s="2">
        <v>39009</v>
      </c>
      <c r="B42" t="s">
        <v>132</v>
      </c>
      <c r="C42" t="str">
        <f>_xlfn.XLOOKUP(B42,Multipliers!A:A,Multipliers!C:C)</f>
        <v>Jeffrey Weight</v>
      </c>
      <c r="D42" s="3">
        <v>45316</v>
      </c>
      <c r="E42" t="s">
        <v>1878</v>
      </c>
      <c r="F42" t="s">
        <v>1920</v>
      </c>
      <c r="G42" t="s">
        <v>2215</v>
      </c>
      <c r="H42">
        <v>0</v>
      </c>
      <c r="I42" s="1">
        <v>-1.08</v>
      </c>
      <c r="J42" s="1">
        <v>0</v>
      </c>
      <c r="K42">
        <v>12</v>
      </c>
      <c r="L42">
        <f>IF(E42="4. Renewal - MRR",IF(I42&lt;=0,0,VLOOKUP(B42,Multipliers!A:L,MATCH(K42,Multipliers!$A$1:$L$1,0),FALSE)),VLOOKUP(B42,Multipliers!A:L,MATCH(K42,Multipliers!$A$1:$L$1,0),FALSE))</f>
        <v>0.15</v>
      </c>
      <c r="M42">
        <f t="shared" si="0"/>
        <v>0</v>
      </c>
      <c r="N42" s="1" t="str">
        <f>_xlfn.XLOOKUP(A42,'Product Detail'!$AG:$AG,'Product Detail'!$AH:$AH,"N/A")</f>
        <v>N/A</v>
      </c>
      <c r="O42" s="1">
        <f t="shared" si="1"/>
        <v>-0.16200000000000001</v>
      </c>
      <c r="P42" s="4">
        <f t="shared" si="2"/>
        <v>45352</v>
      </c>
      <c r="Q42" s="4">
        <f t="shared" si="3"/>
        <v>45413</v>
      </c>
    </row>
    <row r="43" spans="1:17" x14ac:dyDescent="0.25">
      <c r="A43" s="2">
        <v>39000</v>
      </c>
      <c r="B43" t="s">
        <v>147</v>
      </c>
      <c r="C43" t="str">
        <f>_xlfn.XLOOKUP(B43,Multipliers!A:A,Multipliers!C:C)</f>
        <v>Jeffrey Weight</v>
      </c>
      <c r="D43" s="3">
        <v>45308</v>
      </c>
      <c r="E43" t="s">
        <v>1877</v>
      </c>
      <c r="F43" t="s">
        <v>1919</v>
      </c>
      <c r="G43" t="s">
        <v>1304</v>
      </c>
      <c r="H43">
        <v>0</v>
      </c>
      <c r="I43" s="1">
        <v>549</v>
      </c>
      <c r="J43" s="1">
        <v>0</v>
      </c>
      <c r="K43">
        <v>36</v>
      </c>
      <c r="L43">
        <f>IF(E43="4. Renewal - MRR",IF(I43&lt;=0,0,VLOOKUP(B43,Multipliers!A:L,MATCH(K43,Multipliers!$A$1:$L$1,0),FALSE)),VLOOKUP(B43,Multipliers!A:L,MATCH(K43,Multipliers!$A$1:$L$1,0),FALSE))</f>
        <v>0.5</v>
      </c>
      <c r="M43">
        <f t="shared" si="0"/>
        <v>0</v>
      </c>
      <c r="N43" s="1">
        <f>_xlfn.XLOOKUP(A43,'Product Detail'!$AG:$AG,'Product Detail'!$AH:$AH,"N/A")</f>
        <v>107.1896</v>
      </c>
      <c r="O43" s="1">
        <f t="shared" si="1"/>
        <v>274.5</v>
      </c>
      <c r="P43" s="4">
        <f t="shared" si="2"/>
        <v>45352</v>
      </c>
      <c r="Q43" s="4">
        <f t="shared" si="3"/>
        <v>45413</v>
      </c>
    </row>
    <row r="44" spans="1:17" x14ac:dyDescent="0.25">
      <c r="A44" s="2">
        <v>38987</v>
      </c>
      <c r="B44" t="s">
        <v>132</v>
      </c>
      <c r="C44" t="str">
        <f>_xlfn.XLOOKUP(B44,Multipliers!A:A,Multipliers!C:C)</f>
        <v>Jeffrey Weight</v>
      </c>
      <c r="D44" s="3">
        <v>45307</v>
      </c>
      <c r="E44" t="s">
        <v>1877</v>
      </c>
      <c r="F44" t="s">
        <v>1921</v>
      </c>
      <c r="G44" t="s">
        <v>2216</v>
      </c>
      <c r="H44">
        <v>0</v>
      </c>
      <c r="I44" s="1">
        <v>4.1399999999999997</v>
      </c>
      <c r="J44" s="1">
        <v>0</v>
      </c>
      <c r="K44">
        <v>12</v>
      </c>
      <c r="L44">
        <f>IF(E44="4. Renewal - MRR",IF(I44&lt;=0,0,VLOOKUP(B44,Multipliers!A:L,MATCH(K44,Multipliers!$A$1:$L$1,0),FALSE)),VLOOKUP(B44,Multipliers!A:L,MATCH(K44,Multipliers!$A$1:$L$1,0),FALSE))</f>
        <v>0.15</v>
      </c>
      <c r="M44">
        <f t="shared" si="0"/>
        <v>0</v>
      </c>
      <c r="N44" s="1" t="str">
        <f>_xlfn.XLOOKUP(A44,'Product Detail'!$AG:$AG,'Product Detail'!$AH:$AH,"N/A")</f>
        <v>N/A</v>
      </c>
      <c r="O44" s="1">
        <f t="shared" si="1"/>
        <v>0.62099999999999989</v>
      </c>
      <c r="P44" s="4">
        <f t="shared" si="2"/>
        <v>45352</v>
      </c>
      <c r="Q44" s="4">
        <f t="shared" si="3"/>
        <v>45413</v>
      </c>
    </row>
    <row r="45" spans="1:17" x14ac:dyDescent="0.25">
      <c r="A45" s="2">
        <v>38986</v>
      </c>
      <c r="B45" t="s">
        <v>150</v>
      </c>
      <c r="C45" t="str">
        <f>_xlfn.XLOOKUP(B45,Multipliers!A:A,Multipliers!C:C)</f>
        <v>Jeffrey Weight</v>
      </c>
      <c r="D45" s="3">
        <v>45307</v>
      </c>
      <c r="E45" t="s">
        <v>1877</v>
      </c>
      <c r="F45" t="s">
        <v>1922</v>
      </c>
      <c r="G45" t="s">
        <v>2217</v>
      </c>
      <c r="H45">
        <v>0</v>
      </c>
      <c r="I45" s="1">
        <v>17</v>
      </c>
      <c r="J45" s="1">
        <v>0</v>
      </c>
      <c r="K45">
        <v>36</v>
      </c>
      <c r="L45">
        <f>IF(E45="4. Renewal - MRR",IF(I45&lt;=0,0,VLOOKUP(B45,Multipliers!A:L,MATCH(K45,Multipliers!$A$1:$L$1,0),FALSE)),VLOOKUP(B45,Multipliers!A:L,MATCH(K45,Multipliers!$A$1:$L$1,0),FALSE))</f>
        <v>0.5</v>
      </c>
      <c r="M45">
        <f t="shared" si="0"/>
        <v>0</v>
      </c>
      <c r="N45" s="1" t="str">
        <f>_xlfn.XLOOKUP(A45,'Product Detail'!$AG:$AG,'Product Detail'!$AH:$AH,"N/A")</f>
        <v>N/A</v>
      </c>
      <c r="O45" s="1">
        <f t="shared" si="1"/>
        <v>8.5</v>
      </c>
      <c r="P45" s="4">
        <f t="shared" si="2"/>
        <v>45352</v>
      </c>
      <c r="Q45" s="4">
        <f t="shared" si="3"/>
        <v>45413</v>
      </c>
    </row>
    <row r="46" spans="1:17" x14ac:dyDescent="0.25">
      <c r="A46">
        <v>37623</v>
      </c>
      <c r="B46" t="s">
        <v>43</v>
      </c>
      <c r="C46" t="str">
        <f>_xlfn.XLOOKUP(B46,Multipliers!A:A,Multipliers!C:C)</f>
        <v>John Powell</v>
      </c>
      <c r="D46" s="3">
        <v>45322</v>
      </c>
      <c r="E46" t="s">
        <v>1881</v>
      </c>
      <c r="F46" t="s">
        <v>2034</v>
      </c>
      <c r="G46" t="s">
        <v>347</v>
      </c>
      <c r="H46">
        <v>0</v>
      </c>
      <c r="I46" s="1">
        <v>0</v>
      </c>
      <c r="J46" s="1">
        <v>0</v>
      </c>
      <c r="K46">
        <v>1</v>
      </c>
      <c r="L46">
        <f>IF(E46="4. Renewal - MRR",IF(I46&lt;=0,0,VLOOKUP(B46,Multipliers!A:L,MATCH(K46,Multipliers!$A$1:$L$1,0),FALSE)),VLOOKUP(B46,Multipliers!A:L,MATCH(K46,Multipliers!$A$1:$L$1,0),FALSE))</f>
        <v>0</v>
      </c>
      <c r="M46">
        <f t="shared" si="0"/>
        <v>0</v>
      </c>
      <c r="N46" s="1">
        <f>_xlfn.XLOOKUP(A46,'Product Detail'!$AG:$AG,'Product Detail'!$AH:$AH,"N/A")</f>
        <v>613.03275000000008</v>
      </c>
      <c r="O46" s="1">
        <f t="shared" si="1"/>
        <v>0</v>
      </c>
      <c r="P46" s="4">
        <f t="shared" si="2"/>
        <v>45352</v>
      </c>
      <c r="Q46" s="4">
        <f t="shared" si="3"/>
        <v>45413</v>
      </c>
    </row>
    <row r="47" spans="1:17" x14ac:dyDescent="0.25">
      <c r="A47" s="2">
        <v>38949</v>
      </c>
      <c r="B47" t="s">
        <v>107</v>
      </c>
      <c r="C47" t="str">
        <f>_xlfn.XLOOKUP(B47,Multipliers!A:A,Multipliers!C:C)</f>
        <v>Luis Blanco</v>
      </c>
      <c r="D47" s="3">
        <v>45309</v>
      </c>
      <c r="E47" t="s">
        <v>1877</v>
      </c>
      <c r="F47" t="s">
        <v>1923</v>
      </c>
      <c r="G47" t="s">
        <v>1067</v>
      </c>
      <c r="H47">
        <v>0</v>
      </c>
      <c r="I47" s="1">
        <v>0</v>
      </c>
      <c r="J47" s="1">
        <v>0</v>
      </c>
      <c r="K47">
        <v>1</v>
      </c>
      <c r="L47">
        <f>IF(E47="4. Renewal - MRR",IF(I47&lt;=0,0,VLOOKUP(B47,Multipliers!A:L,MATCH(K47,Multipliers!$A$1:$L$1,0),FALSE)),VLOOKUP(B47,Multipliers!A:L,MATCH(K47,Multipliers!$A$1:$L$1,0),FALSE))</f>
        <v>0</v>
      </c>
      <c r="M47">
        <f t="shared" si="0"/>
        <v>0</v>
      </c>
      <c r="N47" s="1">
        <f>_xlfn.XLOOKUP(A47,'Product Detail'!$AG:$AG,'Product Detail'!$AH:$AH,"N/A")</f>
        <v>0.31279999999999997</v>
      </c>
      <c r="O47" s="1">
        <f t="shared" si="1"/>
        <v>0</v>
      </c>
      <c r="P47" s="4">
        <f t="shared" si="2"/>
        <v>45352</v>
      </c>
      <c r="Q47" s="4">
        <f t="shared" si="3"/>
        <v>45413</v>
      </c>
    </row>
    <row r="48" spans="1:17" x14ac:dyDescent="0.25">
      <c r="A48" s="2">
        <v>38948</v>
      </c>
      <c r="B48" t="s">
        <v>132</v>
      </c>
      <c r="C48" t="str">
        <f>_xlfn.XLOOKUP(B48,Multipliers!A:A,Multipliers!C:C)</f>
        <v>Jeffrey Weight</v>
      </c>
      <c r="D48" s="3">
        <v>45308</v>
      </c>
      <c r="E48" t="s">
        <v>1877</v>
      </c>
      <c r="F48" t="s">
        <v>1924</v>
      </c>
      <c r="G48" t="s">
        <v>2219</v>
      </c>
      <c r="H48">
        <v>0</v>
      </c>
      <c r="I48" s="1">
        <v>-11.52</v>
      </c>
      <c r="J48" s="1">
        <v>0</v>
      </c>
      <c r="K48">
        <v>12</v>
      </c>
      <c r="L48">
        <f>IF(E48="4. Renewal - MRR",IF(I48&lt;=0,0,VLOOKUP(B48,Multipliers!A:L,MATCH(K48,Multipliers!$A$1:$L$1,0),FALSE)),VLOOKUP(B48,Multipliers!A:L,MATCH(K48,Multipliers!$A$1:$L$1,0),FALSE))</f>
        <v>0.15</v>
      </c>
      <c r="M48">
        <f t="shared" si="0"/>
        <v>0</v>
      </c>
      <c r="N48" s="1" t="str">
        <f>_xlfn.XLOOKUP(A48,'Product Detail'!$AG:$AG,'Product Detail'!$AH:$AH,"N/A")</f>
        <v>N/A</v>
      </c>
      <c r="O48" s="1">
        <f t="shared" si="1"/>
        <v>-1.728</v>
      </c>
      <c r="P48" s="4">
        <f t="shared" si="2"/>
        <v>45352</v>
      </c>
      <c r="Q48" s="4">
        <f t="shared" si="3"/>
        <v>45413</v>
      </c>
    </row>
    <row r="49" spans="1:17" x14ac:dyDescent="0.25">
      <c r="A49" s="2">
        <v>38932</v>
      </c>
      <c r="B49" t="s">
        <v>132</v>
      </c>
      <c r="C49" t="str">
        <f>_xlfn.XLOOKUP(B49,Multipliers!A:A,Multipliers!C:C)</f>
        <v>Jeffrey Weight</v>
      </c>
      <c r="D49" s="3">
        <v>45309</v>
      </c>
      <c r="E49" t="s">
        <v>1877</v>
      </c>
      <c r="F49" t="s">
        <v>1925</v>
      </c>
      <c r="G49" t="s">
        <v>2220</v>
      </c>
      <c r="H49">
        <v>0</v>
      </c>
      <c r="I49" s="1">
        <v>8.2799999999999994</v>
      </c>
      <c r="J49" s="1">
        <v>0</v>
      </c>
      <c r="K49">
        <v>12</v>
      </c>
      <c r="L49">
        <f>IF(E49="4. Renewal - MRR",IF(I49&lt;=0,0,VLOOKUP(B49,Multipliers!A:L,MATCH(K49,Multipliers!$A$1:$L$1,0),FALSE)),VLOOKUP(B49,Multipliers!A:L,MATCH(K49,Multipliers!$A$1:$L$1,0),FALSE))</f>
        <v>0.15</v>
      </c>
      <c r="M49">
        <f t="shared" si="0"/>
        <v>0</v>
      </c>
      <c r="N49" s="1" t="str">
        <f>_xlfn.XLOOKUP(A49,'Product Detail'!$AG:$AG,'Product Detail'!$AH:$AH,"N/A")</f>
        <v>N/A</v>
      </c>
      <c r="O49" s="1">
        <f t="shared" si="1"/>
        <v>1.2419999999999998</v>
      </c>
      <c r="P49" s="4">
        <f t="shared" si="2"/>
        <v>45352</v>
      </c>
      <c r="Q49" s="4">
        <f t="shared" si="3"/>
        <v>45413</v>
      </c>
    </row>
    <row r="50" spans="1:17" x14ac:dyDescent="0.25">
      <c r="A50" s="2">
        <v>38931</v>
      </c>
      <c r="B50" t="s">
        <v>132</v>
      </c>
      <c r="C50" t="str">
        <f>_xlfn.XLOOKUP(B50,Multipliers!A:A,Multipliers!C:C)</f>
        <v>Jeffrey Weight</v>
      </c>
      <c r="D50" s="3">
        <v>45315</v>
      </c>
      <c r="E50" t="s">
        <v>1878</v>
      </c>
      <c r="F50" t="s">
        <v>1926</v>
      </c>
      <c r="G50" t="s">
        <v>2221</v>
      </c>
      <c r="H50">
        <v>0</v>
      </c>
      <c r="I50" s="1">
        <v>-4.6900000000000004</v>
      </c>
      <c r="J50" s="1">
        <v>0</v>
      </c>
      <c r="K50">
        <v>12</v>
      </c>
      <c r="L50">
        <f>IF(E50="4. Renewal - MRR",IF(I50&lt;=0,0,VLOOKUP(B50,Multipliers!A:L,MATCH(K50,Multipliers!$A$1:$L$1,0),FALSE)),VLOOKUP(B50,Multipliers!A:L,MATCH(K50,Multipliers!$A$1:$L$1,0),FALSE))</f>
        <v>0.15</v>
      </c>
      <c r="M50">
        <f t="shared" si="0"/>
        <v>0</v>
      </c>
      <c r="N50" s="1" t="str">
        <f>_xlfn.XLOOKUP(A50,'Product Detail'!$AG:$AG,'Product Detail'!$AH:$AH,"N/A")</f>
        <v>N/A</v>
      </c>
      <c r="O50" s="1">
        <f t="shared" si="1"/>
        <v>-0.70350000000000001</v>
      </c>
      <c r="P50" s="4">
        <f t="shared" si="2"/>
        <v>45352</v>
      </c>
      <c r="Q50" s="4">
        <f t="shared" si="3"/>
        <v>45413</v>
      </c>
    </row>
    <row r="51" spans="1:17" x14ac:dyDescent="0.25">
      <c r="A51" s="2">
        <v>38905</v>
      </c>
      <c r="B51" t="s">
        <v>132</v>
      </c>
      <c r="C51" t="str">
        <f>_xlfn.XLOOKUP(B51,Multipliers!A:A,Multipliers!C:C)</f>
        <v>Jeffrey Weight</v>
      </c>
      <c r="D51" s="3">
        <v>45307</v>
      </c>
      <c r="E51" t="s">
        <v>1877</v>
      </c>
      <c r="F51" t="s">
        <v>1924</v>
      </c>
      <c r="G51" t="s">
        <v>1215</v>
      </c>
      <c r="H51">
        <v>0</v>
      </c>
      <c r="I51" s="1">
        <v>105</v>
      </c>
      <c r="J51" s="1">
        <v>0</v>
      </c>
      <c r="K51">
        <v>36</v>
      </c>
      <c r="L51">
        <f>IF(E51="4. Renewal - MRR",IF(I51&lt;=0,0,VLOOKUP(B51,Multipliers!A:L,MATCH(K51,Multipliers!$A$1:$L$1,0),FALSE)),VLOOKUP(B51,Multipliers!A:L,MATCH(K51,Multipliers!$A$1:$L$1,0),FALSE))</f>
        <v>0.5</v>
      </c>
      <c r="M51">
        <f t="shared" si="0"/>
        <v>0</v>
      </c>
      <c r="N51" s="1">
        <f>_xlfn.XLOOKUP(A51,'Product Detail'!$AG:$AG,'Product Detail'!$AH:$AH,"N/A")</f>
        <v>27</v>
      </c>
      <c r="O51" s="1">
        <f t="shared" si="1"/>
        <v>52.5</v>
      </c>
      <c r="P51" s="4">
        <f t="shared" si="2"/>
        <v>45352</v>
      </c>
      <c r="Q51" s="4">
        <f t="shared" si="3"/>
        <v>45413</v>
      </c>
    </row>
    <row r="52" spans="1:17" x14ac:dyDescent="0.25">
      <c r="A52" s="2">
        <v>38879</v>
      </c>
      <c r="B52" t="s">
        <v>132</v>
      </c>
      <c r="C52" t="str">
        <f>_xlfn.XLOOKUP(B52,Multipliers!A:A,Multipliers!C:C)</f>
        <v>Jeffrey Weight</v>
      </c>
      <c r="D52" s="3">
        <v>45303</v>
      </c>
      <c r="E52" t="s">
        <v>1877</v>
      </c>
      <c r="F52" t="s">
        <v>1924</v>
      </c>
      <c r="G52" t="s">
        <v>2222</v>
      </c>
      <c r="H52">
        <v>0</v>
      </c>
      <c r="I52" s="1">
        <v>25.08</v>
      </c>
      <c r="J52" s="1">
        <v>0</v>
      </c>
      <c r="K52">
        <v>1</v>
      </c>
      <c r="L52">
        <f>IF(E52="4. Renewal - MRR",IF(I52&lt;=0,0,VLOOKUP(B52,Multipliers!A:L,MATCH(K52,Multipliers!$A$1:$L$1,0),FALSE)),VLOOKUP(B52,Multipliers!A:L,MATCH(K52,Multipliers!$A$1:$L$1,0),FALSE))</f>
        <v>0</v>
      </c>
      <c r="M52">
        <f t="shared" si="0"/>
        <v>0</v>
      </c>
      <c r="N52" s="1" t="str">
        <f>_xlfn.XLOOKUP(A52,'Product Detail'!$AG:$AG,'Product Detail'!$AH:$AH,"N/A")</f>
        <v>N/A</v>
      </c>
      <c r="O52" s="1">
        <f t="shared" si="1"/>
        <v>0</v>
      </c>
      <c r="P52" s="4">
        <f t="shared" si="2"/>
        <v>45352</v>
      </c>
      <c r="Q52" s="4">
        <f t="shared" si="3"/>
        <v>45413</v>
      </c>
    </row>
    <row r="53" spans="1:17" x14ac:dyDescent="0.25">
      <c r="A53" s="2">
        <v>38869</v>
      </c>
      <c r="B53" t="s">
        <v>1874</v>
      </c>
      <c r="C53" t="str">
        <f>_xlfn.XLOOKUP(B53,Multipliers!A:A,Multipliers!C:C)</f>
        <v>Jeffrey Weight</v>
      </c>
      <c r="D53" s="3">
        <v>45308</v>
      </c>
      <c r="E53" t="s">
        <v>1877</v>
      </c>
      <c r="F53" t="s">
        <v>1927</v>
      </c>
      <c r="G53" t="s">
        <v>2223</v>
      </c>
      <c r="H53">
        <v>0</v>
      </c>
      <c r="I53" s="1">
        <v>55</v>
      </c>
      <c r="J53" s="1">
        <v>0</v>
      </c>
      <c r="K53">
        <v>36</v>
      </c>
      <c r="L53">
        <f>IF(E53="4. Renewal - MRR",IF(I53&lt;=0,0,VLOOKUP(B53,Multipliers!A:L,MATCH(K53,Multipliers!$A$1:$L$1,0),FALSE)),VLOOKUP(B53,Multipliers!A:L,MATCH(K53,Multipliers!$A$1:$L$1,0),FALSE))</f>
        <v>0.5</v>
      </c>
      <c r="M53">
        <f t="shared" si="0"/>
        <v>0</v>
      </c>
      <c r="N53" s="1" t="str">
        <f>_xlfn.XLOOKUP(A53,'Product Detail'!$AG:$AG,'Product Detail'!$AH:$AH,"N/A")</f>
        <v>N/A</v>
      </c>
      <c r="O53" s="1">
        <f t="shared" si="1"/>
        <v>27.5</v>
      </c>
      <c r="P53" s="4">
        <f t="shared" si="2"/>
        <v>45352</v>
      </c>
      <c r="Q53" s="4">
        <f t="shared" si="3"/>
        <v>45413</v>
      </c>
    </row>
    <row r="54" spans="1:17" x14ac:dyDescent="0.25">
      <c r="A54">
        <v>37766</v>
      </c>
      <c r="B54" t="s">
        <v>43</v>
      </c>
      <c r="C54" t="str">
        <f>_xlfn.XLOOKUP(B54,Multipliers!A:A,Multipliers!C:C)</f>
        <v>John Powell</v>
      </c>
      <c r="D54" s="3">
        <v>45314</v>
      </c>
      <c r="E54" t="s">
        <v>1881</v>
      </c>
      <c r="F54" t="s">
        <v>1892</v>
      </c>
      <c r="G54" t="s">
        <v>386</v>
      </c>
      <c r="H54">
        <v>0</v>
      </c>
      <c r="I54" s="1">
        <v>0</v>
      </c>
      <c r="J54" s="1">
        <v>0</v>
      </c>
      <c r="K54">
        <v>1</v>
      </c>
      <c r="L54">
        <f>IF(E54="4. Renewal - MRR",IF(I54&lt;=0,0,VLOOKUP(B54,Multipliers!A:L,MATCH(K54,Multipliers!$A$1:$L$1,0),FALSE)),VLOOKUP(B54,Multipliers!A:L,MATCH(K54,Multipliers!$A$1:$L$1,0),FALSE))</f>
        <v>0</v>
      </c>
      <c r="M54">
        <f t="shared" si="0"/>
        <v>0</v>
      </c>
      <c r="N54" s="1">
        <f>_xlfn.XLOOKUP(A54,'Product Detail'!$AG:$AG,'Product Detail'!$AH:$AH,"N/A")</f>
        <v>28.220000000000002</v>
      </c>
      <c r="O54" s="1">
        <f t="shared" si="1"/>
        <v>0</v>
      </c>
      <c r="P54" s="4">
        <f t="shared" si="2"/>
        <v>45352</v>
      </c>
      <c r="Q54" s="4">
        <f t="shared" si="3"/>
        <v>45413</v>
      </c>
    </row>
    <row r="55" spans="1:17" x14ac:dyDescent="0.25">
      <c r="A55" s="2">
        <v>38807</v>
      </c>
      <c r="B55" t="s">
        <v>151</v>
      </c>
      <c r="C55" t="str">
        <f>_xlfn.XLOOKUP(B55,Multipliers!A:A,Multipliers!C:C)</f>
        <v>Anthony Laiewski</v>
      </c>
      <c r="D55" s="3">
        <v>45303</v>
      </c>
      <c r="E55" t="s">
        <v>1877</v>
      </c>
      <c r="F55" t="s">
        <v>1929</v>
      </c>
      <c r="G55" t="s">
        <v>1128</v>
      </c>
      <c r="H55">
        <v>0</v>
      </c>
      <c r="I55" s="1">
        <v>0</v>
      </c>
      <c r="J55" s="1">
        <v>0</v>
      </c>
      <c r="K55">
        <v>1</v>
      </c>
      <c r="L55">
        <f>IF(E55="4. Renewal - MRR",IF(I55&lt;=0,0,VLOOKUP(B55,Multipliers!A:L,MATCH(K55,Multipliers!$A$1:$L$1,0),FALSE)),VLOOKUP(B55,Multipliers!A:L,MATCH(K55,Multipliers!$A$1:$L$1,0),FALSE))</f>
        <v>0</v>
      </c>
      <c r="M55">
        <f t="shared" si="0"/>
        <v>0</v>
      </c>
      <c r="N55" s="1">
        <f>_xlfn.XLOOKUP(A55,'Product Detail'!$AG:$AG,'Product Detail'!$AH:$AH,"N/A")</f>
        <v>184</v>
      </c>
      <c r="O55" s="1">
        <f t="shared" si="1"/>
        <v>0</v>
      </c>
      <c r="P55" s="4">
        <f t="shared" si="2"/>
        <v>45352</v>
      </c>
      <c r="Q55" s="4">
        <f t="shared" si="3"/>
        <v>45413</v>
      </c>
    </row>
    <row r="56" spans="1:17" x14ac:dyDescent="0.25">
      <c r="A56">
        <v>37784</v>
      </c>
      <c r="B56" t="s">
        <v>43</v>
      </c>
      <c r="C56" t="str">
        <f>_xlfn.XLOOKUP(B56,Multipliers!A:A,Multipliers!C:C)</f>
        <v>John Powell</v>
      </c>
      <c r="D56" s="3">
        <v>45308</v>
      </c>
      <c r="E56" t="s">
        <v>1877</v>
      </c>
      <c r="F56" t="s">
        <v>2076</v>
      </c>
      <c r="G56" t="s">
        <v>397</v>
      </c>
      <c r="H56">
        <v>0</v>
      </c>
      <c r="I56" s="1">
        <v>0</v>
      </c>
      <c r="J56" s="1">
        <v>0</v>
      </c>
      <c r="K56">
        <v>1</v>
      </c>
      <c r="L56">
        <f>IF(E56="4. Renewal - MRR",IF(I56&lt;=0,0,VLOOKUP(B56,Multipliers!A:L,MATCH(K56,Multipliers!$A$1:$L$1,0),FALSE)),VLOOKUP(B56,Multipliers!A:L,MATCH(K56,Multipliers!$A$1:$L$1,0),FALSE))</f>
        <v>0</v>
      </c>
      <c r="M56">
        <f t="shared" si="0"/>
        <v>0</v>
      </c>
      <c r="N56" s="1">
        <f>_xlfn.XLOOKUP(A56,'Product Detail'!$AG:$AG,'Product Detail'!$AH:$AH,"N/A")</f>
        <v>1179.3138000000001</v>
      </c>
      <c r="O56" s="1">
        <f t="shared" si="1"/>
        <v>0</v>
      </c>
      <c r="P56" s="4">
        <f t="shared" si="2"/>
        <v>45352</v>
      </c>
      <c r="Q56" s="4">
        <f t="shared" si="3"/>
        <v>45413</v>
      </c>
    </row>
    <row r="57" spans="1:17" x14ac:dyDescent="0.25">
      <c r="A57" s="2">
        <v>37814</v>
      </c>
      <c r="B57" t="s">
        <v>43</v>
      </c>
      <c r="C57" t="s">
        <v>2441</v>
      </c>
      <c r="D57" s="3">
        <v>45303</v>
      </c>
      <c r="E57" t="s">
        <v>1879</v>
      </c>
      <c r="F57" t="s">
        <v>1962</v>
      </c>
      <c r="G57" t="s">
        <v>412</v>
      </c>
      <c r="H57" t="s">
        <v>2390</v>
      </c>
      <c r="I57" s="1">
        <v>0</v>
      </c>
      <c r="J57" s="1">
        <v>6033</v>
      </c>
      <c r="K57">
        <v>36</v>
      </c>
      <c r="L57">
        <f>IF(E57="4. Renewal - MRR",IF(I57&lt;=0,0,VLOOKUP(B57,Multipliers!A:L,MATCH(K57,Multipliers!$A$1:$L$1,0),FALSE)),VLOOKUP(B57,Multipliers!A:L,MATCH(K57,Multipliers!$A$1:$L$1,0),FALSE))</f>
        <v>0</v>
      </c>
      <c r="M57">
        <f t="shared" si="0"/>
        <v>0.25</v>
      </c>
      <c r="N57" s="1">
        <f>_xlfn.XLOOKUP(A57,'Product Detail'!$AG:$AG,'Product Detail'!$AH:$AH,"N/A")</f>
        <v>6</v>
      </c>
      <c r="O57" s="1">
        <f t="shared" si="1"/>
        <v>1508.25</v>
      </c>
      <c r="P57" s="4">
        <f t="shared" si="2"/>
        <v>45352</v>
      </c>
      <c r="Q57" s="4">
        <f t="shared" si="3"/>
        <v>45413</v>
      </c>
    </row>
    <row r="58" spans="1:17" x14ac:dyDescent="0.25">
      <c r="A58">
        <v>37886</v>
      </c>
      <c r="B58" t="s">
        <v>56</v>
      </c>
      <c r="C58" t="str">
        <f>_xlfn.XLOOKUP(B58,Multipliers!A:A,Multipliers!C:C)</f>
        <v>John Powell</v>
      </c>
      <c r="D58" s="3">
        <v>45303</v>
      </c>
      <c r="E58" t="s">
        <v>1877</v>
      </c>
      <c r="F58" t="s">
        <v>1882</v>
      </c>
      <c r="G58" t="s">
        <v>422</v>
      </c>
      <c r="H58">
        <v>0</v>
      </c>
      <c r="I58" s="1">
        <v>0</v>
      </c>
      <c r="J58" s="1">
        <v>0</v>
      </c>
      <c r="K58">
        <v>0</v>
      </c>
      <c r="L58">
        <f>IF(E58="4. Renewal - MRR",IF(I58&lt;=0,0,VLOOKUP(B58,Multipliers!A:L,MATCH(K58,Multipliers!$A$1:$L$1,0),FALSE)),VLOOKUP(B58,Multipliers!A:L,MATCH(K58,Multipliers!$A$1:$L$1,0),FALSE))</f>
        <v>0</v>
      </c>
      <c r="M58">
        <f t="shared" si="0"/>
        <v>0</v>
      </c>
      <c r="N58" s="1">
        <f>_xlfn.XLOOKUP(A58,'Product Detail'!$AG:$AG,'Product Detail'!$AH:$AH,"N/A")</f>
        <v>820</v>
      </c>
      <c r="O58" s="1">
        <f t="shared" si="1"/>
        <v>0</v>
      </c>
      <c r="P58" s="4">
        <f t="shared" si="2"/>
        <v>45352</v>
      </c>
      <c r="Q58" s="4">
        <f t="shared" si="3"/>
        <v>45413</v>
      </c>
    </row>
    <row r="59" spans="1:17" x14ac:dyDescent="0.25">
      <c r="A59">
        <v>38095</v>
      </c>
      <c r="B59" t="s">
        <v>47</v>
      </c>
      <c r="C59" t="str">
        <f>_xlfn.XLOOKUP(B59,Multipliers!A:A,Multipliers!C:C)</f>
        <v>John Powell</v>
      </c>
      <c r="D59" s="3">
        <v>45308</v>
      </c>
      <c r="E59" t="s">
        <v>1877</v>
      </c>
      <c r="F59" t="s">
        <v>1886</v>
      </c>
      <c r="G59" t="s">
        <v>470</v>
      </c>
      <c r="H59">
        <v>0</v>
      </c>
      <c r="I59" s="1">
        <v>0</v>
      </c>
      <c r="J59" s="1">
        <v>0</v>
      </c>
      <c r="K59">
        <v>1</v>
      </c>
      <c r="L59">
        <f>IF(E59="4. Renewal - MRR",IF(I59&lt;=0,0,VLOOKUP(B59,Multipliers!A:L,MATCH(K59,Multipliers!$A$1:$L$1,0),FALSE)),VLOOKUP(B59,Multipliers!A:L,MATCH(K59,Multipliers!$A$1:$L$1,0),FALSE))</f>
        <v>0</v>
      </c>
      <c r="M59">
        <f t="shared" si="0"/>
        <v>0</v>
      </c>
      <c r="N59" s="1">
        <f>_xlfn.XLOOKUP(A59,'Product Detail'!$AG:$AG,'Product Detail'!$AH:$AH,"N/A")</f>
        <v>189.06815</v>
      </c>
      <c r="O59" s="1">
        <f t="shared" si="1"/>
        <v>0</v>
      </c>
      <c r="P59" s="4">
        <f t="shared" si="2"/>
        <v>45352</v>
      </c>
      <c r="Q59" s="4">
        <f t="shared" si="3"/>
        <v>45413</v>
      </c>
    </row>
    <row r="60" spans="1:17" x14ac:dyDescent="0.25">
      <c r="A60">
        <v>38271</v>
      </c>
      <c r="B60" t="s">
        <v>47</v>
      </c>
      <c r="C60" t="str">
        <f>_xlfn.XLOOKUP(B60,Multipliers!A:A,Multipliers!C:C)</f>
        <v>John Powell</v>
      </c>
      <c r="D60" s="3">
        <v>45301</v>
      </c>
      <c r="E60" t="s">
        <v>1877</v>
      </c>
      <c r="F60" t="s">
        <v>1911</v>
      </c>
      <c r="G60" t="s">
        <v>529</v>
      </c>
      <c r="H60">
        <v>0</v>
      </c>
      <c r="I60" s="1">
        <v>0</v>
      </c>
      <c r="J60" s="1">
        <v>0</v>
      </c>
      <c r="K60">
        <v>1</v>
      </c>
      <c r="L60">
        <f>IF(E60="4. Renewal - MRR",IF(I60&lt;=0,0,VLOOKUP(B60,Multipliers!A:L,MATCH(K60,Multipliers!$A$1:$L$1,0),FALSE)),VLOOKUP(B60,Multipliers!A:L,MATCH(K60,Multipliers!$A$1:$L$1,0),FALSE))</f>
        <v>0</v>
      </c>
      <c r="M60">
        <f t="shared" si="0"/>
        <v>0</v>
      </c>
      <c r="N60" s="1">
        <f>_xlfn.XLOOKUP(A60,'Product Detail'!$AG:$AG,'Product Detail'!$AH:$AH,"N/A")</f>
        <v>27.183</v>
      </c>
      <c r="O60" s="1">
        <f t="shared" si="1"/>
        <v>0</v>
      </c>
      <c r="P60" s="4">
        <f t="shared" si="2"/>
        <v>45352</v>
      </c>
      <c r="Q60" s="4">
        <f t="shared" si="3"/>
        <v>45413</v>
      </c>
    </row>
    <row r="61" spans="1:17" x14ac:dyDescent="0.25">
      <c r="A61" s="2">
        <v>38754</v>
      </c>
      <c r="B61" t="s">
        <v>107</v>
      </c>
      <c r="C61" t="str">
        <f>_xlfn.XLOOKUP(B61,Multipliers!A:A,Multipliers!C:C)</f>
        <v>Luis Blanco</v>
      </c>
      <c r="D61" s="3">
        <v>45301</v>
      </c>
      <c r="E61" t="s">
        <v>1877</v>
      </c>
      <c r="F61" t="s">
        <v>1935</v>
      </c>
      <c r="G61" t="s">
        <v>2230</v>
      </c>
      <c r="H61">
        <v>0</v>
      </c>
      <c r="I61" s="1">
        <v>64.31</v>
      </c>
      <c r="J61" s="1">
        <v>0</v>
      </c>
      <c r="K61">
        <v>36</v>
      </c>
      <c r="L61">
        <f>IF(E61="4. Renewal - MRR",IF(I61&lt;=0,0,VLOOKUP(B61,Multipliers!A:L,MATCH(K61,Multipliers!$A$1:$L$1,0),FALSE)),VLOOKUP(B61,Multipliers!A:L,MATCH(K61,Multipliers!$A$1:$L$1,0),FALSE))</f>
        <v>1</v>
      </c>
      <c r="M61">
        <f t="shared" si="0"/>
        <v>0</v>
      </c>
      <c r="N61" s="1" t="str">
        <f>_xlfn.XLOOKUP(A61,'Product Detail'!$AG:$AG,'Product Detail'!$AH:$AH,"N/A")</f>
        <v>N/A</v>
      </c>
      <c r="O61" s="1">
        <f t="shared" si="1"/>
        <v>64.31</v>
      </c>
      <c r="P61" s="4">
        <f t="shared" si="2"/>
        <v>45352</v>
      </c>
      <c r="Q61" s="4">
        <f t="shared" si="3"/>
        <v>45413</v>
      </c>
    </row>
    <row r="62" spans="1:17" x14ac:dyDescent="0.25">
      <c r="A62">
        <v>38294</v>
      </c>
      <c r="B62" t="s">
        <v>43</v>
      </c>
      <c r="C62" t="str">
        <f>_xlfn.XLOOKUP(B62,Multipliers!A:A,Multipliers!C:C)</f>
        <v>John Powell</v>
      </c>
      <c r="D62" s="3">
        <v>45308</v>
      </c>
      <c r="E62" t="s">
        <v>1877</v>
      </c>
      <c r="F62" t="s">
        <v>2132</v>
      </c>
      <c r="G62" t="s">
        <v>577</v>
      </c>
      <c r="H62">
        <v>0</v>
      </c>
      <c r="I62" s="1">
        <v>0</v>
      </c>
      <c r="J62" s="1">
        <v>0</v>
      </c>
      <c r="K62">
        <v>1</v>
      </c>
      <c r="L62">
        <f>IF(E62="4. Renewal - MRR",IF(I62&lt;=0,0,VLOOKUP(B62,Multipliers!A:L,MATCH(K62,Multipliers!$A$1:$L$1,0),FALSE)),VLOOKUP(B62,Multipliers!A:L,MATCH(K62,Multipliers!$A$1:$L$1,0),FALSE))</f>
        <v>0</v>
      </c>
      <c r="M62">
        <f t="shared" si="0"/>
        <v>0</v>
      </c>
      <c r="N62" s="1">
        <f>_xlfn.XLOOKUP(A62,'Product Detail'!$AG:$AG,'Product Detail'!$AH:$AH,"N/A")</f>
        <v>23.375</v>
      </c>
      <c r="O62" s="1">
        <f t="shared" si="1"/>
        <v>0</v>
      </c>
      <c r="P62" s="4">
        <f t="shared" si="2"/>
        <v>45352</v>
      </c>
      <c r="Q62" s="4">
        <f t="shared" si="3"/>
        <v>45413</v>
      </c>
    </row>
    <row r="63" spans="1:17" x14ac:dyDescent="0.25">
      <c r="A63" s="2">
        <v>38703</v>
      </c>
      <c r="B63" t="s">
        <v>174</v>
      </c>
      <c r="C63" t="str">
        <f>_xlfn.XLOOKUP(B63,Multipliers!A:A,Multipliers!C:C)</f>
        <v>Anthony Laiewski</v>
      </c>
      <c r="D63" s="3">
        <v>45302</v>
      </c>
      <c r="E63" t="s">
        <v>1879</v>
      </c>
      <c r="F63" t="s">
        <v>1937</v>
      </c>
      <c r="G63" t="s">
        <v>2232</v>
      </c>
      <c r="H63">
        <v>0</v>
      </c>
      <c r="I63" s="1">
        <v>1.0900000000000001</v>
      </c>
      <c r="J63" s="1">
        <v>1.55</v>
      </c>
      <c r="K63">
        <v>12</v>
      </c>
      <c r="L63">
        <f>IF(E63="4. Renewal - MRR",IF(I63&lt;=0,0,VLOOKUP(B63,Multipliers!A:L,MATCH(K63,Multipliers!$A$1:$L$1,0),FALSE)),VLOOKUP(B63,Multipliers!A:L,MATCH(K63,Multipliers!$A$1:$L$1,0),FALSE))</f>
        <v>0</v>
      </c>
      <c r="M63">
        <f t="shared" si="0"/>
        <v>0</v>
      </c>
      <c r="N63" s="1" t="str">
        <f>_xlfn.XLOOKUP(A63,'Product Detail'!$AG:$AG,'Product Detail'!$AH:$AH,"N/A")</f>
        <v>N/A</v>
      </c>
      <c r="O63" s="1">
        <f t="shared" si="1"/>
        <v>0</v>
      </c>
      <c r="P63" s="4">
        <f t="shared" si="2"/>
        <v>45352</v>
      </c>
      <c r="Q63" s="4">
        <f t="shared" si="3"/>
        <v>45413</v>
      </c>
    </row>
    <row r="64" spans="1:17" x14ac:dyDescent="0.25">
      <c r="A64">
        <v>38299</v>
      </c>
      <c r="B64" t="s">
        <v>56</v>
      </c>
      <c r="C64" t="str">
        <f>_xlfn.XLOOKUP(B64,Multipliers!A:A,Multipliers!C:C)</f>
        <v>John Powell</v>
      </c>
      <c r="D64" s="3">
        <v>45300</v>
      </c>
      <c r="E64" t="s">
        <v>1877</v>
      </c>
      <c r="F64" t="s">
        <v>2131</v>
      </c>
      <c r="G64" t="s">
        <v>580</v>
      </c>
      <c r="H64">
        <v>0</v>
      </c>
      <c r="I64" s="1">
        <v>0</v>
      </c>
      <c r="J64" s="1">
        <v>0</v>
      </c>
      <c r="K64">
        <v>1</v>
      </c>
      <c r="L64">
        <f>IF(E64="4. Renewal - MRR",IF(I64&lt;=0,0,VLOOKUP(B64,Multipliers!A:L,MATCH(K64,Multipliers!$A$1:$L$1,0),FALSE)),VLOOKUP(B64,Multipliers!A:L,MATCH(K64,Multipliers!$A$1:$L$1,0),FALSE))</f>
        <v>0</v>
      </c>
      <c r="M64">
        <f t="shared" si="0"/>
        <v>0</v>
      </c>
      <c r="N64" s="1">
        <f>_xlfn.XLOOKUP(A64,'Product Detail'!$AG:$AG,'Product Detail'!$AH:$AH,"N/A")</f>
        <v>105.97969999999998</v>
      </c>
      <c r="O64" s="1">
        <f t="shared" si="1"/>
        <v>0</v>
      </c>
      <c r="P64" s="4">
        <f t="shared" si="2"/>
        <v>45352</v>
      </c>
      <c r="Q64" s="4">
        <f t="shared" si="3"/>
        <v>45413</v>
      </c>
    </row>
    <row r="65" spans="1:17" x14ac:dyDescent="0.25">
      <c r="A65" s="2">
        <v>38303</v>
      </c>
      <c r="B65" t="s">
        <v>47</v>
      </c>
      <c r="C65" t="s">
        <v>2441</v>
      </c>
      <c r="D65" s="3">
        <v>45300</v>
      </c>
      <c r="E65" t="s">
        <v>1877</v>
      </c>
      <c r="F65" t="s">
        <v>1911</v>
      </c>
      <c r="G65" t="s">
        <v>583</v>
      </c>
      <c r="H65">
        <v>0</v>
      </c>
      <c r="I65" s="1">
        <v>35</v>
      </c>
      <c r="J65" s="1">
        <v>0</v>
      </c>
      <c r="K65">
        <v>36</v>
      </c>
      <c r="L65">
        <f>IF(E65="4. Renewal - MRR",IF(I65&lt;=0,0,VLOOKUP(B65,Multipliers!A:L,MATCH(K65,Multipliers!$A$1:$L$1,0),FALSE)),VLOOKUP(B65,Multipliers!A:L,MATCH(K65,Multipliers!$A$1:$L$1,0),FALSE))</f>
        <v>0.5</v>
      </c>
      <c r="M65">
        <f t="shared" si="0"/>
        <v>0</v>
      </c>
      <c r="N65" s="1">
        <f>_xlfn.XLOOKUP(A65,'Product Detail'!$AG:$AG,'Product Detail'!$AH:$AH,"N/A")</f>
        <v>1.4000000000000001</v>
      </c>
      <c r="O65" s="1">
        <f t="shared" si="1"/>
        <v>17.5</v>
      </c>
      <c r="P65" s="4">
        <f t="shared" si="2"/>
        <v>45352</v>
      </c>
      <c r="Q65" s="4">
        <f t="shared" si="3"/>
        <v>45413</v>
      </c>
    </row>
    <row r="66" spans="1:17" x14ac:dyDescent="0.25">
      <c r="A66" s="2">
        <v>38699</v>
      </c>
      <c r="B66" t="s">
        <v>150</v>
      </c>
      <c r="C66" t="str">
        <f>_xlfn.XLOOKUP(B66,Multipliers!A:A,Multipliers!C:C)</f>
        <v>Jeffrey Weight</v>
      </c>
      <c r="D66" s="3">
        <v>45316</v>
      </c>
      <c r="E66" t="s">
        <v>1878</v>
      </c>
      <c r="F66" t="s">
        <v>1939</v>
      </c>
      <c r="G66" t="s">
        <v>985</v>
      </c>
      <c r="H66">
        <v>0</v>
      </c>
      <c r="I66" s="1">
        <v>221</v>
      </c>
      <c r="J66" s="1">
        <v>0</v>
      </c>
      <c r="K66">
        <v>24</v>
      </c>
      <c r="L66">
        <f>IF(E66="4. Renewal - MRR",IF(I66&lt;=0,0,VLOOKUP(B66,Multipliers!A:L,MATCH(K66,Multipliers!$A$1:$L$1,0),FALSE)),VLOOKUP(B66,Multipliers!A:L,MATCH(K66,Multipliers!$A$1:$L$1,0),FALSE))</f>
        <v>0.25</v>
      </c>
      <c r="M66">
        <f t="shared" ref="M66:M129" si="4">IF(E66="4. Renewal - MRR",IF(K66&gt;24,0.25,0),0)</f>
        <v>0</v>
      </c>
      <c r="N66" s="1">
        <f>_xlfn.XLOOKUP(A66,'Product Detail'!$AG:$AG,'Product Detail'!$AH:$AH,"N/A")</f>
        <v>12</v>
      </c>
      <c r="O66" s="1">
        <f t="shared" ref="O66:O129" si="5">I66*L66+J66*M66</f>
        <v>55.25</v>
      </c>
      <c r="P66" s="4">
        <f t="shared" ref="P66:P129" si="6">EOMONTH(D66,1)+1</f>
        <v>45352</v>
      </c>
      <c r="Q66" s="4">
        <f t="shared" ref="Q66:Q129" si="7">EOMONTH(D66,3)+1</f>
        <v>45413</v>
      </c>
    </row>
    <row r="67" spans="1:17" x14ac:dyDescent="0.25">
      <c r="A67" s="2">
        <v>38680</v>
      </c>
      <c r="B67" t="s">
        <v>150</v>
      </c>
      <c r="C67" t="str">
        <f>_xlfn.XLOOKUP(B67,Multipliers!A:A,Multipliers!C:C)</f>
        <v>Jeffrey Weight</v>
      </c>
      <c r="D67" s="3">
        <v>45300</v>
      </c>
      <c r="E67" t="s">
        <v>1877</v>
      </c>
      <c r="F67" t="s">
        <v>1940</v>
      </c>
      <c r="G67" t="s">
        <v>2235</v>
      </c>
      <c r="H67">
        <v>0</v>
      </c>
      <c r="I67" s="1">
        <v>2.25</v>
      </c>
      <c r="J67" s="1">
        <v>0</v>
      </c>
      <c r="K67">
        <v>12</v>
      </c>
      <c r="L67">
        <f>IF(E67="4. Renewal - MRR",IF(I67&lt;=0,0,VLOOKUP(B67,Multipliers!A:L,MATCH(K67,Multipliers!$A$1:$L$1,0),FALSE)),VLOOKUP(B67,Multipliers!A:L,MATCH(K67,Multipliers!$A$1:$L$1,0),FALSE))</f>
        <v>0.15</v>
      </c>
      <c r="M67">
        <f t="shared" si="4"/>
        <v>0</v>
      </c>
      <c r="N67" s="1" t="str">
        <f>_xlfn.XLOOKUP(A67,'Product Detail'!$AG:$AG,'Product Detail'!$AH:$AH,"N/A")</f>
        <v>N/A</v>
      </c>
      <c r="O67" s="1">
        <f t="shared" si="5"/>
        <v>0.33749999999999997</v>
      </c>
      <c r="P67" s="4">
        <f t="shared" si="6"/>
        <v>45352</v>
      </c>
      <c r="Q67" s="4">
        <f t="shared" si="7"/>
        <v>45413</v>
      </c>
    </row>
    <row r="68" spans="1:17" x14ac:dyDescent="0.25">
      <c r="A68" s="2">
        <v>38676</v>
      </c>
      <c r="B68" t="s">
        <v>1874</v>
      </c>
      <c r="C68" t="str">
        <f>_xlfn.XLOOKUP(B68,Multipliers!A:A,Multipliers!C:C)</f>
        <v>Jeffrey Weight</v>
      </c>
      <c r="D68" s="3">
        <v>45303</v>
      </c>
      <c r="E68" t="s">
        <v>1878</v>
      </c>
      <c r="F68" t="s">
        <v>1941</v>
      </c>
      <c r="G68" t="s">
        <v>930</v>
      </c>
      <c r="H68">
        <v>0</v>
      </c>
      <c r="I68" s="1">
        <v>-31.81</v>
      </c>
      <c r="J68" s="1">
        <v>0</v>
      </c>
      <c r="K68">
        <v>36</v>
      </c>
      <c r="L68">
        <f>IF(E68="4. Renewal - MRR",IF(I68&lt;=0,0,VLOOKUP(B68,Multipliers!A:L,MATCH(K68,Multipliers!$A$1:$L$1,0),FALSE)),VLOOKUP(B68,Multipliers!A:L,MATCH(K68,Multipliers!$A$1:$L$1,0),FALSE))</f>
        <v>0.5</v>
      </c>
      <c r="M68">
        <f t="shared" si="4"/>
        <v>0</v>
      </c>
      <c r="N68" s="1">
        <f>_xlfn.XLOOKUP(A68,'Product Detail'!$AG:$AG,'Product Detail'!$AH:$AH,"N/A")</f>
        <v>-30.72</v>
      </c>
      <c r="O68" s="1">
        <f t="shared" si="5"/>
        <v>-15.904999999999999</v>
      </c>
      <c r="P68" s="4">
        <f t="shared" si="6"/>
        <v>45352</v>
      </c>
      <c r="Q68" s="4">
        <f t="shared" si="7"/>
        <v>45413</v>
      </c>
    </row>
    <row r="69" spans="1:17" x14ac:dyDescent="0.25">
      <c r="A69" s="2">
        <v>38668</v>
      </c>
      <c r="B69" t="s">
        <v>174</v>
      </c>
      <c r="C69" t="str">
        <f>_xlfn.XLOOKUP(B69,Multipliers!A:A,Multipliers!C:C)</f>
        <v>Anthony Laiewski</v>
      </c>
      <c r="D69" s="3">
        <v>45299</v>
      </c>
      <c r="E69" t="s">
        <v>1877</v>
      </c>
      <c r="F69" t="s">
        <v>1942</v>
      </c>
      <c r="G69" t="s">
        <v>2236</v>
      </c>
      <c r="H69">
        <v>0</v>
      </c>
      <c r="I69" s="1">
        <v>9.5</v>
      </c>
      <c r="J69" s="1">
        <v>0</v>
      </c>
      <c r="K69">
        <v>36</v>
      </c>
      <c r="L69">
        <f>IF(E69="4. Renewal - MRR",IF(I69&lt;=0,0,VLOOKUP(B69,Multipliers!A:L,MATCH(K69,Multipliers!$A$1:$L$1,0),FALSE)),VLOOKUP(B69,Multipliers!A:L,MATCH(K69,Multipliers!$A$1:$L$1,0),FALSE))</f>
        <v>0</v>
      </c>
      <c r="M69">
        <f t="shared" si="4"/>
        <v>0</v>
      </c>
      <c r="N69" s="1" t="str">
        <f>_xlfn.XLOOKUP(A69,'Product Detail'!$AG:$AG,'Product Detail'!$AH:$AH,"N/A")</f>
        <v>N/A</v>
      </c>
      <c r="O69" s="1">
        <f t="shared" si="5"/>
        <v>0</v>
      </c>
      <c r="P69" s="4">
        <f t="shared" si="6"/>
        <v>45352</v>
      </c>
      <c r="Q69" s="4">
        <f t="shared" si="7"/>
        <v>45413</v>
      </c>
    </row>
    <row r="70" spans="1:17" x14ac:dyDescent="0.25">
      <c r="A70" s="2">
        <v>38661</v>
      </c>
      <c r="B70" t="s">
        <v>174</v>
      </c>
      <c r="C70" t="str">
        <f>_xlfn.XLOOKUP(B70,Multipliers!A:A,Multipliers!C:C)</f>
        <v>Anthony Laiewski</v>
      </c>
      <c r="D70" s="3">
        <v>45299</v>
      </c>
      <c r="E70" t="s">
        <v>1877</v>
      </c>
      <c r="F70" t="s">
        <v>1883</v>
      </c>
      <c r="G70" t="s">
        <v>2237</v>
      </c>
      <c r="H70">
        <v>0</v>
      </c>
      <c r="I70" s="1">
        <v>26.64</v>
      </c>
      <c r="J70" s="1">
        <v>0</v>
      </c>
      <c r="K70">
        <v>36</v>
      </c>
      <c r="L70">
        <f>IF(E70="4. Renewal - MRR",IF(I70&lt;=0,0,VLOOKUP(B70,Multipliers!A:L,MATCH(K70,Multipliers!$A$1:$L$1,0),FALSE)),VLOOKUP(B70,Multipliers!A:L,MATCH(K70,Multipliers!$A$1:$L$1,0),FALSE))</f>
        <v>0</v>
      </c>
      <c r="M70">
        <f t="shared" si="4"/>
        <v>0</v>
      </c>
      <c r="N70" s="1" t="str">
        <f>_xlfn.XLOOKUP(A70,'Product Detail'!$AG:$AG,'Product Detail'!$AH:$AH,"N/A")</f>
        <v>N/A</v>
      </c>
      <c r="O70" s="1">
        <f t="shared" si="5"/>
        <v>0</v>
      </c>
      <c r="P70" s="4">
        <f t="shared" si="6"/>
        <v>45352</v>
      </c>
      <c r="Q70" s="4">
        <f t="shared" si="7"/>
        <v>45413</v>
      </c>
    </row>
    <row r="71" spans="1:17" x14ac:dyDescent="0.25">
      <c r="A71">
        <v>38306</v>
      </c>
      <c r="B71" t="s">
        <v>61</v>
      </c>
      <c r="C71" t="str">
        <f>_xlfn.XLOOKUP(B71,Multipliers!A:A,Multipliers!C:C)</f>
        <v>John Powell</v>
      </c>
      <c r="D71" s="3">
        <v>45313</v>
      </c>
      <c r="E71" t="s">
        <v>1881</v>
      </c>
      <c r="F71" t="s">
        <v>1996</v>
      </c>
      <c r="G71" t="s">
        <v>586</v>
      </c>
      <c r="H71">
        <v>0</v>
      </c>
      <c r="I71" s="1">
        <v>0</v>
      </c>
      <c r="J71" s="1">
        <v>0</v>
      </c>
      <c r="K71">
        <v>1</v>
      </c>
      <c r="L71">
        <f>IF(E71="4. Renewal - MRR",IF(I71&lt;=0,0,VLOOKUP(B71,Multipliers!A:L,MATCH(K71,Multipliers!$A$1:$L$1,0),FALSE)),VLOOKUP(B71,Multipliers!A:L,MATCH(K71,Multipliers!$A$1:$L$1,0),FALSE))</f>
        <v>0</v>
      </c>
      <c r="M71">
        <f t="shared" si="4"/>
        <v>0</v>
      </c>
      <c r="N71" s="1">
        <f>_xlfn.XLOOKUP(A71,'Product Detail'!$AG:$AG,'Product Detail'!$AH:$AH,"N/A")</f>
        <v>0</v>
      </c>
      <c r="O71" s="1">
        <f t="shared" si="5"/>
        <v>0</v>
      </c>
      <c r="P71" s="4">
        <f t="shared" si="6"/>
        <v>45352</v>
      </c>
      <c r="Q71" s="4">
        <f t="shared" si="7"/>
        <v>45413</v>
      </c>
    </row>
    <row r="72" spans="1:17" x14ac:dyDescent="0.25">
      <c r="A72" s="2">
        <v>38649</v>
      </c>
      <c r="B72" t="s">
        <v>1874</v>
      </c>
      <c r="C72" t="str">
        <f>_xlfn.XLOOKUP(B72,Multipliers!A:A,Multipliers!C:C)</f>
        <v>Jeffrey Weight</v>
      </c>
      <c r="D72" s="3">
        <v>45296</v>
      </c>
      <c r="E72" t="s">
        <v>1877</v>
      </c>
      <c r="F72" t="s">
        <v>1944</v>
      </c>
      <c r="G72" t="s">
        <v>2239</v>
      </c>
      <c r="H72">
        <v>0</v>
      </c>
      <c r="I72" s="1">
        <v>0</v>
      </c>
      <c r="J72" s="1">
        <v>0</v>
      </c>
      <c r="K72">
        <v>12</v>
      </c>
      <c r="L72">
        <f>IF(E72="4. Renewal - MRR",IF(I72&lt;=0,0,VLOOKUP(B72,Multipliers!A:L,MATCH(K72,Multipliers!$A$1:$L$1,0),FALSE)),VLOOKUP(B72,Multipliers!A:L,MATCH(K72,Multipliers!$A$1:$L$1,0),FALSE))</f>
        <v>0.15</v>
      </c>
      <c r="M72">
        <f t="shared" si="4"/>
        <v>0</v>
      </c>
      <c r="N72" s="1" t="str">
        <f>_xlfn.XLOOKUP(A72,'Product Detail'!$AG:$AG,'Product Detail'!$AH:$AH,"N/A")</f>
        <v>N/A</v>
      </c>
      <c r="O72" s="1">
        <f t="shared" si="5"/>
        <v>0</v>
      </c>
      <c r="P72" s="4">
        <f t="shared" si="6"/>
        <v>45352</v>
      </c>
      <c r="Q72" s="4">
        <f t="shared" si="7"/>
        <v>45413</v>
      </c>
    </row>
    <row r="73" spans="1:17" x14ac:dyDescent="0.25">
      <c r="A73">
        <v>38358</v>
      </c>
      <c r="B73" t="s">
        <v>56</v>
      </c>
      <c r="C73" t="s">
        <v>2441</v>
      </c>
      <c r="D73" s="3">
        <v>45315</v>
      </c>
      <c r="E73" t="s">
        <v>1877</v>
      </c>
      <c r="F73" t="s">
        <v>2184</v>
      </c>
      <c r="G73" t="s">
        <v>610</v>
      </c>
      <c r="H73">
        <v>0</v>
      </c>
      <c r="I73" s="1">
        <v>322.5</v>
      </c>
      <c r="J73" s="1">
        <v>0</v>
      </c>
      <c r="K73">
        <v>36</v>
      </c>
      <c r="L73">
        <f>IF(E73="4. Renewal - MRR",IF(I73&lt;=0,0,VLOOKUP(B73,Multipliers!A:L,MATCH(K73,Multipliers!$A$1:$L$1,0),FALSE)),VLOOKUP(B73,Multipliers!A:L,MATCH(K73,Multipliers!$A$1:$L$1,0),FALSE))</f>
        <v>0.5</v>
      </c>
      <c r="M73">
        <f t="shared" si="4"/>
        <v>0</v>
      </c>
      <c r="N73" s="1">
        <f>_xlfn.XLOOKUP(A73,'Product Detail'!$AG:$AG,'Product Detail'!$AH:$AH,"N/A")</f>
        <v>20</v>
      </c>
      <c r="O73" s="1">
        <f t="shared" si="5"/>
        <v>161.25</v>
      </c>
      <c r="P73" s="4">
        <f t="shared" si="6"/>
        <v>45352</v>
      </c>
      <c r="Q73" s="4">
        <f t="shared" si="7"/>
        <v>45413</v>
      </c>
    </row>
    <row r="74" spans="1:17" x14ac:dyDescent="0.25">
      <c r="A74" s="2">
        <v>38410</v>
      </c>
      <c r="B74" t="s">
        <v>47</v>
      </c>
      <c r="C74" t="s">
        <v>2440</v>
      </c>
      <c r="D74" s="3">
        <v>45302</v>
      </c>
      <c r="E74" t="s">
        <v>1877</v>
      </c>
      <c r="F74" t="s">
        <v>1954</v>
      </c>
      <c r="G74" t="s">
        <v>2252</v>
      </c>
      <c r="H74">
        <v>0</v>
      </c>
      <c r="I74" s="1">
        <v>2.7</v>
      </c>
      <c r="J74" s="1">
        <v>0</v>
      </c>
      <c r="K74">
        <v>12</v>
      </c>
      <c r="L74">
        <f>IF(E74="4. Renewal - MRR",IF(I74&lt;=0,0,VLOOKUP(B74,Multipliers!A:L,MATCH(K74,Multipliers!$A$1:$L$1,0),FALSE)),VLOOKUP(B74,Multipliers!A:L,MATCH(K74,Multipliers!$A$1:$L$1,0),FALSE))</f>
        <v>0.125</v>
      </c>
      <c r="M74">
        <f t="shared" si="4"/>
        <v>0</v>
      </c>
      <c r="N74" s="1" t="str">
        <f>_xlfn.XLOOKUP(A74,'Product Detail'!$AG:$AG,'Product Detail'!$AH:$AH,"N/A")</f>
        <v>N/A</v>
      </c>
      <c r="O74" s="1">
        <f t="shared" si="5"/>
        <v>0.33750000000000002</v>
      </c>
      <c r="P74" s="4">
        <f t="shared" si="6"/>
        <v>45352</v>
      </c>
      <c r="Q74" s="4">
        <f t="shared" si="7"/>
        <v>45413</v>
      </c>
    </row>
    <row r="75" spans="1:17" x14ac:dyDescent="0.25">
      <c r="A75" s="2">
        <v>38606</v>
      </c>
      <c r="B75" t="s">
        <v>105</v>
      </c>
      <c r="C75" t="str">
        <f>_xlfn.XLOOKUP(B75,Multipliers!A:A,Multipliers!C:C)</f>
        <v>Luis Blanco</v>
      </c>
      <c r="D75" s="3">
        <v>45315</v>
      </c>
      <c r="E75" t="s">
        <v>1878</v>
      </c>
      <c r="F75" t="s">
        <v>1905</v>
      </c>
      <c r="G75" t="s">
        <v>2241</v>
      </c>
      <c r="H75">
        <v>0</v>
      </c>
      <c r="I75" s="1">
        <v>27.5</v>
      </c>
      <c r="J75" s="1">
        <v>0</v>
      </c>
      <c r="K75">
        <v>36</v>
      </c>
      <c r="L75">
        <f>IF(E75="4. Renewal - MRR",IF(I75&lt;=0,0,VLOOKUP(B75,Multipliers!A:L,MATCH(K75,Multipliers!$A$1:$L$1,0),FALSE)),VLOOKUP(B75,Multipliers!A:L,MATCH(K75,Multipliers!$A$1:$L$1,0),FALSE))</f>
        <v>1</v>
      </c>
      <c r="M75">
        <f t="shared" si="4"/>
        <v>0</v>
      </c>
      <c r="N75" s="1" t="str">
        <f>_xlfn.XLOOKUP(A75,'Product Detail'!$AG:$AG,'Product Detail'!$AH:$AH,"N/A")</f>
        <v>N/A</v>
      </c>
      <c r="O75" s="1">
        <f t="shared" si="5"/>
        <v>27.5</v>
      </c>
      <c r="P75" s="4">
        <f t="shared" si="6"/>
        <v>45352</v>
      </c>
      <c r="Q75" s="4">
        <f t="shared" si="7"/>
        <v>45413</v>
      </c>
    </row>
    <row r="76" spans="1:17" x14ac:dyDescent="0.25">
      <c r="A76" s="2">
        <v>38439</v>
      </c>
      <c r="B76" t="s">
        <v>47</v>
      </c>
      <c r="C76" t="s">
        <v>2440</v>
      </c>
      <c r="D76" s="3">
        <v>45295</v>
      </c>
      <c r="E76" t="s">
        <v>1877</v>
      </c>
      <c r="F76" t="s">
        <v>1953</v>
      </c>
      <c r="G76" t="s">
        <v>2251</v>
      </c>
      <c r="H76">
        <v>0</v>
      </c>
      <c r="I76" s="1">
        <v>247.5</v>
      </c>
      <c r="J76" s="1">
        <v>0</v>
      </c>
      <c r="K76">
        <v>36</v>
      </c>
      <c r="L76">
        <f>IF(E76="4. Renewal - MRR",IF(I76&lt;=0,0,VLOOKUP(B76,Multipliers!A:L,MATCH(K76,Multipliers!$A$1:$L$1,0),FALSE)),VLOOKUP(B76,Multipliers!A:L,MATCH(K76,Multipliers!$A$1:$L$1,0),FALSE))</f>
        <v>0.5</v>
      </c>
      <c r="M76">
        <f t="shared" si="4"/>
        <v>0</v>
      </c>
      <c r="N76" s="1" t="str">
        <f>_xlfn.XLOOKUP(A76,'Product Detail'!$AG:$AG,'Product Detail'!$AH:$AH,"N/A")</f>
        <v>N/A</v>
      </c>
      <c r="O76" s="1">
        <f t="shared" si="5"/>
        <v>123.75</v>
      </c>
      <c r="P76" s="4">
        <f t="shared" si="6"/>
        <v>45352</v>
      </c>
      <c r="Q76" s="4">
        <f t="shared" si="7"/>
        <v>45413</v>
      </c>
    </row>
    <row r="77" spans="1:17" x14ac:dyDescent="0.25">
      <c r="A77" s="2">
        <v>38593</v>
      </c>
      <c r="B77" t="s">
        <v>174</v>
      </c>
      <c r="C77" t="str">
        <f>_xlfn.XLOOKUP(B77,Multipliers!A:A,Multipliers!C:C)</f>
        <v>Anthony Laiewski</v>
      </c>
      <c r="D77" s="3">
        <v>45295</v>
      </c>
      <c r="E77" t="s">
        <v>1877</v>
      </c>
      <c r="F77" t="s">
        <v>1946</v>
      </c>
      <c r="G77" t="s">
        <v>2242</v>
      </c>
      <c r="H77">
        <v>0</v>
      </c>
      <c r="I77" s="1">
        <v>5.82</v>
      </c>
      <c r="J77" s="1">
        <v>0</v>
      </c>
      <c r="K77">
        <v>36</v>
      </c>
      <c r="L77">
        <f>IF(E77="4. Renewal - MRR",IF(I77&lt;=0,0,VLOOKUP(B77,Multipliers!A:L,MATCH(K77,Multipliers!$A$1:$L$1,0),FALSE)),VLOOKUP(B77,Multipliers!A:L,MATCH(K77,Multipliers!$A$1:$L$1,0),FALSE))</f>
        <v>0</v>
      </c>
      <c r="M77">
        <f t="shared" si="4"/>
        <v>0</v>
      </c>
      <c r="N77" s="1" t="str">
        <f>_xlfn.XLOOKUP(A77,'Product Detail'!$AG:$AG,'Product Detail'!$AH:$AH,"N/A")</f>
        <v>N/A</v>
      </c>
      <c r="O77" s="1">
        <f t="shared" si="5"/>
        <v>0</v>
      </c>
      <c r="P77" s="4">
        <f t="shared" si="6"/>
        <v>45352</v>
      </c>
      <c r="Q77" s="4">
        <f t="shared" si="7"/>
        <v>45413</v>
      </c>
    </row>
    <row r="78" spans="1:17" x14ac:dyDescent="0.25">
      <c r="A78" s="2">
        <v>38579</v>
      </c>
      <c r="B78" t="s">
        <v>1874</v>
      </c>
      <c r="C78" t="str">
        <f>_xlfn.XLOOKUP(B78,Multipliers!A:A,Multipliers!C:C)</f>
        <v>Jeffrey Weight</v>
      </c>
      <c r="D78" s="3">
        <v>45295</v>
      </c>
      <c r="E78" t="s">
        <v>1878</v>
      </c>
      <c r="F78" t="s">
        <v>1947</v>
      </c>
      <c r="G78" t="s">
        <v>2243</v>
      </c>
      <c r="H78">
        <v>0</v>
      </c>
      <c r="I78" s="1">
        <v>-236.7</v>
      </c>
      <c r="J78" s="1">
        <v>0</v>
      </c>
      <c r="K78">
        <v>36</v>
      </c>
      <c r="L78">
        <f>IF(E78="4. Renewal - MRR",IF(I78&lt;=0,0,VLOOKUP(B78,Multipliers!A:L,MATCH(K78,Multipliers!$A$1:$L$1,0),FALSE)),VLOOKUP(B78,Multipliers!A:L,MATCH(K78,Multipliers!$A$1:$L$1,0),FALSE))</f>
        <v>0.5</v>
      </c>
      <c r="M78">
        <f t="shared" si="4"/>
        <v>0</v>
      </c>
      <c r="N78" s="1" t="str">
        <f>_xlfn.XLOOKUP(A78,'Product Detail'!$AG:$AG,'Product Detail'!$AH:$AH,"N/A")</f>
        <v>N/A</v>
      </c>
      <c r="O78" s="1">
        <f t="shared" si="5"/>
        <v>-118.35</v>
      </c>
      <c r="P78" s="4">
        <f t="shared" si="6"/>
        <v>45352</v>
      </c>
      <c r="Q78" s="4">
        <f t="shared" si="7"/>
        <v>45413</v>
      </c>
    </row>
    <row r="79" spans="1:17" x14ac:dyDescent="0.25">
      <c r="A79" s="2">
        <v>38566</v>
      </c>
      <c r="B79" t="s">
        <v>132</v>
      </c>
      <c r="C79" t="str">
        <f>_xlfn.XLOOKUP(B79,Multipliers!A:A,Multipliers!C:C)</f>
        <v>Jeffrey Weight</v>
      </c>
      <c r="D79" s="3">
        <v>45296</v>
      </c>
      <c r="E79" t="s">
        <v>1877</v>
      </c>
      <c r="F79" t="s">
        <v>1948</v>
      </c>
      <c r="G79" t="s">
        <v>2244</v>
      </c>
      <c r="H79">
        <v>0</v>
      </c>
      <c r="I79" s="1">
        <v>0.15</v>
      </c>
      <c r="J79" s="1">
        <v>0</v>
      </c>
      <c r="K79">
        <v>1</v>
      </c>
      <c r="L79">
        <f>IF(E79="4. Renewal - MRR",IF(I79&lt;=0,0,VLOOKUP(B79,Multipliers!A:L,MATCH(K79,Multipliers!$A$1:$L$1,0),FALSE)),VLOOKUP(B79,Multipliers!A:L,MATCH(K79,Multipliers!$A$1:$L$1,0),FALSE))</f>
        <v>0</v>
      </c>
      <c r="M79">
        <f t="shared" si="4"/>
        <v>0</v>
      </c>
      <c r="N79" s="1" t="str">
        <f>_xlfn.XLOOKUP(A79,'Product Detail'!$AG:$AG,'Product Detail'!$AH:$AH,"N/A")</f>
        <v>N/A</v>
      </c>
      <c r="O79" s="1">
        <f t="shared" si="5"/>
        <v>0</v>
      </c>
      <c r="P79" s="4">
        <f t="shared" si="6"/>
        <v>45352</v>
      </c>
      <c r="Q79" s="4">
        <f t="shared" si="7"/>
        <v>45413</v>
      </c>
    </row>
    <row r="80" spans="1:17" x14ac:dyDescent="0.25">
      <c r="A80" s="2">
        <v>38565</v>
      </c>
      <c r="B80" t="s">
        <v>1874</v>
      </c>
      <c r="C80" t="str">
        <f>_xlfn.XLOOKUP(B80,Multipliers!A:A,Multipliers!C:C)</f>
        <v>Jeffrey Weight</v>
      </c>
      <c r="D80" s="3">
        <v>45295</v>
      </c>
      <c r="E80" t="s">
        <v>1877</v>
      </c>
      <c r="F80" t="s">
        <v>1927</v>
      </c>
      <c r="G80" t="s">
        <v>2245</v>
      </c>
      <c r="H80">
        <v>0</v>
      </c>
      <c r="I80" s="1">
        <v>55</v>
      </c>
      <c r="J80" s="1">
        <v>0</v>
      </c>
      <c r="K80">
        <v>36</v>
      </c>
      <c r="L80">
        <f>IF(E80="4. Renewal - MRR",IF(I80&lt;=0,0,VLOOKUP(B80,Multipliers!A:L,MATCH(K80,Multipliers!$A$1:$L$1,0),FALSE)),VLOOKUP(B80,Multipliers!A:L,MATCH(K80,Multipliers!$A$1:$L$1,0),FALSE))</f>
        <v>0.5</v>
      </c>
      <c r="M80">
        <f t="shared" si="4"/>
        <v>0</v>
      </c>
      <c r="N80" s="1" t="str">
        <f>_xlfn.XLOOKUP(A80,'Product Detail'!$AG:$AG,'Product Detail'!$AH:$AH,"N/A")</f>
        <v>N/A</v>
      </c>
      <c r="O80" s="1">
        <f t="shared" si="5"/>
        <v>27.5</v>
      </c>
      <c r="P80" s="4">
        <f t="shared" si="6"/>
        <v>45352</v>
      </c>
      <c r="Q80" s="4">
        <f t="shared" si="7"/>
        <v>45413</v>
      </c>
    </row>
    <row r="81" spans="1:17" x14ac:dyDescent="0.25">
      <c r="A81" s="2">
        <v>38564</v>
      </c>
      <c r="B81" t="s">
        <v>132</v>
      </c>
      <c r="C81" t="str">
        <f>_xlfn.XLOOKUP(B81,Multipliers!A:A,Multipliers!C:C)</f>
        <v>Jeffrey Weight</v>
      </c>
      <c r="D81" s="3">
        <v>45296</v>
      </c>
      <c r="E81" t="s">
        <v>1879</v>
      </c>
      <c r="F81" t="s">
        <v>1899</v>
      </c>
      <c r="G81" t="s">
        <v>2246</v>
      </c>
      <c r="H81" t="s">
        <v>2390</v>
      </c>
      <c r="I81" s="1">
        <v>0</v>
      </c>
      <c r="J81" s="1">
        <v>210</v>
      </c>
      <c r="K81">
        <v>12</v>
      </c>
      <c r="L81">
        <f>IF(E81="4. Renewal - MRR",IF(I81&lt;=0,0,VLOOKUP(B81,Multipliers!A:L,MATCH(K81,Multipliers!$A$1:$L$1,0),FALSE)),VLOOKUP(B81,Multipliers!A:L,MATCH(K81,Multipliers!$A$1:$L$1,0),FALSE))</f>
        <v>0</v>
      </c>
      <c r="M81">
        <f t="shared" si="4"/>
        <v>0</v>
      </c>
      <c r="N81" s="1" t="str">
        <f>_xlfn.XLOOKUP(A81,'Product Detail'!$AG:$AG,'Product Detail'!$AH:$AH,"N/A")</f>
        <v>N/A</v>
      </c>
      <c r="O81" s="1">
        <f t="shared" si="5"/>
        <v>0</v>
      </c>
      <c r="P81" s="4">
        <f t="shared" si="6"/>
        <v>45352</v>
      </c>
      <c r="Q81" s="4">
        <f t="shared" si="7"/>
        <v>45413</v>
      </c>
    </row>
    <row r="82" spans="1:17" x14ac:dyDescent="0.25">
      <c r="A82" s="2">
        <v>38457</v>
      </c>
      <c r="B82" t="s">
        <v>47</v>
      </c>
      <c r="C82" t="s">
        <v>2440</v>
      </c>
      <c r="D82" s="3">
        <v>45295</v>
      </c>
      <c r="E82" t="s">
        <v>1877</v>
      </c>
      <c r="F82" t="s">
        <v>1933</v>
      </c>
      <c r="G82" t="s">
        <v>2250</v>
      </c>
      <c r="H82">
        <v>0</v>
      </c>
      <c r="I82" s="1">
        <v>6.75</v>
      </c>
      <c r="J82" s="1">
        <v>0</v>
      </c>
      <c r="K82">
        <v>12</v>
      </c>
      <c r="L82">
        <f>IF(E82="4. Renewal - MRR",IF(I82&lt;=0,0,VLOOKUP(B82,Multipliers!A:L,MATCH(K82,Multipliers!$A$1:$L$1,0),FALSE)),VLOOKUP(B82,Multipliers!A:L,MATCH(K82,Multipliers!$A$1:$L$1,0),FALSE))</f>
        <v>0.125</v>
      </c>
      <c r="M82">
        <f t="shared" si="4"/>
        <v>0</v>
      </c>
      <c r="N82" s="1" t="str">
        <f>_xlfn.XLOOKUP(A82,'Product Detail'!$AG:$AG,'Product Detail'!$AH:$AH,"N/A")</f>
        <v>N/A</v>
      </c>
      <c r="O82" s="1">
        <f t="shared" si="5"/>
        <v>0.84375</v>
      </c>
      <c r="P82" s="4">
        <f t="shared" si="6"/>
        <v>45352</v>
      </c>
      <c r="Q82" s="4">
        <f t="shared" si="7"/>
        <v>45413</v>
      </c>
    </row>
    <row r="83" spans="1:17" x14ac:dyDescent="0.25">
      <c r="A83">
        <v>38482</v>
      </c>
      <c r="B83" t="s">
        <v>43</v>
      </c>
      <c r="C83" t="str">
        <f>_xlfn.XLOOKUP(B83,Multipliers!A:A,Multipliers!C:C)</f>
        <v>John Powell</v>
      </c>
      <c r="D83" s="3">
        <v>45293</v>
      </c>
      <c r="E83" t="s">
        <v>1877</v>
      </c>
      <c r="F83" t="s">
        <v>2124</v>
      </c>
      <c r="G83" t="s">
        <v>672</v>
      </c>
      <c r="H83">
        <v>0</v>
      </c>
      <c r="I83" s="1">
        <v>0</v>
      </c>
      <c r="J83" s="1">
        <v>0</v>
      </c>
      <c r="K83">
        <v>1</v>
      </c>
      <c r="L83">
        <f>IF(E83="4. Renewal - MRR",IF(I83&lt;=0,0,VLOOKUP(B83,Multipliers!A:L,MATCH(K83,Multipliers!$A$1:$L$1,0),FALSE)),VLOOKUP(B83,Multipliers!A:L,MATCH(K83,Multipliers!$A$1:$L$1,0),FALSE))</f>
        <v>0</v>
      </c>
      <c r="M83">
        <f t="shared" si="4"/>
        <v>0</v>
      </c>
      <c r="N83" s="1">
        <f>_xlfn.XLOOKUP(A83,'Product Detail'!$AG:$AG,'Product Detail'!$AH:$AH,"N/A")</f>
        <v>2.5091999999999999</v>
      </c>
      <c r="O83" s="1">
        <f t="shared" si="5"/>
        <v>0</v>
      </c>
      <c r="P83" s="4">
        <f t="shared" si="6"/>
        <v>45352</v>
      </c>
      <c r="Q83" s="4">
        <f t="shared" si="7"/>
        <v>45413</v>
      </c>
    </row>
    <row r="84" spans="1:17" x14ac:dyDescent="0.25">
      <c r="A84" s="2">
        <v>38537</v>
      </c>
      <c r="B84" t="s">
        <v>174</v>
      </c>
      <c r="C84" t="str">
        <f>_xlfn.XLOOKUP(B84,Multipliers!A:A,Multipliers!C:C)</f>
        <v>Anthony Laiewski</v>
      </c>
      <c r="D84" s="3">
        <v>45294</v>
      </c>
      <c r="E84" t="s">
        <v>1877</v>
      </c>
      <c r="F84" t="s">
        <v>1951</v>
      </c>
      <c r="G84" t="s">
        <v>2248</v>
      </c>
      <c r="H84">
        <v>0</v>
      </c>
      <c r="I84" s="1">
        <v>7.28</v>
      </c>
      <c r="J84" s="1">
        <v>0</v>
      </c>
      <c r="K84">
        <v>36</v>
      </c>
      <c r="L84">
        <f>IF(E84="4. Renewal - MRR",IF(I84&lt;=0,0,VLOOKUP(B84,Multipliers!A:L,MATCH(K84,Multipliers!$A$1:$L$1,0),FALSE)),VLOOKUP(B84,Multipliers!A:L,MATCH(K84,Multipliers!$A$1:$L$1,0),FALSE))</f>
        <v>0</v>
      </c>
      <c r="M84">
        <f t="shared" si="4"/>
        <v>0</v>
      </c>
      <c r="N84" s="1" t="str">
        <f>_xlfn.XLOOKUP(A84,'Product Detail'!$AG:$AG,'Product Detail'!$AH:$AH,"N/A")</f>
        <v>N/A</v>
      </c>
      <c r="O84" s="1">
        <f t="shared" si="5"/>
        <v>0</v>
      </c>
      <c r="P84" s="4">
        <f t="shared" si="6"/>
        <v>45352</v>
      </c>
      <c r="Q84" s="4">
        <f t="shared" si="7"/>
        <v>45413</v>
      </c>
    </row>
    <row r="85" spans="1:17" x14ac:dyDescent="0.25">
      <c r="A85" s="2">
        <v>38486</v>
      </c>
      <c r="B85" t="s">
        <v>150</v>
      </c>
      <c r="C85" t="str">
        <f>_xlfn.XLOOKUP(B85,Multipliers!A:A,Multipliers!C:C)</f>
        <v>Jeffrey Weight</v>
      </c>
      <c r="D85" s="3">
        <v>45294</v>
      </c>
      <c r="E85" t="s">
        <v>1877</v>
      </c>
      <c r="F85" t="s">
        <v>1952</v>
      </c>
      <c r="G85" t="s">
        <v>2249</v>
      </c>
      <c r="H85">
        <v>0</v>
      </c>
      <c r="I85" s="1">
        <v>2.25</v>
      </c>
      <c r="J85" s="1">
        <v>0</v>
      </c>
      <c r="K85">
        <v>12</v>
      </c>
      <c r="L85">
        <f>IF(E85="4. Renewal - MRR",IF(I85&lt;=0,0,VLOOKUP(B85,Multipliers!A:L,MATCH(K85,Multipliers!$A$1:$L$1,0),FALSE)),VLOOKUP(B85,Multipliers!A:L,MATCH(K85,Multipliers!$A$1:$L$1,0),FALSE))</f>
        <v>0.15</v>
      </c>
      <c r="M85">
        <f t="shared" si="4"/>
        <v>0</v>
      </c>
      <c r="N85" s="1" t="str">
        <f>_xlfn.XLOOKUP(A85,'Product Detail'!$AG:$AG,'Product Detail'!$AH:$AH,"N/A")</f>
        <v>N/A</v>
      </c>
      <c r="O85" s="1">
        <f t="shared" si="5"/>
        <v>0.33749999999999997</v>
      </c>
      <c r="P85" s="4">
        <f t="shared" si="6"/>
        <v>45352</v>
      </c>
      <c r="Q85" s="4">
        <f t="shared" si="7"/>
        <v>45413</v>
      </c>
    </row>
    <row r="86" spans="1:17" x14ac:dyDescent="0.25">
      <c r="A86">
        <v>38483</v>
      </c>
      <c r="B86" t="s">
        <v>47</v>
      </c>
      <c r="C86" t="str">
        <f>_xlfn.XLOOKUP(B86,Multipliers!A:A,Multipliers!C:C)</f>
        <v>John Powell</v>
      </c>
      <c r="D86" s="3">
        <v>45295</v>
      </c>
      <c r="E86" t="s">
        <v>1877</v>
      </c>
      <c r="F86" t="s">
        <v>1886</v>
      </c>
      <c r="G86" t="s">
        <v>675</v>
      </c>
      <c r="H86">
        <v>0</v>
      </c>
      <c r="I86" s="1">
        <v>0</v>
      </c>
      <c r="J86" s="1">
        <v>0</v>
      </c>
      <c r="K86">
        <v>1</v>
      </c>
      <c r="L86">
        <f>IF(E86="4. Renewal - MRR",IF(I86&lt;=0,0,VLOOKUP(B86,Multipliers!A:L,MATCH(K86,Multipliers!$A$1:$L$1,0),FALSE)),VLOOKUP(B86,Multipliers!A:L,MATCH(K86,Multipliers!$A$1:$L$1,0),FALSE))</f>
        <v>0</v>
      </c>
      <c r="M86">
        <f t="shared" si="4"/>
        <v>0</v>
      </c>
      <c r="N86" s="1">
        <f>_xlfn.XLOOKUP(A86,'Product Detail'!$AG:$AG,'Product Detail'!$AH:$AH,"N/A")</f>
        <v>0.66385000000000005</v>
      </c>
      <c r="O86" s="1">
        <f t="shared" si="5"/>
        <v>0</v>
      </c>
      <c r="P86" s="4">
        <f t="shared" si="6"/>
        <v>45352</v>
      </c>
      <c r="Q86" s="4">
        <f t="shared" si="7"/>
        <v>45413</v>
      </c>
    </row>
    <row r="87" spans="1:17" x14ac:dyDescent="0.25">
      <c r="A87">
        <v>38490</v>
      </c>
      <c r="B87" t="s">
        <v>56</v>
      </c>
      <c r="C87" t="str">
        <f>_xlfn.XLOOKUP(B87,Multipliers!A:A,Multipliers!C:C)</f>
        <v>John Powell</v>
      </c>
      <c r="D87" s="3">
        <v>45294</v>
      </c>
      <c r="E87" t="s">
        <v>1877</v>
      </c>
      <c r="F87" t="s">
        <v>2123</v>
      </c>
      <c r="G87" t="s">
        <v>690</v>
      </c>
      <c r="H87">
        <v>0</v>
      </c>
      <c r="I87" s="1">
        <v>0</v>
      </c>
      <c r="J87" s="1">
        <v>0</v>
      </c>
      <c r="K87">
        <v>1</v>
      </c>
      <c r="L87">
        <f>IF(E87="4. Renewal - MRR",IF(I87&lt;=0,0,VLOOKUP(B87,Multipliers!A:L,MATCH(K87,Multipliers!$A$1:$L$1,0),FALSE)),VLOOKUP(B87,Multipliers!A:L,MATCH(K87,Multipliers!$A$1:$L$1,0),FALSE))</f>
        <v>0</v>
      </c>
      <c r="M87">
        <f t="shared" si="4"/>
        <v>0</v>
      </c>
      <c r="N87" s="1">
        <f>_xlfn.XLOOKUP(A87,'Product Detail'!$AG:$AG,'Product Detail'!$AH:$AH,"N/A")</f>
        <v>5.0031000000000017</v>
      </c>
      <c r="O87" s="1">
        <f t="shared" si="5"/>
        <v>0</v>
      </c>
      <c r="P87" s="4">
        <f t="shared" si="6"/>
        <v>45352</v>
      </c>
      <c r="Q87" s="4">
        <f t="shared" si="7"/>
        <v>45413</v>
      </c>
    </row>
    <row r="88" spans="1:17" x14ac:dyDescent="0.25">
      <c r="A88">
        <v>38521</v>
      </c>
      <c r="B88" t="s">
        <v>47</v>
      </c>
      <c r="C88" t="s">
        <v>2441</v>
      </c>
      <c r="D88" s="3">
        <v>45316</v>
      </c>
      <c r="E88" t="s">
        <v>1878</v>
      </c>
      <c r="F88" t="s">
        <v>2175</v>
      </c>
      <c r="G88" t="s">
        <v>2264</v>
      </c>
      <c r="H88">
        <v>0</v>
      </c>
      <c r="I88" s="1">
        <v>831.32</v>
      </c>
      <c r="J88" s="1">
        <v>0</v>
      </c>
      <c r="K88">
        <v>36</v>
      </c>
      <c r="L88">
        <f>IF(E88="4. Renewal - MRR",IF(I88&lt;=0,0,VLOOKUP(B88,Multipliers!A:L,MATCH(K88,Multipliers!$A$1:$L$1,0),FALSE)),VLOOKUP(B88,Multipliers!A:L,MATCH(K88,Multipliers!$A$1:$L$1,0),FALSE))</f>
        <v>0.5</v>
      </c>
      <c r="M88">
        <f t="shared" si="4"/>
        <v>0</v>
      </c>
      <c r="N88" s="1" t="str">
        <f>_xlfn.XLOOKUP(A88,'Product Detail'!$AG:$AG,'Product Detail'!$AH:$AH,"N/A")</f>
        <v>N/A</v>
      </c>
      <c r="O88" s="1">
        <f t="shared" si="5"/>
        <v>415.66</v>
      </c>
      <c r="P88" s="4">
        <f t="shared" si="6"/>
        <v>45352</v>
      </c>
      <c r="Q88" s="4">
        <f t="shared" si="7"/>
        <v>45413</v>
      </c>
    </row>
    <row r="89" spans="1:17" x14ac:dyDescent="0.25">
      <c r="A89" s="2">
        <v>38378</v>
      </c>
      <c r="B89" t="s">
        <v>150</v>
      </c>
      <c r="C89" t="str">
        <f>_xlfn.XLOOKUP(B89,Multipliers!A:A,Multipliers!C:C)</f>
        <v>Jeffrey Weight</v>
      </c>
      <c r="D89" s="3">
        <v>45293</v>
      </c>
      <c r="E89" t="s">
        <v>1877</v>
      </c>
      <c r="F89" t="s">
        <v>1898</v>
      </c>
      <c r="G89" t="s">
        <v>2253</v>
      </c>
      <c r="H89">
        <v>0</v>
      </c>
      <c r="I89" s="1">
        <v>20</v>
      </c>
      <c r="J89" s="1">
        <v>0</v>
      </c>
      <c r="K89">
        <v>36</v>
      </c>
      <c r="L89">
        <f>IF(E89="4. Renewal - MRR",IF(I89&lt;=0,0,VLOOKUP(B89,Multipliers!A:L,MATCH(K89,Multipliers!$A$1:$L$1,0),FALSE)),VLOOKUP(B89,Multipliers!A:L,MATCH(K89,Multipliers!$A$1:$L$1,0),FALSE))</f>
        <v>0.5</v>
      </c>
      <c r="M89">
        <f t="shared" si="4"/>
        <v>0</v>
      </c>
      <c r="N89" s="1" t="str">
        <f>_xlfn.XLOOKUP(A89,'Product Detail'!$AG:$AG,'Product Detail'!$AH:$AH,"N/A")</f>
        <v>N/A</v>
      </c>
      <c r="O89" s="1">
        <f t="shared" si="5"/>
        <v>10</v>
      </c>
      <c r="P89" s="4">
        <f t="shared" si="6"/>
        <v>45352</v>
      </c>
      <c r="Q89" s="4">
        <f t="shared" si="7"/>
        <v>45413</v>
      </c>
    </row>
    <row r="90" spans="1:17" x14ac:dyDescent="0.25">
      <c r="A90" s="2">
        <v>38330</v>
      </c>
      <c r="B90" t="s">
        <v>150</v>
      </c>
      <c r="C90" t="str">
        <f>_xlfn.XLOOKUP(B90,Multipliers!A:A,Multipliers!C:C)</f>
        <v>Jeffrey Weight</v>
      </c>
      <c r="D90" s="3">
        <v>45294</v>
      </c>
      <c r="E90" t="s">
        <v>1877</v>
      </c>
      <c r="F90" t="s">
        <v>1955</v>
      </c>
      <c r="G90" t="s">
        <v>2254</v>
      </c>
      <c r="H90">
        <v>0</v>
      </c>
      <c r="I90" s="1">
        <v>0</v>
      </c>
      <c r="J90" s="1">
        <v>0</v>
      </c>
      <c r="K90">
        <v>36</v>
      </c>
      <c r="L90">
        <f>IF(E90="4. Renewal - MRR",IF(I90&lt;=0,0,VLOOKUP(B90,Multipliers!A:L,MATCH(K90,Multipliers!$A$1:$L$1,0),FALSE)),VLOOKUP(B90,Multipliers!A:L,MATCH(K90,Multipliers!$A$1:$L$1,0),FALSE))</f>
        <v>0.5</v>
      </c>
      <c r="M90">
        <f t="shared" si="4"/>
        <v>0</v>
      </c>
      <c r="N90" s="1" t="str">
        <f>_xlfn.XLOOKUP(A90,'Product Detail'!$AG:$AG,'Product Detail'!$AH:$AH,"N/A")</f>
        <v>N/A</v>
      </c>
      <c r="O90" s="1">
        <f t="shared" si="5"/>
        <v>0</v>
      </c>
      <c r="P90" s="4">
        <f t="shared" si="6"/>
        <v>45352</v>
      </c>
      <c r="Q90" s="4">
        <f t="shared" si="7"/>
        <v>45413</v>
      </c>
    </row>
    <row r="91" spans="1:17" x14ac:dyDescent="0.25">
      <c r="A91">
        <v>38525</v>
      </c>
      <c r="B91" t="s">
        <v>47</v>
      </c>
      <c r="C91" t="str">
        <f>_xlfn.XLOOKUP(B91,Multipliers!A:A,Multipliers!C:C)</f>
        <v>John Powell</v>
      </c>
      <c r="D91" s="3">
        <v>45302</v>
      </c>
      <c r="E91" t="s">
        <v>1877</v>
      </c>
      <c r="F91" t="s">
        <v>1886</v>
      </c>
      <c r="G91" t="s">
        <v>735</v>
      </c>
      <c r="H91">
        <v>0</v>
      </c>
      <c r="I91" s="1">
        <v>0</v>
      </c>
      <c r="J91" s="1">
        <v>0</v>
      </c>
      <c r="K91">
        <v>1</v>
      </c>
      <c r="L91">
        <f>IF(E91="4. Renewal - MRR",IF(I91&lt;=0,0,VLOOKUP(B91,Multipliers!A:L,MATCH(K91,Multipliers!$A$1:$L$1,0),FALSE)),VLOOKUP(B91,Multipliers!A:L,MATCH(K91,Multipliers!$A$1:$L$1,0),FALSE))</f>
        <v>0</v>
      </c>
      <c r="M91">
        <f t="shared" si="4"/>
        <v>0</v>
      </c>
      <c r="N91" s="1">
        <f>_xlfn.XLOOKUP(A91,'Product Detail'!$AG:$AG,'Product Detail'!$AH:$AH,"N/A")</f>
        <v>9.9203499999999938</v>
      </c>
      <c r="O91" s="1">
        <f t="shared" si="5"/>
        <v>0</v>
      </c>
      <c r="P91" s="4">
        <f t="shared" si="6"/>
        <v>45352</v>
      </c>
      <c r="Q91" s="4">
        <f t="shared" si="7"/>
        <v>45413</v>
      </c>
    </row>
    <row r="92" spans="1:17" x14ac:dyDescent="0.25">
      <c r="A92" s="2">
        <v>38182</v>
      </c>
      <c r="B92" t="s">
        <v>147</v>
      </c>
      <c r="C92" t="str">
        <f>_xlfn.XLOOKUP(B92,Multipliers!A:A,Multipliers!C:C)</f>
        <v>Jeffrey Weight</v>
      </c>
      <c r="D92" s="3">
        <v>45309</v>
      </c>
      <c r="E92" t="s">
        <v>1877</v>
      </c>
      <c r="F92" t="s">
        <v>1956</v>
      </c>
      <c r="G92" t="s">
        <v>512</v>
      </c>
      <c r="H92">
        <v>0</v>
      </c>
      <c r="I92" s="1">
        <v>25.5</v>
      </c>
      <c r="J92" s="1">
        <v>0</v>
      </c>
      <c r="K92">
        <v>36</v>
      </c>
      <c r="L92">
        <f>IF(E92="4. Renewal - MRR",IF(I92&lt;=0,0,VLOOKUP(B92,Multipliers!A:L,MATCH(K92,Multipliers!$A$1:$L$1,0),FALSE)),VLOOKUP(B92,Multipliers!A:L,MATCH(K92,Multipliers!$A$1:$L$1,0),FALSE))</f>
        <v>0.5</v>
      </c>
      <c r="M92">
        <f t="shared" si="4"/>
        <v>0</v>
      </c>
      <c r="N92" s="1">
        <f>_xlfn.XLOOKUP(A92,'Product Detail'!$AG:$AG,'Product Detail'!$AH:$AH,"N/A")</f>
        <v>2.8800000000000003</v>
      </c>
      <c r="O92" s="1">
        <f t="shared" si="5"/>
        <v>12.75</v>
      </c>
      <c r="P92" s="4">
        <f t="shared" si="6"/>
        <v>45352</v>
      </c>
      <c r="Q92" s="4">
        <f t="shared" si="7"/>
        <v>45413</v>
      </c>
    </row>
    <row r="93" spans="1:17" x14ac:dyDescent="0.25">
      <c r="A93" s="2">
        <v>38172</v>
      </c>
      <c r="B93" t="s">
        <v>1874</v>
      </c>
      <c r="C93" t="str">
        <f>_xlfn.XLOOKUP(B93,Multipliers!A:A,Multipliers!C:C)</f>
        <v>Jeffrey Weight</v>
      </c>
      <c r="D93" s="3">
        <v>45308</v>
      </c>
      <c r="E93" t="s">
        <v>1877</v>
      </c>
      <c r="F93" t="s">
        <v>1957</v>
      </c>
      <c r="G93" t="s">
        <v>2255</v>
      </c>
      <c r="H93">
        <v>0</v>
      </c>
      <c r="I93" s="1">
        <v>0.46</v>
      </c>
      <c r="J93" s="1">
        <v>0</v>
      </c>
      <c r="K93">
        <v>12</v>
      </c>
      <c r="L93">
        <f>IF(E93="4. Renewal - MRR",IF(I93&lt;=0,0,VLOOKUP(B93,Multipliers!A:L,MATCH(K93,Multipliers!$A$1:$L$1,0),FALSE)),VLOOKUP(B93,Multipliers!A:L,MATCH(K93,Multipliers!$A$1:$L$1,0),FALSE))</f>
        <v>0.15</v>
      </c>
      <c r="M93">
        <f t="shared" si="4"/>
        <v>0</v>
      </c>
      <c r="N93" s="1" t="str">
        <f>_xlfn.XLOOKUP(A93,'Product Detail'!$AG:$AG,'Product Detail'!$AH:$AH,"N/A")</f>
        <v>N/A</v>
      </c>
      <c r="O93" s="1">
        <f t="shared" si="5"/>
        <v>6.9000000000000006E-2</v>
      </c>
      <c r="P93" s="4">
        <f t="shared" si="6"/>
        <v>45352</v>
      </c>
      <c r="Q93" s="4">
        <f t="shared" si="7"/>
        <v>45413</v>
      </c>
    </row>
    <row r="94" spans="1:17" x14ac:dyDescent="0.25">
      <c r="A94" s="2">
        <v>38075</v>
      </c>
      <c r="B94" t="s">
        <v>132</v>
      </c>
      <c r="C94" t="str">
        <f>_xlfn.XLOOKUP(B94,Multipliers!A:A,Multipliers!C:C)</f>
        <v>Jeffrey Weight</v>
      </c>
      <c r="D94" s="3">
        <v>45317</v>
      </c>
      <c r="E94" t="s">
        <v>1877</v>
      </c>
      <c r="F94" t="s">
        <v>1891</v>
      </c>
      <c r="G94" t="s">
        <v>468</v>
      </c>
      <c r="H94">
        <v>0</v>
      </c>
      <c r="I94" s="1">
        <v>425</v>
      </c>
      <c r="J94" s="1">
        <v>0</v>
      </c>
      <c r="K94">
        <v>36</v>
      </c>
      <c r="L94">
        <f>IF(E94="4. Renewal - MRR",IF(I94&lt;=0,0,VLOOKUP(B94,Multipliers!A:L,MATCH(K94,Multipliers!$A$1:$L$1,0),FALSE)),VLOOKUP(B94,Multipliers!A:L,MATCH(K94,Multipliers!$A$1:$L$1,0),FALSE))</f>
        <v>0.5</v>
      </c>
      <c r="M94">
        <f t="shared" si="4"/>
        <v>0</v>
      </c>
      <c r="N94" s="1">
        <f>_xlfn.XLOOKUP(A94,'Product Detail'!$AG:$AG,'Product Detail'!$AH:$AH,"N/A")</f>
        <v>30</v>
      </c>
      <c r="O94" s="1">
        <f t="shared" si="5"/>
        <v>212.5</v>
      </c>
      <c r="P94" s="4">
        <f t="shared" si="6"/>
        <v>45352</v>
      </c>
      <c r="Q94" s="4">
        <f t="shared" si="7"/>
        <v>45413</v>
      </c>
    </row>
    <row r="95" spans="1:17" x14ac:dyDescent="0.25">
      <c r="A95" s="2">
        <v>38070</v>
      </c>
      <c r="B95" t="s">
        <v>90</v>
      </c>
      <c r="C95" t="str">
        <f>_xlfn.XLOOKUP(B95,Multipliers!A:A,Multipliers!C:C)</f>
        <v>Jon Kabrud</v>
      </c>
      <c r="D95" s="3">
        <v>45310</v>
      </c>
      <c r="E95" t="s">
        <v>1880</v>
      </c>
      <c r="F95" t="s">
        <v>1958</v>
      </c>
      <c r="G95" t="s">
        <v>460</v>
      </c>
      <c r="H95">
        <v>0</v>
      </c>
      <c r="I95" s="1">
        <v>9153.5400000000009</v>
      </c>
      <c r="J95" s="1">
        <v>0</v>
      </c>
      <c r="K95">
        <v>12</v>
      </c>
      <c r="L95">
        <f>IF(E95="4. Renewal - MRR",IF(I95&lt;=0,0,VLOOKUP(B95,Multipliers!A:L,MATCH(K95,Multipliers!$A$1:$L$1,0),FALSE)),VLOOKUP(B95,Multipliers!A:L,MATCH(K95,Multipliers!$A$1:$L$1,0),FALSE))</f>
        <v>0.35</v>
      </c>
      <c r="M95">
        <f t="shared" si="4"/>
        <v>0</v>
      </c>
      <c r="N95" s="1">
        <f>_xlfn.XLOOKUP(A95,'Product Detail'!$AG:$AG,'Product Detail'!$AH:$AH,"N/A")</f>
        <v>0</v>
      </c>
      <c r="O95" s="1">
        <f t="shared" si="5"/>
        <v>3203.739</v>
      </c>
      <c r="P95" s="4">
        <f t="shared" si="6"/>
        <v>45352</v>
      </c>
      <c r="Q95" s="4">
        <f t="shared" si="7"/>
        <v>45413</v>
      </c>
    </row>
    <row r="96" spans="1:17" x14ac:dyDescent="0.25">
      <c r="A96" s="2">
        <v>38002</v>
      </c>
      <c r="B96" t="s">
        <v>132</v>
      </c>
      <c r="C96" t="str">
        <f>_xlfn.XLOOKUP(B96,Multipliers!A:A,Multipliers!C:C)</f>
        <v>Jeffrey Weight</v>
      </c>
      <c r="D96" s="3">
        <v>45301</v>
      </c>
      <c r="E96" t="s">
        <v>1877</v>
      </c>
      <c r="F96" t="s">
        <v>1959</v>
      </c>
      <c r="G96" t="s">
        <v>453</v>
      </c>
      <c r="H96">
        <v>0</v>
      </c>
      <c r="I96" s="1">
        <v>450</v>
      </c>
      <c r="J96" s="1">
        <v>0</v>
      </c>
      <c r="K96">
        <v>36</v>
      </c>
      <c r="L96">
        <f>IF(E96="4. Renewal - MRR",IF(I96&lt;=0,0,VLOOKUP(B96,Multipliers!A:L,MATCH(K96,Multipliers!$A$1:$L$1,0),FALSE)),VLOOKUP(B96,Multipliers!A:L,MATCH(K96,Multipliers!$A$1:$L$1,0),FALSE))</f>
        <v>0.5</v>
      </c>
      <c r="M96">
        <f t="shared" si="4"/>
        <v>0</v>
      </c>
      <c r="N96" s="1">
        <f>_xlfn.XLOOKUP(A96,'Product Detail'!$AG:$AG,'Product Detail'!$AH:$AH,"N/A")</f>
        <v>296.39999999999998</v>
      </c>
      <c r="O96" s="1">
        <f t="shared" si="5"/>
        <v>225</v>
      </c>
      <c r="P96" s="4">
        <f t="shared" si="6"/>
        <v>45352</v>
      </c>
      <c r="Q96" s="4">
        <f t="shared" si="7"/>
        <v>45413</v>
      </c>
    </row>
    <row r="97" spans="1:17" x14ac:dyDescent="0.25">
      <c r="A97" s="2">
        <v>37937</v>
      </c>
      <c r="B97" t="s">
        <v>1874</v>
      </c>
      <c r="C97" t="str">
        <f>_xlfn.XLOOKUP(B97,Multipliers!A:A,Multipliers!C:C)</f>
        <v>Jeffrey Weight</v>
      </c>
      <c r="D97" s="3">
        <v>45294</v>
      </c>
      <c r="E97" t="s">
        <v>1879</v>
      </c>
      <c r="F97" t="s">
        <v>1960</v>
      </c>
      <c r="G97" t="s">
        <v>440</v>
      </c>
      <c r="H97" t="s">
        <v>2390</v>
      </c>
      <c r="I97" s="1">
        <v>0</v>
      </c>
      <c r="J97" s="1">
        <v>1579</v>
      </c>
      <c r="K97">
        <v>36</v>
      </c>
      <c r="L97">
        <f>IF(E97="4. Renewal - MRR",IF(I97&lt;=0,0,VLOOKUP(B97,Multipliers!A:L,MATCH(K97,Multipliers!$A$1:$L$1,0),FALSE)),VLOOKUP(B97,Multipliers!A:L,MATCH(K97,Multipliers!$A$1:$L$1,0),FALSE))</f>
        <v>0</v>
      </c>
      <c r="M97">
        <f t="shared" si="4"/>
        <v>0.25</v>
      </c>
      <c r="N97" s="1">
        <f>_xlfn.XLOOKUP(A97,'Product Detail'!$AG:$AG,'Product Detail'!$AH:$AH,"N/A")</f>
        <v>19.32</v>
      </c>
      <c r="O97" s="1">
        <f t="shared" si="5"/>
        <v>394.75</v>
      </c>
      <c r="P97" s="4">
        <f t="shared" si="6"/>
        <v>45352</v>
      </c>
      <c r="Q97" s="4">
        <f t="shared" si="7"/>
        <v>45413</v>
      </c>
    </row>
    <row r="98" spans="1:17" x14ac:dyDescent="0.25">
      <c r="A98" s="2">
        <v>37929</v>
      </c>
      <c r="B98" t="s">
        <v>1874</v>
      </c>
      <c r="C98" t="str">
        <f>_xlfn.XLOOKUP(B98,Multipliers!A:A,Multipliers!C:C)</f>
        <v>Jeffrey Weight</v>
      </c>
      <c r="D98" s="3">
        <v>45303</v>
      </c>
      <c r="E98" t="s">
        <v>1877</v>
      </c>
      <c r="F98" t="s">
        <v>1961</v>
      </c>
      <c r="G98" t="s">
        <v>439</v>
      </c>
      <c r="H98">
        <v>0</v>
      </c>
      <c r="I98" s="1">
        <v>1368</v>
      </c>
      <c r="J98" s="1">
        <v>0</v>
      </c>
      <c r="K98">
        <v>36</v>
      </c>
      <c r="L98">
        <f>IF(E98="4. Renewal - MRR",IF(I98&lt;=0,0,VLOOKUP(B98,Multipliers!A:L,MATCH(K98,Multipliers!$A$1:$L$1,0),FALSE)),VLOOKUP(B98,Multipliers!A:L,MATCH(K98,Multipliers!$A$1:$L$1,0),FALSE))</f>
        <v>0.5</v>
      </c>
      <c r="M98">
        <f t="shared" si="4"/>
        <v>0</v>
      </c>
      <c r="N98" s="1">
        <f>_xlfn.XLOOKUP(A98,'Product Detail'!$AG:$AG,'Product Detail'!$AH:$AH,"N/A")</f>
        <v>32.94</v>
      </c>
      <c r="O98" s="1">
        <f t="shared" si="5"/>
        <v>684</v>
      </c>
      <c r="P98" s="4">
        <f t="shared" si="6"/>
        <v>45352</v>
      </c>
      <c r="Q98" s="4">
        <f t="shared" si="7"/>
        <v>45413</v>
      </c>
    </row>
    <row r="99" spans="1:17" x14ac:dyDescent="0.25">
      <c r="A99" s="2">
        <v>37900</v>
      </c>
      <c r="B99" t="s">
        <v>1874</v>
      </c>
      <c r="C99" t="str">
        <f>_xlfn.XLOOKUP(B99,Multipliers!A:A,Multipliers!C:C)</f>
        <v>Jeffrey Weight</v>
      </c>
      <c r="D99" s="3">
        <v>45306</v>
      </c>
      <c r="E99" t="s">
        <v>1877</v>
      </c>
      <c r="F99" t="s">
        <v>1912</v>
      </c>
      <c r="G99" t="s">
        <v>2256</v>
      </c>
      <c r="H99">
        <v>0</v>
      </c>
      <c r="I99" s="1">
        <v>10</v>
      </c>
      <c r="J99" s="1">
        <v>0</v>
      </c>
      <c r="K99">
        <v>36</v>
      </c>
      <c r="L99">
        <f>IF(E99="4. Renewal - MRR",IF(I99&lt;=0,0,VLOOKUP(B99,Multipliers!A:L,MATCH(K99,Multipliers!$A$1:$L$1,0),FALSE)),VLOOKUP(B99,Multipliers!A:L,MATCH(K99,Multipliers!$A$1:$L$1,0),FALSE))</f>
        <v>0.5</v>
      </c>
      <c r="M99">
        <f t="shared" si="4"/>
        <v>0</v>
      </c>
      <c r="N99" s="1" t="str">
        <f>_xlfn.XLOOKUP(A99,'Product Detail'!$AG:$AG,'Product Detail'!$AH:$AH,"N/A")</f>
        <v>N/A</v>
      </c>
      <c r="O99" s="1">
        <f t="shared" si="5"/>
        <v>5</v>
      </c>
      <c r="P99" s="4">
        <f t="shared" si="6"/>
        <v>45352</v>
      </c>
      <c r="Q99" s="4">
        <f t="shared" si="7"/>
        <v>45413</v>
      </c>
    </row>
    <row r="100" spans="1:17" x14ac:dyDescent="0.25">
      <c r="A100">
        <v>38546</v>
      </c>
      <c r="B100" t="s">
        <v>43</v>
      </c>
      <c r="C100" t="str">
        <f>_xlfn.XLOOKUP(B100,Multipliers!A:A,Multipliers!C:C)</f>
        <v>John Powell</v>
      </c>
      <c r="D100" s="3">
        <v>45295</v>
      </c>
      <c r="E100" t="s">
        <v>1881</v>
      </c>
      <c r="F100" t="s">
        <v>2115</v>
      </c>
      <c r="G100" t="s">
        <v>762</v>
      </c>
      <c r="H100">
        <v>0</v>
      </c>
      <c r="I100" s="1">
        <v>0</v>
      </c>
      <c r="J100" s="1">
        <v>0</v>
      </c>
      <c r="K100">
        <v>1</v>
      </c>
      <c r="L100">
        <f>IF(E100="4. Renewal - MRR",IF(I100&lt;=0,0,VLOOKUP(B100,Multipliers!A:L,MATCH(K100,Multipliers!$A$1:$L$1,0),FALSE)),VLOOKUP(B100,Multipliers!A:L,MATCH(K100,Multipliers!$A$1:$L$1,0),FALSE))</f>
        <v>0</v>
      </c>
      <c r="M100">
        <f t="shared" si="4"/>
        <v>0</v>
      </c>
      <c r="N100" s="1">
        <f>_xlfn.XLOOKUP(A100,'Product Detail'!$AG:$AG,'Product Detail'!$AH:$AH,"N/A")</f>
        <v>7.3950000000000005</v>
      </c>
      <c r="O100" s="1">
        <f t="shared" si="5"/>
        <v>0</v>
      </c>
      <c r="P100" s="4">
        <f t="shared" si="6"/>
        <v>45352</v>
      </c>
      <c r="Q100" s="4">
        <f t="shared" si="7"/>
        <v>45413</v>
      </c>
    </row>
    <row r="101" spans="1:17" x14ac:dyDescent="0.25">
      <c r="A101">
        <v>38558</v>
      </c>
      <c r="B101" t="s">
        <v>47</v>
      </c>
      <c r="C101" t="str">
        <f>_xlfn.XLOOKUP(B101,Multipliers!A:A,Multipliers!C:C)</f>
        <v>John Powell</v>
      </c>
      <c r="D101" s="3">
        <v>45294</v>
      </c>
      <c r="E101" t="s">
        <v>1877</v>
      </c>
      <c r="F101" t="s">
        <v>1953</v>
      </c>
      <c r="G101" t="s">
        <v>782</v>
      </c>
      <c r="H101">
        <v>0</v>
      </c>
      <c r="I101" s="1">
        <v>0</v>
      </c>
      <c r="J101" s="1">
        <v>0</v>
      </c>
      <c r="K101">
        <v>1</v>
      </c>
      <c r="L101">
        <f>IF(E101="4. Renewal - MRR",IF(I101&lt;=0,0,VLOOKUP(B101,Multipliers!A:L,MATCH(K101,Multipliers!$A$1:$L$1,0),FALSE)),VLOOKUP(B101,Multipliers!A:L,MATCH(K101,Multipliers!$A$1:$L$1,0),FALSE))</f>
        <v>0</v>
      </c>
      <c r="M101">
        <f t="shared" si="4"/>
        <v>0</v>
      </c>
      <c r="N101" s="1">
        <f>_xlfn.XLOOKUP(A101,'Product Detail'!$AG:$AG,'Product Detail'!$AH:$AH,"N/A")</f>
        <v>21.181149999999995</v>
      </c>
      <c r="O101" s="1">
        <f t="shared" si="5"/>
        <v>0</v>
      </c>
      <c r="P101" s="4">
        <f t="shared" si="6"/>
        <v>45352</v>
      </c>
      <c r="Q101" s="4">
        <f t="shared" si="7"/>
        <v>45413</v>
      </c>
    </row>
    <row r="102" spans="1:17" x14ac:dyDescent="0.25">
      <c r="A102" s="2">
        <v>37569</v>
      </c>
      <c r="B102" t="s">
        <v>105</v>
      </c>
      <c r="C102" t="str">
        <f>_xlfn.XLOOKUP(B102,Multipliers!A:A,Multipliers!C:C)</f>
        <v>Luis Blanco</v>
      </c>
      <c r="D102" s="3">
        <v>45310</v>
      </c>
      <c r="E102" t="s">
        <v>1880</v>
      </c>
      <c r="F102" t="s">
        <v>1964</v>
      </c>
      <c r="G102" t="s">
        <v>314</v>
      </c>
      <c r="H102">
        <v>0</v>
      </c>
      <c r="I102" s="1">
        <v>1650.75</v>
      </c>
      <c r="J102" s="1">
        <v>0</v>
      </c>
      <c r="K102">
        <v>36</v>
      </c>
      <c r="L102">
        <f>IF(E102="4. Renewal - MRR",IF(I102&lt;=0,0,VLOOKUP(B102,Multipliers!A:L,MATCH(K102,Multipliers!$A$1:$L$1,0),FALSE)),VLOOKUP(B102,Multipliers!A:L,MATCH(K102,Multipliers!$A$1:$L$1,0),FALSE))</f>
        <v>1</v>
      </c>
      <c r="M102">
        <f t="shared" si="4"/>
        <v>0</v>
      </c>
      <c r="N102" s="1">
        <f>_xlfn.XLOOKUP(A102,'Product Detail'!$AG:$AG,'Product Detail'!$AH:$AH,"N/A")</f>
        <v>83.97</v>
      </c>
      <c r="O102" s="1">
        <f t="shared" si="5"/>
        <v>1650.75</v>
      </c>
      <c r="P102" s="4">
        <f t="shared" si="6"/>
        <v>45352</v>
      </c>
      <c r="Q102" s="4">
        <f t="shared" si="7"/>
        <v>45413</v>
      </c>
    </row>
    <row r="103" spans="1:17" x14ac:dyDescent="0.25">
      <c r="A103" s="2">
        <v>37206</v>
      </c>
      <c r="B103" t="s">
        <v>147</v>
      </c>
      <c r="C103" t="str">
        <f>_xlfn.XLOOKUP(B103,Multipliers!A:A,Multipliers!C:C)</f>
        <v>Jeffrey Weight</v>
      </c>
      <c r="D103" s="3">
        <v>45293</v>
      </c>
      <c r="E103" t="s">
        <v>1877</v>
      </c>
      <c r="F103" t="s">
        <v>1965</v>
      </c>
      <c r="G103" t="s">
        <v>251</v>
      </c>
      <c r="H103">
        <v>0</v>
      </c>
      <c r="I103" s="1">
        <v>1075</v>
      </c>
      <c r="J103" s="1">
        <v>0</v>
      </c>
      <c r="K103">
        <v>36</v>
      </c>
      <c r="L103">
        <f>IF(E103="4. Renewal - MRR",IF(I103&lt;=0,0,VLOOKUP(B103,Multipliers!A:L,MATCH(K103,Multipliers!$A$1:$L$1,0),FALSE)),VLOOKUP(B103,Multipliers!A:L,MATCH(K103,Multipliers!$A$1:$L$1,0),FALSE))</f>
        <v>0.5</v>
      </c>
      <c r="M103">
        <f t="shared" si="4"/>
        <v>0</v>
      </c>
      <c r="N103" s="1">
        <f>_xlfn.XLOOKUP(A103,'Product Detail'!$AG:$AG,'Product Detail'!$AH:$AH,"N/A")</f>
        <v>80</v>
      </c>
      <c r="O103" s="1">
        <f t="shared" si="5"/>
        <v>537.5</v>
      </c>
      <c r="P103" s="4">
        <f t="shared" si="6"/>
        <v>45352</v>
      </c>
      <c r="Q103" s="4">
        <f t="shared" si="7"/>
        <v>45413</v>
      </c>
    </row>
    <row r="104" spans="1:17" x14ac:dyDescent="0.25">
      <c r="A104" s="2">
        <v>37048</v>
      </c>
      <c r="B104" t="s">
        <v>107</v>
      </c>
      <c r="C104" t="str">
        <f>_xlfn.XLOOKUP(B104,Multipliers!A:A,Multipliers!C:C)</f>
        <v>Luis Blanco</v>
      </c>
      <c r="D104" s="3">
        <v>45322</v>
      </c>
      <c r="E104" t="s">
        <v>1877</v>
      </c>
      <c r="F104" t="s">
        <v>1966</v>
      </c>
      <c r="G104" t="s">
        <v>248</v>
      </c>
      <c r="H104">
        <v>0</v>
      </c>
      <c r="I104" s="1">
        <v>103.5</v>
      </c>
      <c r="J104" s="1">
        <v>0</v>
      </c>
      <c r="K104">
        <v>36</v>
      </c>
      <c r="L104">
        <f>IF(E104="4. Renewal - MRR",IF(I104&lt;=0,0,VLOOKUP(B104,Multipliers!A:L,MATCH(K104,Multipliers!$A$1:$L$1,0),FALSE)),VLOOKUP(B104,Multipliers!A:L,MATCH(K104,Multipliers!$A$1:$L$1,0),FALSE))</f>
        <v>1</v>
      </c>
      <c r="M104">
        <f t="shared" si="4"/>
        <v>0</v>
      </c>
      <c r="N104" s="1">
        <f>_xlfn.XLOOKUP(A104,'Product Detail'!$AG:$AG,'Product Detail'!$AH:$AH,"N/A")</f>
        <v>6.03</v>
      </c>
      <c r="O104" s="1">
        <f t="shared" si="5"/>
        <v>103.5</v>
      </c>
      <c r="P104" s="4">
        <f t="shared" si="6"/>
        <v>45352</v>
      </c>
      <c r="Q104" s="4">
        <f t="shared" si="7"/>
        <v>45413</v>
      </c>
    </row>
    <row r="105" spans="1:17" x14ac:dyDescent="0.25">
      <c r="A105" s="2">
        <v>38560</v>
      </c>
      <c r="B105" t="s">
        <v>56</v>
      </c>
      <c r="C105" t="s">
        <v>2440</v>
      </c>
      <c r="D105" s="3">
        <v>45295</v>
      </c>
      <c r="E105" t="s">
        <v>1877</v>
      </c>
      <c r="F105" t="s">
        <v>1950</v>
      </c>
      <c r="G105" t="s">
        <v>2247</v>
      </c>
      <c r="H105">
        <v>0</v>
      </c>
      <c r="I105" s="1">
        <v>70.02</v>
      </c>
      <c r="J105" s="1">
        <v>0</v>
      </c>
      <c r="K105">
        <v>12</v>
      </c>
      <c r="L105">
        <f>IF(E105="4. Renewal - MRR",IF(I105&lt;=0,0,VLOOKUP(B105,Multipliers!A:L,MATCH(K105,Multipliers!$A$1:$L$1,0),FALSE)),VLOOKUP(B105,Multipliers!A:L,MATCH(K105,Multipliers!$A$1:$L$1,0),FALSE))</f>
        <v>0.125</v>
      </c>
      <c r="M105">
        <f t="shared" si="4"/>
        <v>0</v>
      </c>
      <c r="N105" s="1" t="str">
        <f>_xlfn.XLOOKUP(A105,'Product Detail'!$AG:$AG,'Product Detail'!$AH:$AH,"N/A")</f>
        <v>N/A</v>
      </c>
      <c r="O105" s="1">
        <f t="shared" si="5"/>
        <v>8.7524999999999995</v>
      </c>
      <c r="P105" s="4">
        <f t="shared" si="6"/>
        <v>45352</v>
      </c>
      <c r="Q105" s="4">
        <f t="shared" si="7"/>
        <v>45413</v>
      </c>
    </row>
    <row r="106" spans="1:17" x14ac:dyDescent="0.25">
      <c r="A106" s="2">
        <v>36211</v>
      </c>
      <c r="B106" t="s">
        <v>1874</v>
      </c>
      <c r="C106" t="str">
        <f>_xlfn.XLOOKUP(B106,Multipliers!A:A,Multipliers!C:C)</f>
        <v>Jeffrey Weight</v>
      </c>
      <c r="D106" s="3">
        <v>45294</v>
      </c>
      <c r="E106" t="s">
        <v>1877</v>
      </c>
      <c r="F106" t="s">
        <v>1960</v>
      </c>
      <c r="G106" t="s">
        <v>185</v>
      </c>
      <c r="H106">
        <v>0</v>
      </c>
      <c r="I106" s="1">
        <v>496.65</v>
      </c>
      <c r="J106" s="1">
        <v>0</v>
      </c>
      <c r="K106">
        <v>36</v>
      </c>
      <c r="L106">
        <f>IF(E106="4. Renewal - MRR",IF(I106&lt;=0,0,VLOOKUP(B106,Multipliers!A:L,MATCH(K106,Multipliers!$A$1:$L$1,0),FALSE)),VLOOKUP(B106,Multipliers!A:L,MATCH(K106,Multipliers!$A$1:$L$1,0),FALSE))</f>
        <v>0.5</v>
      </c>
      <c r="M106">
        <f t="shared" si="4"/>
        <v>0</v>
      </c>
      <c r="N106" s="1">
        <f>_xlfn.XLOOKUP(A106,'Product Detail'!$AG:$AG,'Product Detail'!$AH:$AH,"N/A")</f>
        <v>476.08</v>
      </c>
      <c r="O106" s="1">
        <f t="shared" si="5"/>
        <v>248.32499999999999</v>
      </c>
      <c r="P106" s="4">
        <f t="shared" si="6"/>
        <v>45352</v>
      </c>
      <c r="Q106" s="4">
        <f t="shared" si="7"/>
        <v>45413</v>
      </c>
    </row>
    <row r="107" spans="1:17" x14ac:dyDescent="0.25">
      <c r="A107" s="2">
        <v>35608</v>
      </c>
      <c r="B107" t="s">
        <v>132</v>
      </c>
      <c r="C107" t="str">
        <f>_xlfn.XLOOKUP(B107,Multipliers!A:A,Multipliers!C:C)</f>
        <v>Jeffrey Weight</v>
      </c>
      <c r="D107" s="3">
        <v>45320</v>
      </c>
      <c r="E107" t="s">
        <v>1877</v>
      </c>
      <c r="F107" t="s">
        <v>1967</v>
      </c>
      <c r="G107" t="s">
        <v>2258</v>
      </c>
      <c r="H107">
        <v>0</v>
      </c>
      <c r="I107" s="1">
        <v>170</v>
      </c>
      <c r="J107" s="1">
        <v>0</v>
      </c>
      <c r="K107">
        <v>12</v>
      </c>
      <c r="L107">
        <f>IF(E107="4. Renewal - MRR",IF(I107&lt;=0,0,VLOOKUP(B107,Multipliers!A:L,MATCH(K107,Multipliers!$A$1:$L$1,0),FALSE)),VLOOKUP(B107,Multipliers!A:L,MATCH(K107,Multipliers!$A$1:$L$1,0),FALSE))</f>
        <v>0.15</v>
      </c>
      <c r="M107">
        <f t="shared" si="4"/>
        <v>0</v>
      </c>
      <c r="N107" s="1" t="str">
        <f>_xlfn.XLOOKUP(A107,'Product Detail'!$AG:$AG,'Product Detail'!$AH:$AH,"N/A")</f>
        <v>N/A</v>
      </c>
      <c r="O107" s="1">
        <f t="shared" si="5"/>
        <v>25.5</v>
      </c>
      <c r="P107" s="4">
        <f t="shared" si="6"/>
        <v>45352</v>
      </c>
      <c r="Q107" s="4">
        <f t="shared" si="7"/>
        <v>45413</v>
      </c>
    </row>
    <row r="108" spans="1:17" x14ac:dyDescent="0.25">
      <c r="A108" s="2">
        <v>35346</v>
      </c>
      <c r="B108" t="s">
        <v>140</v>
      </c>
      <c r="C108" t="str">
        <f>_xlfn.XLOOKUP(B108,Multipliers!A:A,Multipliers!C:C)</f>
        <v>Jeffrey Weight</v>
      </c>
      <c r="D108" s="3">
        <v>45295</v>
      </c>
      <c r="E108" t="s">
        <v>1877</v>
      </c>
      <c r="F108" t="s">
        <v>1968</v>
      </c>
      <c r="G108" t="s">
        <v>2259</v>
      </c>
      <c r="H108">
        <v>0</v>
      </c>
      <c r="I108" s="1">
        <v>0</v>
      </c>
      <c r="J108" s="1">
        <v>0</v>
      </c>
      <c r="K108">
        <v>1</v>
      </c>
      <c r="L108">
        <f>IF(E108="4. Renewal - MRR",IF(I108&lt;=0,0,VLOOKUP(B108,Multipliers!A:L,MATCH(K108,Multipliers!$A$1:$L$1,0),FALSE)),VLOOKUP(B108,Multipliers!A:L,MATCH(K108,Multipliers!$A$1:$L$1,0),FALSE))</f>
        <v>0</v>
      </c>
      <c r="M108">
        <f t="shared" si="4"/>
        <v>0</v>
      </c>
      <c r="N108" s="1" t="str">
        <f>_xlfn.XLOOKUP(A108,'Product Detail'!$AG:$AG,'Product Detail'!$AH:$AH,"N/A")</f>
        <v>N/A</v>
      </c>
      <c r="O108" s="1">
        <f t="shared" si="5"/>
        <v>0</v>
      </c>
      <c r="P108" s="4">
        <f t="shared" si="6"/>
        <v>45352</v>
      </c>
      <c r="Q108" s="4">
        <f t="shared" si="7"/>
        <v>45413</v>
      </c>
    </row>
    <row r="109" spans="1:17" x14ac:dyDescent="0.25">
      <c r="A109" s="2">
        <v>34261</v>
      </c>
      <c r="B109" t="s">
        <v>168</v>
      </c>
      <c r="C109" t="str">
        <f>_xlfn.XLOOKUP(B109,Multipliers!A:A,Multipliers!C:C)</f>
        <v>Simon Beeny</v>
      </c>
      <c r="D109" s="3">
        <v>45321</v>
      </c>
      <c r="E109" t="s">
        <v>1877</v>
      </c>
      <c r="F109" t="s">
        <v>1969</v>
      </c>
      <c r="G109" t="s">
        <v>167</v>
      </c>
      <c r="H109">
        <v>0</v>
      </c>
      <c r="I109" s="1">
        <v>1298</v>
      </c>
      <c r="J109" s="1">
        <v>0</v>
      </c>
      <c r="K109">
        <v>60</v>
      </c>
      <c r="L109">
        <f>IF(E109="4. Renewal - MRR",IF(I109&lt;=0,0,VLOOKUP(B109,Multipliers!A:L,MATCH(K109,Multipliers!$A$1:$L$1,0),FALSE)),VLOOKUP(B109,Multipliers!A:L,MATCH(K109,Multipliers!$A$1:$L$1,0),FALSE))</f>
        <v>0</v>
      </c>
      <c r="M109">
        <f t="shared" si="4"/>
        <v>0</v>
      </c>
      <c r="N109" s="1">
        <f>_xlfn.XLOOKUP(A109,'Product Detail'!$AG:$AG,'Product Detail'!$AH:$AH,"N/A")</f>
        <v>0</v>
      </c>
      <c r="O109" s="1">
        <f t="shared" si="5"/>
        <v>0</v>
      </c>
      <c r="P109" s="4">
        <f t="shared" si="6"/>
        <v>45352</v>
      </c>
      <c r="Q109" s="4">
        <f t="shared" si="7"/>
        <v>45413</v>
      </c>
    </row>
    <row r="110" spans="1:17" x14ac:dyDescent="0.25">
      <c r="A110" s="2">
        <v>33617</v>
      </c>
      <c r="B110" t="s">
        <v>1874</v>
      </c>
      <c r="C110" t="str">
        <f>_xlfn.XLOOKUP(B110,Multipliers!A:A,Multipliers!C:C)</f>
        <v>Jeffrey Weight</v>
      </c>
      <c r="D110" s="3">
        <v>45294</v>
      </c>
      <c r="E110" t="s">
        <v>1877</v>
      </c>
      <c r="F110" t="s">
        <v>1960</v>
      </c>
      <c r="G110" t="s">
        <v>157</v>
      </c>
      <c r="H110">
        <v>0</v>
      </c>
      <c r="I110" s="1">
        <v>256.91000000000003</v>
      </c>
      <c r="J110" s="1">
        <v>0</v>
      </c>
      <c r="K110">
        <v>12</v>
      </c>
      <c r="L110">
        <f>IF(E110="4. Renewal - MRR",IF(I110&lt;=0,0,VLOOKUP(B110,Multipliers!A:L,MATCH(K110,Multipliers!$A$1:$L$1,0),FALSE)),VLOOKUP(B110,Multipliers!A:L,MATCH(K110,Multipliers!$A$1:$L$1,0),FALSE))</f>
        <v>0.15</v>
      </c>
      <c r="M110">
        <f t="shared" si="4"/>
        <v>0</v>
      </c>
      <c r="N110" s="1">
        <f>_xlfn.XLOOKUP(A110,'Product Detail'!$AG:$AG,'Product Detail'!$AH:$AH,"N/A")</f>
        <v>3.12</v>
      </c>
      <c r="O110" s="1">
        <f t="shared" si="5"/>
        <v>38.536500000000004</v>
      </c>
      <c r="P110" s="4">
        <f t="shared" si="6"/>
        <v>45352</v>
      </c>
      <c r="Q110" s="4">
        <f t="shared" si="7"/>
        <v>45413</v>
      </c>
    </row>
    <row r="111" spans="1:17" x14ac:dyDescent="0.25">
      <c r="A111" s="2">
        <v>38561</v>
      </c>
      <c r="B111" t="s">
        <v>56</v>
      </c>
      <c r="C111" t="s">
        <v>2440</v>
      </c>
      <c r="D111" s="3">
        <v>45295</v>
      </c>
      <c r="E111" t="s">
        <v>1877</v>
      </c>
      <c r="F111" t="s">
        <v>1949</v>
      </c>
      <c r="G111" t="s">
        <v>2247</v>
      </c>
      <c r="H111">
        <v>0</v>
      </c>
      <c r="I111" s="1">
        <v>16.739999999999998</v>
      </c>
      <c r="J111" s="1">
        <v>0</v>
      </c>
      <c r="K111">
        <v>12</v>
      </c>
      <c r="L111">
        <f>IF(E111="4. Renewal - MRR",IF(I111&lt;=0,0,VLOOKUP(B111,Multipliers!A:L,MATCH(K111,Multipliers!$A$1:$L$1,0),FALSE)),VLOOKUP(B111,Multipliers!A:L,MATCH(K111,Multipliers!$A$1:$L$1,0),FALSE))</f>
        <v>0.125</v>
      </c>
      <c r="M111">
        <f t="shared" si="4"/>
        <v>0</v>
      </c>
      <c r="N111" s="1" t="str">
        <f>_xlfn.XLOOKUP(A111,'Product Detail'!$AG:$AG,'Product Detail'!$AH:$AH,"N/A")</f>
        <v>N/A</v>
      </c>
      <c r="O111" s="1">
        <f t="shared" si="5"/>
        <v>2.0924999999999998</v>
      </c>
      <c r="P111" s="4">
        <f t="shared" si="6"/>
        <v>45352</v>
      </c>
      <c r="Q111" s="4">
        <f t="shared" si="7"/>
        <v>45413</v>
      </c>
    </row>
    <row r="112" spans="1:17" x14ac:dyDescent="0.25">
      <c r="A112" s="2">
        <v>32826</v>
      </c>
      <c r="B112" t="s">
        <v>168</v>
      </c>
      <c r="C112" t="str">
        <f>_xlfn.XLOOKUP(B112,Multipliers!A:A,Multipliers!C:C)</f>
        <v>Simon Beeny</v>
      </c>
      <c r="D112" s="3">
        <v>45293</v>
      </c>
      <c r="E112" t="s">
        <v>1877</v>
      </c>
      <c r="F112" t="s">
        <v>1970</v>
      </c>
      <c r="G112" t="s">
        <v>137</v>
      </c>
      <c r="H112">
        <v>0</v>
      </c>
      <c r="I112" s="1">
        <v>3289</v>
      </c>
      <c r="J112" s="1">
        <v>0</v>
      </c>
      <c r="K112">
        <v>36</v>
      </c>
      <c r="L112">
        <f>IF(E112="4. Renewal - MRR",IF(I112&lt;=0,0,VLOOKUP(B112,Multipliers!A:L,MATCH(K112,Multipliers!$A$1:$L$1,0),FALSE)),VLOOKUP(B112,Multipliers!A:L,MATCH(K112,Multipliers!$A$1:$L$1,0),FALSE))</f>
        <v>0</v>
      </c>
      <c r="M112">
        <f t="shared" si="4"/>
        <v>0</v>
      </c>
      <c r="N112" s="1">
        <f>_xlfn.XLOOKUP(A112,'Product Detail'!$AG:$AG,'Product Detail'!$AH:$AH,"N/A")</f>
        <v>0</v>
      </c>
      <c r="O112" s="1">
        <f t="shared" si="5"/>
        <v>0</v>
      </c>
      <c r="P112" s="4">
        <f t="shared" si="6"/>
        <v>45352</v>
      </c>
      <c r="Q112" s="4">
        <f t="shared" si="7"/>
        <v>45413</v>
      </c>
    </row>
    <row r="113" spans="1:17" x14ac:dyDescent="0.25">
      <c r="A113">
        <v>38568</v>
      </c>
      <c r="B113" t="s">
        <v>47</v>
      </c>
      <c r="C113" t="str">
        <f>_xlfn.XLOOKUP(B113,Multipliers!A:A,Multipliers!C:C)</f>
        <v>John Powell</v>
      </c>
      <c r="D113" s="3">
        <v>45299</v>
      </c>
      <c r="E113" t="s">
        <v>1881</v>
      </c>
      <c r="F113" t="s">
        <v>2054</v>
      </c>
      <c r="G113" t="s">
        <v>789</v>
      </c>
      <c r="H113">
        <v>0</v>
      </c>
      <c r="I113" s="1">
        <v>0</v>
      </c>
      <c r="J113" s="1">
        <v>0</v>
      </c>
      <c r="K113">
        <v>1</v>
      </c>
      <c r="L113">
        <f>IF(E113="4. Renewal - MRR",IF(I113&lt;=0,0,VLOOKUP(B113,Multipliers!A:L,MATCH(K113,Multipliers!$A$1:$L$1,0),FALSE)),VLOOKUP(B113,Multipliers!A:L,MATCH(K113,Multipliers!$A$1:$L$1,0),FALSE))</f>
        <v>0</v>
      </c>
      <c r="M113">
        <f t="shared" si="4"/>
        <v>0</v>
      </c>
      <c r="N113" s="1">
        <f>_xlfn.XLOOKUP(A113,'Product Detail'!$AG:$AG,'Product Detail'!$AH:$AH,"N/A")</f>
        <v>7.0737000000000005</v>
      </c>
      <c r="O113" s="1">
        <f t="shared" si="5"/>
        <v>0</v>
      </c>
      <c r="P113" s="4">
        <f t="shared" si="6"/>
        <v>45352</v>
      </c>
      <c r="Q113" s="4">
        <f t="shared" si="7"/>
        <v>45413</v>
      </c>
    </row>
    <row r="114" spans="1:17" x14ac:dyDescent="0.25">
      <c r="A114" s="2">
        <v>29885</v>
      </c>
      <c r="B114" t="s">
        <v>1874</v>
      </c>
      <c r="C114" t="str">
        <f>_xlfn.XLOOKUP(B114,Multipliers!A:A,Multipliers!C:C)</f>
        <v>Jeffrey Weight</v>
      </c>
      <c r="D114" s="3">
        <v>45301</v>
      </c>
      <c r="E114" t="s">
        <v>1877</v>
      </c>
      <c r="F114" t="s">
        <v>1972</v>
      </c>
      <c r="G114" t="s">
        <v>101</v>
      </c>
      <c r="H114">
        <v>0</v>
      </c>
      <c r="I114" s="1">
        <v>308</v>
      </c>
      <c r="J114" s="1">
        <v>0</v>
      </c>
      <c r="K114">
        <v>12</v>
      </c>
      <c r="L114">
        <f>IF(E114="4. Renewal - MRR",IF(I114&lt;=0,0,VLOOKUP(B114,Multipliers!A:L,MATCH(K114,Multipliers!$A$1:$L$1,0),FALSE)),VLOOKUP(B114,Multipliers!A:L,MATCH(K114,Multipliers!$A$1:$L$1,0),FALSE))</f>
        <v>0.15</v>
      </c>
      <c r="M114">
        <f t="shared" si="4"/>
        <v>0</v>
      </c>
      <c r="N114" s="1">
        <f>_xlfn.XLOOKUP(A114,'Product Detail'!$AG:$AG,'Product Detail'!$AH:$AH,"N/A")</f>
        <v>17.248000000000001</v>
      </c>
      <c r="O114" s="1">
        <f t="shared" si="5"/>
        <v>46.199999999999996</v>
      </c>
      <c r="P114" s="4">
        <f t="shared" si="6"/>
        <v>45352</v>
      </c>
      <c r="Q114" s="4">
        <f t="shared" si="7"/>
        <v>45413</v>
      </c>
    </row>
    <row r="115" spans="1:17" x14ac:dyDescent="0.25">
      <c r="A115" s="2">
        <v>28945</v>
      </c>
      <c r="B115" t="s">
        <v>132</v>
      </c>
      <c r="C115" t="str">
        <f>_xlfn.XLOOKUP(B115,Multipliers!A:A,Multipliers!C:C)</f>
        <v>Jeffrey Weight</v>
      </c>
      <c r="D115" s="3">
        <v>45296</v>
      </c>
      <c r="E115" t="s">
        <v>1877</v>
      </c>
      <c r="F115" t="s">
        <v>1973</v>
      </c>
      <c r="G115" t="s">
        <v>67</v>
      </c>
      <c r="H115">
        <v>0</v>
      </c>
      <c r="I115" s="1">
        <v>180</v>
      </c>
      <c r="J115" s="1">
        <v>0</v>
      </c>
      <c r="K115">
        <v>36</v>
      </c>
      <c r="L115">
        <f>IF(E115="4. Renewal - MRR",IF(I115&lt;=0,0,VLOOKUP(B115,Multipliers!A:L,MATCH(K115,Multipliers!$A$1:$L$1,0),FALSE)),VLOOKUP(B115,Multipliers!A:L,MATCH(K115,Multipliers!$A$1:$L$1,0),FALSE))</f>
        <v>0.5</v>
      </c>
      <c r="M115">
        <f t="shared" si="4"/>
        <v>0</v>
      </c>
      <c r="N115" s="1">
        <f>_xlfn.XLOOKUP(A115,'Product Detail'!$AG:$AG,'Product Detail'!$AH:$AH,"N/A")</f>
        <v>226.75920000000002</v>
      </c>
      <c r="O115" s="1">
        <f t="shared" si="5"/>
        <v>90</v>
      </c>
      <c r="P115" s="4">
        <f t="shared" si="6"/>
        <v>45352</v>
      </c>
      <c r="Q115" s="4">
        <f t="shared" si="7"/>
        <v>45413</v>
      </c>
    </row>
    <row r="116" spans="1:17" x14ac:dyDescent="0.25">
      <c r="A116">
        <v>38572</v>
      </c>
      <c r="B116" t="s">
        <v>43</v>
      </c>
      <c r="C116" t="str">
        <f>_xlfn.XLOOKUP(B116,Multipliers!A:A,Multipliers!C:C)</f>
        <v>John Powell</v>
      </c>
      <c r="D116" s="3">
        <v>45316</v>
      </c>
      <c r="E116" t="s">
        <v>1877</v>
      </c>
      <c r="F116" t="s">
        <v>2100</v>
      </c>
      <c r="G116" t="s">
        <v>795</v>
      </c>
      <c r="H116">
        <v>0</v>
      </c>
      <c r="I116" s="1">
        <v>0</v>
      </c>
      <c r="J116" s="1">
        <v>0</v>
      </c>
      <c r="K116">
        <v>1</v>
      </c>
      <c r="L116">
        <f>IF(E116="4. Renewal - MRR",IF(I116&lt;=0,0,VLOOKUP(B116,Multipliers!A:L,MATCH(K116,Multipliers!$A$1:$L$1,0),FALSE)),VLOOKUP(B116,Multipliers!A:L,MATCH(K116,Multipliers!$A$1:$L$1,0),FALSE))</f>
        <v>0</v>
      </c>
      <c r="M116">
        <f t="shared" si="4"/>
        <v>0</v>
      </c>
      <c r="N116" s="1">
        <f>_xlfn.XLOOKUP(A116,'Product Detail'!$AG:$AG,'Product Detail'!$AH:$AH,"N/A")</f>
        <v>66.002499999999998</v>
      </c>
      <c r="O116" s="1">
        <f t="shared" si="5"/>
        <v>0</v>
      </c>
      <c r="P116" s="4">
        <f t="shared" si="6"/>
        <v>45352</v>
      </c>
      <c r="Q116" s="4">
        <f t="shared" si="7"/>
        <v>45413</v>
      </c>
    </row>
    <row r="117" spans="1:17" x14ac:dyDescent="0.25">
      <c r="A117" s="2">
        <v>37781</v>
      </c>
      <c r="B117" t="s">
        <v>105</v>
      </c>
      <c r="C117" t="str">
        <f>_xlfn.XLOOKUP(B117,Multipliers!A:A,Multipliers!C:C)</f>
        <v>Luis Blanco</v>
      </c>
      <c r="D117" s="3">
        <v>45317</v>
      </c>
      <c r="E117" t="s">
        <v>1880</v>
      </c>
      <c r="F117" t="s">
        <v>1914</v>
      </c>
      <c r="G117" t="s">
        <v>395</v>
      </c>
      <c r="H117">
        <v>0</v>
      </c>
      <c r="I117" s="1">
        <v>0</v>
      </c>
      <c r="J117" s="1">
        <v>0</v>
      </c>
      <c r="K117">
        <v>1</v>
      </c>
      <c r="L117">
        <f>IF(E117="4. Renewal - MRR",IF(I117&lt;=0,0,VLOOKUP(B117,Multipliers!A:L,MATCH(K117,Multipliers!$A$1:$L$1,0),FALSE)),VLOOKUP(B117,Multipliers!A:L,MATCH(K117,Multipliers!$A$1:$L$1,0),FALSE))</f>
        <v>0</v>
      </c>
      <c r="M117">
        <f t="shared" si="4"/>
        <v>0</v>
      </c>
      <c r="N117" s="1">
        <f>_xlfn.XLOOKUP(A117,'Product Detail'!$AG:$AG,'Product Detail'!$AH:$AH,"N/A")</f>
        <v>277.92</v>
      </c>
      <c r="O117" s="1">
        <f t="shared" si="5"/>
        <v>0</v>
      </c>
      <c r="P117" s="4">
        <f t="shared" si="6"/>
        <v>45352</v>
      </c>
      <c r="Q117" s="4">
        <f t="shared" si="7"/>
        <v>45413</v>
      </c>
    </row>
    <row r="118" spans="1:17" x14ac:dyDescent="0.25">
      <c r="A118" s="2">
        <v>37606</v>
      </c>
      <c r="B118" t="s">
        <v>150</v>
      </c>
      <c r="C118" t="str">
        <f>_xlfn.XLOOKUP(B118,Multipliers!A:A,Multipliers!C:C)</f>
        <v>Jeffrey Weight</v>
      </c>
      <c r="D118" s="3">
        <v>45293</v>
      </c>
      <c r="E118" t="s">
        <v>1877</v>
      </c>
      <c r="F118" t="s">
        <v>1922</v>
      </c>
      <c r="G118" t="s">
        <v>331</v>
      </c>
      <c r="H118">
        <v>0</v>
      </c>
      <c r="I118" s="1">
        <v>0</v>
      </c>
      <c r="J118" s="1">
        <v>0</v>
      </c>
      <c r="K118">
        <v>0</v>
      </c>
      <c r="L118">
        <f>IF(E118="4. Renewal - MRR",IF(I118&lt;=0,0,VLOOKUP(B118,Multipliers!A:L,MATCH(K118,Multipliers!$A$1:$L$1,0),FALSE)),VLOOKUP(B118,Multipliers!A:L,MATCH(K118,Multipliers!$A$1:$L$1,0),FALSE))</f>
        <v>0</v>
      </c>
      <c r="M118">
        <f t="shared" si="4"/>
        <v>0</v>
      </c>
      <c r="N118" s="1">
        <f>_xlfn.XLOOKUP(A118,'Product Detail'!$AG:$AG,'Product Detail'!$AH:$AH,"N/A")</f>
        <v>83.065600000000018</v>
      </c>
      <c r="O118" s="1">
        <f t="shared" si="5"/>
        <v>0</v>
      </c>
      <c r="P118" s="4">
        <f t="shared" si="6"/>
        <v>45352</v>
      </c>
      <c r="Q118" s="4">
        <f t="shared" si="7"/>
        <v>45413</v>
      </c>
    </row>
    <row r="119" spans="1:17" x14ac:dyDescent="0.25">
      <c r="A119">
        <v>38573</v>
      </c>
      <c r="B119" t="s">
        <v>43</v>
      </c>
      <c r="C119" t="str">
        <f>_xlfn.XLOOKUP(B119,Multipliers!A:A,Multipliers!C:C)</f>
        <v>John Powell</v>
      </c>
      <c r="D119" s="3">
        <v>45295</v>
      </c>
      <c r="E119" t="s">
        <v>1877</v>
      </c>
      <c r="F119" t="s">
        <v>1962</v>
      </c>
      <c r="G119" t="s">
        <v>798</v>
      </c>
      <c r="H119">
        <v>0</v>
      </c>
      <c r="I119" s="1">
        <v>0</v>
      </c>
      <c r="J119" s="1">
        <v>0</v>
      </c>
      <c r="K119">
        <v>1</v>
      </c>
      <c r="L119">
        <f>IF(E119="4. Renewal - MRR",IF(I119&lt;=0,0,VLOOKUP(B119,Multipliers!A:L,MATCH(K119,Multipliers!$A$1:$L$1,0),FALSE)),VLOOKUP(B119,Multipliers!A:L,MATCH(K119,Multipliers!$A$1:$L$1,0),FALSE))</f>
        <v>0</v>
      </c>
      <c r="M119">
        <f t="shared" si="4"/>
        <v>0</v>
      </c>
      <c r="N119" s="1">
        <f>_xlfn.XLOOKUP(A119,'Product Detail'!$AG:$AG,'Product Detail'!$AH:$AH,"N/A")</f>
        <v>16.434750000000005</v>
      </c>
      <c r="O119" s="1">
        <f t="shared" si="5"/>
        <v>0</v>
      </c>
      <c r="P119" s="4">
        <f t="shared" si="6"/>
        <v>45352</v>
      </c>
      <c r="Q119" s="4">
        <f t="shared" si="7"/>
        <v>45413</v>
      </c>
    </row>
    <row r="120" spans="1:17" x14ac:dyDescent="0.25">
      <c r="A120" s="2">
        <v>38598</v>
      </c>
      <c r="B120" t="s">
        <v>43</v>
      </c>
      <c r="C120" t="s">
        <v>2441</v>
      </c>
      <c r="D120" s="3">
        <v>45296</v>
      </c>
      <c r="E120" t="s">
        <v>1877</v>
      </c>
      <c r="F120" t="s">
        <v>1936</v>
      </c>
      <c r="G120" t="s">
        <v>842</v>
      </c>
      <c r="H120">
        <v>0</v>
      </c>
      <c r="I120" s="1">
        <v>45</v>
      </c>
      <c r="J120" s="1">
        <v>0</v>
      </c>
      <c r="K120">
        <v>36</v>
      </c>
      <c r="L120">
        <f>IF(E120="4. Renewal - MRR",IF(I120&lt;=0,0,VLOOKUP(B120,Multipliers!A:L,MATCH(K120,Multipliers!$A$1:$L$1,0),FALSE)),VLOOKUP(B120,Multipliers!A:L,MATCH(K120,Multipliers!$A$1:$L$1,0),FALSE))</f>
        <v>0.5</v>
      </c>
      <c r="M120">
        <f t="shared" si="4"/>
        <v>0</v>
      </c>
      <c r="N120" s="1">
        <f>_xlfn.XLOOKUP(A120,'Product Detail'!$AG:$AG,'Product Detail'!$AH:$AH,"N/A")</f>
        <v>12</v>
      </c>
      <c r="O120" s="1">
        <f t="shared" si="5"/>
        <v>22.5</v>
      </c>
      <c r="P120" s="4">
        <f t="shared" si="6"/>
        <v>45352</v>
      </c>
      <c r="Q120" s="4">
        <f t="shared" si="7"/>
        <v>45413</v>
      </c>
    </row>
    <row r="121" spans="1:17" x14ac:dyDescent="0.25">
      <c r="A121" s="2">
        <v>38615</v>
      </c>
      <c r="B121" t="s">
        <v>56</v>
      </c>
      <c r="C121" t="s">
        <v>2441</v>
      </c>
      <c r="D121" s="3">
        <v>45310</v>
      </c>
      <c r="E121" t="s">
        <v>1879</v>
      </c>
      <c r="F121" t="s">
        <v>1945</v>
      </c>
      <c r="G121" t="s">
        <v>848</v>
      </c>
      <c r="H121" t="s">
        <v>2390</v>
      </c>
      <c r="I121" s="1">
        <v>0</v>
      </c>
      <c r="J121" s="1">
        <v>1184</v>
      </c>
      <c r="K121">
        <v>36</v>
      </c>
      <c r="L121">
        <f>IF(E121="4. Renewal - MRR",IF(I121&lt;=0,0,VLOOKUP(B121,Multipliers!A:L,MATCH(K121,Multipliers!$A$1:$L$1,0),FALSE)),VLOOKUP(B121,Multipliers!A:L,MATCH(K121,Multipliers!$A$1:$L$1,0),FALSE))</f>
        <v>0</v>
      </c>
      <c r="M121">
        <f t="shared" si="4"/>
        <v>0.25</v>
      </c>
      <c r="N121" s="1">
        <f>_xlfn.XLOOKUP(A121,'Product Detail'!$AG:$AG,'Product Detail'!$AH:$AH,"N/A")</f>
        <v>14.254</v>
      </c>
      <c r="O121" s="1">
        <f t="shared" si="5"/>
        <v>296</v>
      </c>
      <c r="P121" s="4">
        <f t="shared" si="6"/>
        <v>45352</v>
      </c>
      <c r="Q121" s="4">
        <f t="shared" si="7"/>
        <v>45413</v>
      </c>
    </row>
    <row r="122" spans="1:17" x14ac:dyDescent="0.25">
      <c r="A122">
        <v>38627</v>
      </c>
      <c r="B122" t="s">
        <v>43</v>
      </c>
      <c r="C122" t="str">
        <f>_xlfn.XLOOKUP(B122,Multipliers!A:A,Multipliers!C:C)</f>
        <v>John Powell</v>
      </c>
      <c r="D122" s="3">
        <v>45300</v>
      </c>
      <c r="E122" t="s">
        <v>1877</v>
      </c>
      <c r="F122" t="s">
        <v>2017</v>
      </c>
      <c r="G122" t="s">
        <v>868</v>
      </c>
      <c r="H122">
        <v>0</v>
      </c>
      <c r="I122" s="1">
        <v>0</v>
      </c>
      <c r="J122" s="1">
        <v>0</v>
      </c>
      <c r="K122">
        <v>1</v>
      </c>
      <c r="L122">
        <f>IF(E122="4. Renewal - MRR",IF(I122&lt;=0,0,VLOOKUP(B122,Multipliers!A:L,MATCH(K122,Multipliers!$A$1:$L$1,0),FALSE)),VLOOKUP(B122,Multipliers!A:L,MATCH(K122,Multipliers!$A$1:$L$1,0),FALSE))</f>
        <v>0</v>
      </c>
      <c r="M122">
        <f t="shared" si="4"/>
        <v>0</v>
      </c>
      <c r="N122" s="1">
        <f>_xlfn.XLOOKUP(A122,'Product Detail'!$AG:$AG,'Product Detail'!$AH:$AH,"N/A")</f>
        <v>39.620200000000011</v>
      </c>
      <c r="O122" s="1">
        <f t="shared" si="5"/>
        <v>0</v>
      </c>
      <c r="P122" s="4">
        <f t="shared" si="6"/>
        <v>45352</v>
      </c>
      <c r="Q122" s="4">
        <f t="shared" si="7"/>
        <v>45413</v>
      </c>
    </row>
    <row r="123" spans="1:17" x14ac:dyDescent="0.25">
      <c r="A123" s="2">
        <v>38630</v>
      </c>
      <c r="B123" t="s">
        <v>47</v>
      </c>
      <c r="C123" t="s">
        <v>2441</v>
      </c>
      <c r="D123" s="3">
        <v>45296</v>
      </c>
      <c r="E123" t="s">
        <v>1877</v>
      </c>
      <c r="F123" t="s">
        <v>1909</v>
      </c>
      <c r="G123" t="s">
        <v>2240</v>
      </c>
      <c r="H123">
        <v>0</v>
      </c>
      <c r="I123" s="1">
        <v>4.7300000000000004</v>
      </c>
      <c r="J123" s="1">
        <v>0</v>
      </c>
      <c r="K123">
        <v>12</v>
      </c>
      <c r="L123">
        <f>IF(E123="4. Renewal - MRR",IF(I123&lt;=0,0,VLOOKUP(B123,Multipliers!A:L,MATCH(K123,Multipliers!$A$1:$L$1,0),FALSE)),VLOOKUP(B123,Multipliers!A:L,MATCH(K123,Multipliers!$A$1:$L$1,0),FALSE))</f>
        <v>0.125</v>
      </c>
      <c r="M123">
        <f t="shared" si="4"/>
        <v>0</v>
      </c>
      <c r="N123" s="1" t="str">
        <f>_xlfn.XLOOKUP(A123,'Product Detail'!$AG:$AG,'Product Detail'!$AH:$AH,"N/A")</f>
        <v>N/A</v>
      </c>
      <c r="O123" s="1">
        <f t="shared" si="5"/>
        <v>0.59125000000000005</v>
      </c>
      <c r="P123" s="4">
        <f t="shared" si="6"/>
        <v>45352</v>
      </c>
      <c r="Q123" s="4">
        <f t="shared" si="7"/>
        <v>45413</v>
      </c>
    </row>
    <row r="124" spans="1:17" x14ac:dyDescent="0.25">
      <c r="A124">
        <v>39536</v>
      </c>
      <c r="B124" t="s">
        <v>1874</v>
      </c>
      <c r="C124" t="str">
        <f>_xlfn.XLOOKUP(B124,Multipliers!A:A,Multipliers!C:C)</f>
        <v>Jeffrey Weight</v>
      </c>
      <c r="D124" s="3">
        <v>45322</v>
      </c>
      <c r="E124" t="s">
        <v>1881</v>
      </c>
      <c r="F124" t="s">
        <v>1980</v>
      </c>
      <c r="G124" t="s">
        <v>1826</v>
      </c>
      <c r="H124">
        <v>0</v>
      </c>
      <c r="I124" s="1">
        <v>0</v>
      </c>
      <c r="J124" s="1">
        <v>0</v>
      </c>
      <c r="K124">
        <v>1</v>
      </c>
      <c r="L124">
        <f>IF(E124="4. Renewal - MRR",IF(I124&lt;=0,0,VLOOKUP(B124,Multipliers!A:L,MATCH(K124,Multipliers!$A$1:$L$1,0),FALSE)),VLOOKUP(B124,Multipliers!A:L,MATCH(K124,Multipliers!$A$1:$L$1,0),FALSE))</f>
        <v>0</v>
      </c>
      <c r="M124">
        <f t="shared" si="4"/>
        <v>0</v>
      </c>
      <c r="N124" s="1">
        <f>_xlfn.XLOOKUP(A124,'Product Detail'!$AG:$AG,'Product Detail'!$AH:$AH,"N/A")</f>
        <v>16.000800000000002</v>
      </c>
      <c r="O124" s="1">
        <f t="shared" si="5"/>
        <v>0</v>
      </c>
      <c r="P124" s="4">
        <f t="shared" si="6"/>
        <v>45352</v>
      </c>
      <c r="Q124" s="4">
        <f t="shared" si="7"/>
        <v>45413</v>
      </c>
    </row>
    <row r="125" spans="1:17" x14ac:dyDescent="0.25">
      <c r="A125">
        <v>39502</v>
      </c>
      <c r="B125" t="s">
        <v>132</v>
      </c>
      <c r="C125" t="str">
        <f>_xlfn.XLOOKUP(B125,Multipliers!A:A,Multipliers!C:C)</f>
        <v>Jeffrey Weight</v>
      </c>
      <c r="D125" s="3">
        <v>45322</v>
      </c>
      <c r="E125" t="s">
        <v>1877</v>
      </c>
      <c r="F125" t="s">
        <v>1981</v>
      </c>
      <c r="G125" t="s">
        <v>1822</v>
      </c>
      <c r="H125">
        <v>0</v>
      </c>
      <c r="I125" s="1">
        <v>0</v>
      </c>
      <c r="J125" s="1">
        <v>0</v>
      </c>
      <c r="K125">
        <v>1</v>
      </c>
      <c r="L125">
        <f>IF(E125="4. Renewal - MRR",IF(I125&lt;=0,0,VLOOKUP(B125,Multipliers!A:L,MATCH(K125,Multipliers!$A$1:$L$1,0),FALSE)),VLOOKUP(B125,Multipliers!A:L,MATCH(K125,Multipliers!$A$1:$L$1,0),FALSE))</f>
        <v>0</v>
      </c>
      <c r="M125">
        <f t="shared" si="4"/>
        <v>0</v>
      </c>
      <c r="N125" s="1">
        <f>_xlfn.XLOOKUP(A125,'Product Detail'!$AG:$AG,'Product Detail'!$AH:$AH,"N/A")</f>
        <v>3.3456000000000006</v>
      </c>
      <c r="O125" s="1">
        <f t="shared" si="5"/>
        <v>0</v>
      </c>
      <c r="P125" s="4">
        <f t="shared" si="6"/>
        <v>45352</v>
      </c>
      <c r="Q125" s="4">
        <f t="shared" si="7"/>
        <v>45413</v>
      </c>
    </row>
    <row r="126" spans="1:17" x14ac:dyDescent="0.25">
      <c r="A126">
        <v>39496</v>
      </c>
      <c r="B126" t="s">
        <v>132</v>
      </c>
      <c r="C126" t="str">
        <f>_xlfn.XLOOKUP(B126,Multipliers!A:A,Multipliers!C:C)</f>
        <v>Jeffrey Weight</v>
      </c>
      <c r="D126" s="3">
        <v>45322</v>
      </c>
      <c r="E126" t="s">
        <v>1877</v>
      </c>
      <c r="F126" t="s">
        <v>1982</v>
      </c>
      <c r="G126" t="s">
        <v>1819</v>
      </c>
      <c r="H126">
        <v>0</v>
      </c>
      <c r="I126" s="1">
        <v>0</v>
      </c>
      <c r="J126" s="1">
        <v>0</v>
      </c>
      <c r="K126">
        <v>1</v>
      </c>
      <c r="L126">
        <f>IF(E126="4. Renewal - MRR",IF(I126&lt;=0,0,VLOOKUP(B126,Multipliers!A:L,MATCH(K126,Multipliers!$A$1:$L$1,0),FALSE)),VLOOKUP(B126,Multipliers!A:L,MATCH(K126,Multipliers!$A$1:$L$1,0),FALSE))</f>
        <v>0</v>
      </c>
      <c r="M126">
        <f t="shared" si="4"/>
        <v>0</v>
      </c>
      <c r="N126" s="1">
        <f>_xlfn.XLOOKUP(A126,'Product Detail'!$AG:$AG,'Product Detail'!$AH:$AH,"N/A")</f>
        <v>1.7639999999999998</v>
      </c>
      <c r="O126" s="1">
        <f t="shared" si="5"/>
        <v>0</v>
      </c>
      <c r="P126" s="4">
        <f t="shared" si="6"/>
        <v>45352</v>
      </c>
      <c r="Q126" s="4">
        <f t="shared" si="7"/>
        <v>45413</v>
      </c>
    </row>
    <row r="127" spans="1:17" x14ac:dyDescent="0.25">
      <c r="A127">
        <v>39488</v>
      </c>
      <c r="B127" t="s">
        <v>132</v>
      </c>
      <c r="C127" t="str">
        <f>_xlfn.XLOOKUP(B127,Multipliers!A:A,Multipliers!C:C)</f>
        <v>Jeffrey Weight</v>
      </c>
      <c r="D127" s="3">
        <v>45321</v>
      </c>
      <c r="E127" t="s">
        <v>1877</v>
      </c>
      <c r="F127" t="s">
        <v>1983</v>
      </c>
      <c r="G127" t="s">
        <v>1818</v>
      </c>
      <c r="H127">
        <v>0</v>
      </c>
      <c r="I127" s="1">
        <v>0</v>
      </c>
      <c r="J127" s="1">
        <v>0</v>
      </c>
      <c r="K127">
        <v>1</v>
      </c>
      <c r="L127">
        <f>IF(E127="4. Renewal - MRR",IF(I127&lt;=0,0,VLOOKUP(B127,Multipliers!A:L,MATCH(K127,Multipliers!$A$1:$L$1,0),FALSE)),VLOOKUP(B127,Multipliers!A:L,MATCH(K127,Multipliers!$A$1:$L$1,0),FALSE))</f>
        <v>0</v>
      </c>
      <c r="M127">
        <f t="shared" si="4"/>
        <v>0</v>
      </c>
      <c r="N127" s="1">
        <f>_xlfn.XLOOKUP(A127,'Product Detail'!$AG:$AG,'Product Detail'!$AH:$AH,"N/A")</f>
        <v>23.080000000000002</v>
      </c>
      <c r="O127" s="1">
        <f t="shared" si="5"/>
        <v>0</v>
      </c>
      <c r="P127" s="4">
        <f t="shared" si="6"/>
        <v>45352</v>
      </c>
      <c r="Q127" s="4">
        <f t="shared" si="7"/>
        <v>45413</v>
      </c>
    </row>
    <row r="128" spans="1:17" x14ac:dyDescent="0.25">
      <c r="A128">
        <v>38642</v>
      </c>
      <c r="B128" t="s">
        <v>56</v>
      </c>
      <c r="C128" t="str">
        <f>_xlfn.XLOOKUP(B128,Multipliers!A:A,Multipliers!C:C)</f>
        <v>John Powell</v>
      </c>
      <c r="D128" s="3">
        <v>45310</v>
      </c>
      <c r="E128" t="s">
        <v>1877</v>
      </c>
      <c r="F128" t="s">
        <v>1945</v>
      </c>
      <c r="G128" t="s">
        <v>893</v>
      </c>
      <c r="H128">
        <v>0</v>
      </c>
      <c r="I128" s="1">
        <v>0</v>
      </c>
      <c r="J128" s="1">
        <v>0</v>
      </c>
      <c r="K128">
        <v>1</v>
      </c>
      <c r="L128">
        <f>IF(E128="4. Renewal - MRR",IF(I128&lt;=0,0,VLOOKUP(B128,Multipliers!A:L,MATCH(K128,Multipliers!$A$1:$L$1,0),FALSE)),VLOOKUP(B128,Multipliers!A:L,MATCH(K128,Multipliers!$A$1:$L$1,0),FALSE))</f>
        <v>0</v>
      </c>
      <c r="M128">
        <f t="shared" si="4"/>
        <v>0</v>
      </c>
      <c r="N128" s="1">
        <f>_xlfn.XLOOKUP(A128,'Product Detail'!$AG:$AG,'Product Detail'!$AH:$AH,"N/A")</f>
        <v>483.94000000000005</v>
      </c>
      <c r="O128" s="1">
        <f t="shared" si="5"/>
        <v>0</v>
      </c>
      <c r="P128" s="4">
        <f t="shared" si="6"/>
        <v>45352</v>
      </c>
      <c r="Q128" s="4">
        <f t="shared" si="7"/>
        <v>45413</v>
      </c>
    </row>
    <row r="129" spans="1:17" x14ac:dyDescent="0.25">
      <c r="A129">
        <v>39469</v>
      </c>
      <c r="B129" t="s">
        <v>132</v>
      </c>
      <c r="C129" t="str">
        <f>_xlfn.XLOOKUP(B129,Multipliers!A:A,Multipliers!C:C)</f>
        <v>Jeffrey Weight</v>
      </c>
      <c r="D129" s="3">
        <v>45321</v>
      </c>
      <c r="E129" t="s">
        <v>1877</v>
      </c>
      <c r="F129" t="s">
        <v>1983</v>
      </c>
      <c r="G129" t="s">
        <v>1811</v>
      </c>
      <c r="H129">
        <v>0</v>
      </c>
      <c r="I129" s="1">
        <v>0</v>
      </c>
      <c r="J129" s="1">
        <v>0</v>
      </c>
      <c r="K129">
        <v>1</v>
      </c>
      <c r="L129">
        <f>IF(E129="4. Renewal - MRR",IF(I129&lt;=0,0,VLOOKUP(B129,Multipliers!A:L,MATCH(K129,Multipliers!$A$1:$L$1,0),FALSE)),VLOOKUP(B129,Multipliers!A:L,MATCH(K129,Multipliers!$A$1:$L$1,0),FALSE))</f>
        <v>0</v>
      </c>
      <c r="M129">
        <f t="shared" si="4"/>
        <v>0</v>
      </c>
      <c r="N129" s="1">
        <f>_xlfn.XLOOKUP(A129,'Product Detail'!$AG:$AG,'Product Detail'!$AH:$AH,"N/A")</f>
        <v>23.080000000000002</v>
      </c>
      <c r="O129" s="1">
        <f t="shared" si="5"/>
        <v>0</v>
      </c>
      <c r="P129" s="4">
        <f t="shared" si="6"/>
        <v>45352</v>
      </c>
      <c r="Q129" s="4">
        <f t="shared" si="7"/>
        <v>45413</v>
      </c>
    </row>
    <row r="130" spans="1:17" x14ac:dyDescent="0.25">
      <c r="A130">
        <v>39463</v>
      </c>
      <c r="B130" t="s">
        <v>107</v>
      </c>
      <c r="C130" t="str">
        <f>_xlfn.XLOOKUP(B130,Multipliers!A:A,Multipliers!C:C)</f>
        <v>Luis Blanco</v>
      </c>
      <c r="D130" s="3">
        <v>45322</v>
      </c>
      <c r="E130" t="s">
        <v>1877</v>
      </c>
      <c r="F130" t="s">
        <v>1984</v>
      </c>
      <c r="G130" t="s">
        <v>1788</v>
      </c>
      <c r="H130">
        <v>0</v>
      </c>
      <c r="I130" s="1">
        <v>0</v>
      </c>
      <c r="J130" s="1">
        <v>0</v>
      </c>
      <c r="K130">
        <v>1</v>
      </c>
      <c r="L130">
        <f>IF(E130="4. Renewal - MRR",IF(I130&lt;=0,0,VLOOKUP(B130,Multipliers!A:L,MATCH(K130,Multipliers!$A$1:$L$1,0),FALSE)),VLOOKUP(B130,Multipliers!A:L,MATCH(K130,Multipliers!$A$1:$L$1,0),FALSE))</f>
        <v>0</v>
      </c>
      <c r="M130">
        <f t="shared" ref="M130:M193" si="8">IF(E130="4. Renewal - MRR",IF(K130&gt;24,0.25,0),0)</f>
        <v>0</v>
      </c>
      <c r="N130" s="1">
        <f>_xlfn.XLOOKUP(A130,'Product Detail'!$AG:$AG,'Product Detail'!$AH:$AH,"N/A")</f>
        <v>1.4727999999999997</v>
      </c>
      <c r="O130" s="1">
        <f t="shared" ref="O130:O193" si="9">I130*L130+J130*M130</f>
        <v>0</v>
      </c>
      <c r="P130" s="4">
        <f t="shared" ref="P130:P193" si="10">EOMONTH(D130,1)+1</f>
        <v>45352</v>
      </c>
      <c r="Q130" s="4">
        <f t="shared" ref="Q130:Q193" si="11">EOMONTH(D130,3)+1</f>
        <v>45413</v>
      </c>
    </row>
    <row r="131" spans="1:17" x14ac:dyDescent="0.25">
      <c r="A131">
        <v>38644</v>
      </c>
      <c r="B131" t="s">
        <v>43</v>
      </c>
      <c r="C131" t="str">
        <f>_xlfn.XLOOKUP(B131,Multipliers!A:A,Multipliers!C:C)</f>
        <v>John Powell</v>
      </c>
      <c r="D131" s="3">
        <v>45316</v>
      </c>
      <c r="E131" t="s">
        <v>1877</v>
      </c>
      <c r="F131" t="s">
        <v>2100</v>
      </c>
      <c r="G131" t="s">
        <v>899</v>
      </c>
      <c r="H131">
        <v>0</v>
      </c>
      <c r="I131" s="1">
        <v>0</v>
      </c>
      <c r="J131" s="1">
        <v>0</v>
      </c>
      <c r="K131">
        <v>1</v>
      </c>
      <c r="L131">
        <f>IF(E131="4. Renewal - MRR",IF(I131&lt;=0,0,VLOOKUP(B131,Multipliers!A:L,MATCH(K131,Multipliers!$A$1:$L$1,0),FALSE)),VLOOKUP(B131,Multipliers!A:L,MATCH(K131,Multipliers!$A$1:$L$1,0),FALSE))</f>
        <v>0</v>
      </c>
      <c r="M131">
        <f t="shared" si="8"/>
        <v>0</v>
      </c>
      <c r="N131" s="1">
        <f>_xlfn.XLOOKUP(A131,'Product Detail'!$AG:$AG,'Product Detail'!$AH:$AH,"N/A")</f>
        <v>21.192199999999996</v>
      </c>
      <c r="O131" s="1">
        <f t="shared" si="9"/>
        <v>0</v>
      </c>
      <c r="P131" s="4">
        <f t="shared" si="10"/>
        <v>45352</v>
      </c>
      <c r="Q131" s="4">
        <f t="shared" si="11"/>
        <v>45413</v>
      </c>
    </row>
    <row r="132" spans="1:17" x14ac:dyDescent="0.25">
      <c r="A132">
        <v>39453</v>
      </c>
      <c r="B132" t="s">
        <v>1874</v>
      </c>
      <c r="C132" t="str">
        <f>_xlfn.XLOOKUP(B132,Multipliers!A:A,Multipliers!C:C)</f>
        <v>Jeffrey Weight</v>
      </c>
      <c r="D132" s="3">
        <v>45322</v>
      </c>
      <c r="E132" t="s">
        <v>1877</v>
      </c>
      <c r="F132" t="s">
        <v>1986</v>
      </c>
      <c r="G132" t="s">
        <v>1782</v>
      </c>
      <c r="H132">
        <v>0</v>
      </c>
      <c r="I132" s="1">
        <v>0</v>
      </c>
      <c r="J132" s="1">
        <v>0</v>
      </c>
      <c r="K132">
        <v>1</v>
      </c>
      <c r="L132">
        <f>IF(E132="4. Renewal - MRR",IF(I132&lt;=0,0,VLOOKUP(B132,Multipliers!A:L,MATCH(K132,Multipliers!$A$1:$L$1,0),FALSE)),VLOOKUP(B132,Multipliers!A:L,MATCH(K132,Multipliers!$A$1:$L$1,0),FALSE))</f>
        <v>0</v>
      </c>
      <c r="M132">
        <f t="shared" si="8"/>
        <v>0</v>
      </c>
      <c r="N132" s="1">
        <f>_xlfn.XLOOKUP(A132,'Product Detail'!$AG:$AG,'Product Detail'!$AH:$AH,"N/A")</f>
        <v>2.4375999999999998</v>
      </c>
      <c r="O132" s="1">
        <f t="shared" si="9"/>
        <v>0</v>
      </c>
      <c r="P132" s="4">
        <f t="shared" si="10"/>
        <v>45352</v>
      </c>
      <c r="Q132" s="4">
        <f t="shared" si="11"/>
        <v>45413</v>
      </c>
    </row>
    <row r="133" spans="1:17" x14ac:dyDescent="0.25">
      <c r="A133" s="2">
        <v>38650</v>
      </c>
      <c r="B133" t="s">
        <v>47</v>
      </c>
      <c r="C133" t="s">
        <v>2440</v>
      </c>
      <c r="D133" s="3">
        <v>45316</v>
      </c>
      <c r="E133" t="s">
        <v>1878</v>
      </c>
      <c r="F133" t="s">
        <v>1943</v>
      </c>
      <c r="G133" t="s">
        <v>2238</v>
      </c>
      <c r="H133">
        <v>0</v>
      </c>
      <c r="I133" s="1">
        <v>1178.8800000000001</v>
      </c>
      <c r="J133" s="1">
        <v>0</v>
      </c>
      <c r="K133">
        <v>24</v>
      </c>
      <c r="L133">
        <f>IF(E133="4. Renewal - MRR",IF(I133&lt;=0,0,VLOOKUP(B133,Multipliers!A:L,MATCH(K133,Multipliers!$A$1:$L$1,0),FALSE)),VLOOKUP(B133,Multipliers!A:L,MATCH(K133,Multipliers!$A$1:$L$1,0),FALSE))</f>
        <v>0.125</v>
      </c>
      <c r="M133">
        <f t="shared" si="8"/>
        <v>0</v>
      </c>
      <c r="N133" s="1" t="str">
        <f>_xlfn.XLOOKUP(A133,'Product Detail'!$AG:$AG,'Product Detail'!$AH:$AH,"N/A")</f>
        <v>N/A</v>
      </c>
      <c r="O133" s="1">
        <f t="shared" si="9"/>
        <v>147.36000000000001</v>
      </c>
      <c r="P133" s="4">
        <f t="shared" si="10"/>
        <v>45352</v>
      </c>
      <c r="Q133" s="4">
        <f t="shared" si="11"/>
        <v>45413</v>
      </c>
    </row>
    <row r="134" spans="1:17" x14ac:dyDescent="0.25">
      <c r="A134">
        <v>38670</v>
      </c>
      <c r="B134" t="s">
        <v>43</v>
      </c>
      <c r="C134" t="str">
        <f>_xlfn.XLOOKUP(B134,Multipliers!A:A,Multipliers!C:C)</f>
        <v>John Powell</v>
      </c>
      <c r="D134" s="3">
        <v>45299</v>
      </c>
      <c r="E134" t="s">
        <v>1877</v>
      </c>
      <c r="F134" t="s">
        <v>2034</v>
      </c>
      <c r="G134" t="s">
        <v>923</v>
      </c>
      <c r="H134">
        <v>0</v>
      </c>
      <c r="I134" s="1">
        <v>0</v>
      </c>
      <c r="J134" s="1">
        <v>0</v>
      </c>
      <c r="K134">
        <v>1</v>
      </c>
      <c r="L134">
        <f>IF(E134="4. Renewal - MRR",IF(I134&lt;=0,0,VLOOKUP(B134,Multipliers!A:L,MATCH(K134,Multipliers!$A$1:$L$1,0),FALSE)),VLOOKUP(B134,Multipliers!A:L,MATCH(K134,Multipliers!$A$1:$L$1,0),FALSE))</f>
        <v>0</v>
      </c>
      <c r="M134">
        <f t="shared" si="8"/>
        <v>0</v>
      </c>
      <c r="N134" s="1">
        <f>_xlfn.XLOOKUP(A134,'Product Detail'!$AG:$AG,'Product Detail'!$AH:$AH,"N/A")</f>
        <v>4.8450000000000006</v>
      </c>
      <c r="O134" s="1">
        <f t="shared" si="9"/>
        <v>0</v>
      </c>
      <c r="P134" s="4">
        <f t="shared" si="10"/>
        <v>45352</v>
      </c>
      <c r="Q134" s="4">
        <f t="shared" si="11"/>
        <v>45413</v>
      </c>
    </row>
    <row r="135" spans="1:17" x14ac:dyDescent="0.25">
      <c r="A135">
        <v>39440</v>
      </c>
      <c r="B135" t="s">
        <v>132</v>
      </c>
      <c r="C135" t="str">
        <f>_xlfn.XLOOKUP(B135,Multipliers!A:A,Multipliers!C:C)</f>
        <v>Jeffrey Weight</v>
      </c>
      <c r="D135" s="3">
        <v>45320</v>
      </c>
      <c r="E135" t="s">
        <v>1877</v>
      </c>
      <c r="F135" t="s">
        <v>1989</v>
      </c>
      <c r="G135" t="s">
        <v>1770</v>
      </c>
      <c r="H135">
        <v>0</v>
      </c>
      <c r="I135" s="1">
        <v>0</v>
      </c>
      <c r="J135" s="1">
        <v>0</v>
      </c>
      <c r="K135">
        <v>1</v>
      </c>
      <c r="L135">
        <f>IF(E135="4. Renewal - MRR",IF(I135&lt;=0,0,VLOOKUP(B135,Multipliers!A:L,MATCH(K135,Multipliers!$A$1:$L$1,0),FALSE)),VLOOKUP(B135,Multipliers!A:L,MATCH(K135,Multipliers!$A$1:$L$1,0),FALSE))</f>
        <v>0</v>
      </c>
      <c r="M135">
        <f t="shared" si="8"/>
        <v>0</v>
      </c>
      <c r="N135" s="1">
        <f>_xlfn.XLOOKUP(A135,'Product Detail'!$AG:$AG,'Product Detail'!$AH:$AH,"N/A")</f>
        <v>1.9096</v>
      </c>
      <c r="O135" s="1">
        <f t="shared" si="9"/>
        <v>0</v>
      </c>
      <c r="P135" s="4">
        <f t="shared" si="10"/>
        <v>45352</v>
      </c>
      <c r="Q135" s="4">
        <f t="shared" si="11"/>
        <v>45413</v>
      </c>
    </row>
    <row r="136" spans="1:17" x14ac:dyDescent="0.25">
      <c r="A136">
        <v>39438</v>
      </c>
      <c r="B136" t="s">
        <v>107</v>
      </c>
      <c r="C136" t="str">
        <f>_xlfn.XLOOKUP(B136,Multipliers!A:A,Multipliers!C:C)</f>
        <v>Luis Blanco</v>
      </c>
      <c r="D136" s="3">
        <v>45321</v>
      </c>
      <c r="E136" t="s">
        <v>1877</v>
      </c>
      <c r="F136" t="s">
        <v>1990</v>
      </c>
      <c r="G136" t="s">
        <v>1767</v>
      </c>
      <c r="H136">
        <v>0</v>
      </c>
      <c r="I136" s="1">
        <v>0</v>
      </c>
      <c r="J136" s="1">
        <v>0</v>
      </c>
      <c r="K136">
        <v>1</v>
      </c>
      <c r="L136">
        <f>IF(E136="4. Renewal - MRR",IF(I136&lt;=0,0,VLOOKUP(B136,Multipliers!A:L,MATCH(K136,Multipliers!$A$1:$L$1,0),FALSE)),VLOOKUP(B136,Multipliers!A:L,MATCH(K136,Multipliers!$A$1:$L$1,0),FALSE))</f>
        <v>0</v>
      </c>
      <c r="M136">
        <f t="shared" si="8"/>
        <v>0</v>
      </c>
      <c r="N136" s="1">
        <f>_xlfn.XLOOKUP(A136,'Product Detail'!$AG:$AG,'Product Detail'!$AH:$AH,"N/A")</f>
        <v>2.4560000000000004</v>
      </c>
      <c r="O136" s="1">
        <f t="shared" si="9"/>
        <v>0</v>
      </c>
      <c r="P136" s="4">
        <f t="shared" si="10"/>
        <v>45352</v>
      </c>
      <c r="Q136" s="4">
        <f t="shared" si="11"/>
        <v>45413</v>
      </c>
    </row>
    <row r="137" spans="1:17" x14ac:dyDescent="0.25">
      <c r="A137">
        <v>38696</v>
      </c>
      <c r="B137" t="s">
        <v>47</v>
      </c>
      <c r="C137" t="str">
        <f>_xlfn.XLOOKUP(B137,Multipliers!A:A,Multipliers!C:C)</f>
        <v>John Powell</v>
      </c>
      <c r="D137" s="3">
        <v>45301</v>
      </c>
      <c r="E137" t="s">
        <v>1881</v>
      </c>
      <c r="F137" t="s">
        <v>1911</v>
      </c>
      <c r="G137" t="s">
        <v>982</v>
      </c>
      <c r="H137">
        <v>0</v>
      </c>
      <c r="I137" s="1">
        <v>0</v>
      </c>
      <c r="J137" s="1">
        <v>0</v>
      </c>
      <c r="K137">
        <v>1</v>
      </c>
      <c r="L137">
        <f>IF(E137="4. Renewal - MRR",IF(I137&lt;=0,0,VLOOKUP(B137,Multipliers!A:L,MATCH(K137,Multipliers!$A$1:$L$1,0),FALSE)),VLOOKUP(B137,Multipliers!A:L,MATCH(K137,Multipliers!$A$1:$L$1,0),FALSE))</f>
        <v>0</v>
      </c>
      <c r="M137">
        <f t="shared" si="8"/>
        <v>0</v>
      </c>
      <c r="N137" s="1">
        <f>_xlfn.XLOOKUP(A137,'Product Detail'!$AG:$AG,'Product Detail'!$AH:$AH,"N/A")</f>
        <v>75.700999999999993</v>
      </c>
      <c r="O137" s="1">
        <f t="shared" si="9"/>
        <v>0</v>
      </c>
      <c r="P137" s="4">
        <f t="shared" si="10"/>
        <v>45352</v>
      </c>
      <c r="Q137" s="4">
        <f t="shared" si="11"/>
        <v>45413</v>
      </c>
    </row>
    <row r="138" spans="1:17" x14ac:dyDescent="0.25">
      <c r="A138">
        <v>39433</v>
      </c>
      <c r="B138" t="s">
        <v>132</v>
      </c>
      <c r="C138" t="str">
        <f>_xlfn.XLOOKUP(B138,Multipliers!A:A,Multipliers!C:C)</f>
        <v>Jeffrey Weight</v>
      </c>
      <c r="D138" s="3">
        <v>45320</v>
      </c>
      <c r="E138" t="s">
        <v>1877</v>
      </c>
      <c r="F138" t="s">
        <v>1992</v>
      </c>
      <c r="G138" t="s">
        <v>1744</v>
      </c>
      <c r="H138">
        <v>0</v>
      </c>
      <c r="I138" s="1">
        <v>0</v>
      </c>
      <c r="J138" s="1">
        <v>0</v>
      </c>
      <c r="K138">
        <v>1</v>
      </c>
      <c r="L138">
        <f>IF(E138="4. Renewal - MRR",IF(I138&lt;=0,0,VLOOKUP(B138,Multipliers!A:L,MATCH(K138,Multipliers!$A$1:$L$1,0),FALSE)),VLOOKUP(B138,Multipliers!A:L,MATCH(K138,Multipliers!$A$1:$L$1,0),FALSE))</f>
        <v>0</v>
      </c>
      <c r="M138">
        <f t="shared" si="8"/>
        <v>0</v>
      </c>
      <c r="N138" s="1">
        <f>_xlfn.XLOOKUP(A138,'Product Detail'!$AG:$AG,'Product Detail'!$AH:$AH,"N/A")</f>
        <v>35.924799999999998</v>
      </c>
      <c r="O138" s="1">
        <f t="shared" si="9"/>
        <v>0</v>
      </c>
      <c r="P138" s="4">
        <f t="shared" si="10"/>
        <v>45352</v>
      </c>
      <c r="Q138" s="4">
        <f t="shared" si="11"/>
        <v>45413</v>
      </c>
    </row>
    <row r="139" spans="1:17" x14ac:dyDescent="0.25">
      <c r="A139">
        <v>39430</v>
      </c>
      <c r="B139" t="s">
        <v>132</v>
      </c>
      <c r="C139" t="str">
        <f>_xlfn.XLOOKUP(B139,Multipliers!A:A,Multipliers!C:C)</f>
        <v>Jeffrey Weight</v>
      </c>
      <c r="D139" s="3">
        <v>45320</v>
      </c>
      <c r="E139" t="s">
        <v>1877</v>
      </c>
      <c r="F139" t="s">
        <v>1993</v>
      </c>
      <c r="G139" t="s">
        <v>1741</v>
      </c>
      <c r="H139">
        <v>0</v>
      </c>
      <c r="I139" s="1">
        <v>0</v>
      </c>
      <c r="J139" s="1">
        <v>0</v>
      </c>
      <c r="K139">
        <v>1</v>
      </c>
      <c r="L139">
        <f>IF(E139="4. Renewal - MRR",IF(I139&lt;=0,0,VLOOKUP(B139,Multipliers!A:L,MATCH(K139,Multipliers!$A$1:$L$1,0),FALSE)),VLOOKUP(B139,Multipliers!A:L,MATCH(K139,Multipliers!$A$1:$L$1,0),FALSE))</f>
        <v>0</v>
      </c>
      <c r="M139">
        <f t="shared" si="8"/>
        <v>0</v>
      </c>
      <c r="N139" s="1">
        <f>_xlfn.XLOOKUP(A139,'Product Detail'!$AG:$AG,'Product Detail'!$AH:$AH,"N/A")</f>
        <v>43.726399999999998</v>
      </c>
      <c r="O139" s="1">
        <f t="shared" si="9"/>
        <v>0</v>
      </c>
      <c r="P139" s="4">
        <f t="shared" si="10"/>
        <v>45352</v>
      </c>
      <c r="Q139" s="4">
        <f t="shared" si="11"/>
        <v>45413</v>
      </c>
    </row>
    <row r="140" spans="1:17" x14ac:dyDescent="0.25">
      <c r="A140">
        <v>39429</v>
      </c>
      <c r="B140" t="s">
        <v>140</v>
      </c>
      <c r="C140" t="str">
        <f>_xlfn.XLOOKUP(B140,Multipliers!A:A,Multipliers!C:C)</f>
        <v>Jeffrey Weight</v>
      </c>
      <c r="D140" s="3">
        <v>45320</v>
      </c>
      <c r="E140" t="s">
        <v>1877</v>
      </c>
      <c r="F140" t="s">
        <v>1994</v>
      </c>
      <c r="G140" t="s">
        <v>1738</v>
      </c>
      <c r="H140">
        <v>0</v>
      </c>
      <c r="I140" s="1">
        <v>0</v>
      </c>
      <c r="J140" s="1">
        <v>0</v>
      </c>
      <c r="K140">
        <v>1</v>
      </c>
      <c r="L140">
        <f>IF(E140="4. Renewal - MRR",IF(I140&lt;=0,0,VLOOKUP(B140,Multipliers!A:L,MATCH(K140,Multipliers!$A$1:$L$1,0),FALSE)),VLOOKUP(B140,Multipliers!A:L,MATCH(K140,Multipliers!$A$1:$L$1,0),FALSE))</f>
        <v>0</v>
      </c>
      <c r="M140">
        <f t="shared" si="8"/>
        <v>0</v>
      </c>
      <c r="N140" s="1">
        <f>_xlfn.XLOOKUP(A140,'Product Detail'!$AG:$AG,'Product Detail'!$AH:$AH,"N/A")</f>
        <v>17.920000000000002</v>
      </c>
      <c r="O140" s="1">
        <f t="shared" si="9"/>
        <v>0</v>
      </c>
      <c r="P140" s="4">
        <f t="shared" si="10"/>
        <v>45352</v>
      </c>
      <c r="Q140" s="4">
        <f t="shared" si="11"/>
        <v>45413</v>
      </c>
    </row>
    <row r="141" spans="1:17" x14ac:dyDescent="0.25">
      <c r="A141">
        <v>39427</v>
      </c>
      <c r="B141" t="s">
        <v>1874</v>
      </c>
      <c r="C141" t="str">
        <f>_xlfn.XLOOKUP(B141,Multipliers!A:A,Multipliers!C:C)</f>
        <v>Jeffrey Weight</v>
      </c>
      <c r="D141" s="3">
        <v>45320</v>
      </c>
      <c r="E141" t="s">
        <v>1881</v>
      </c>
      <c r="F141" t="s">
        <v>1995</v>
      </c>
      <c r="G141" t="s">
        <v>1736</v>
      </c>
      <c r="H141">
        <v>0</v>
      </c>
      <c r="I141" s="1">
        <v>0</v>
      </c>
      <c r="J141" s="1">
        <v>0</v>
      </c>
      <c r="K141">
        <v>1</v>
      </c>
      <c r="L141">
        <f>IF(E141="4. Renewal - MRR",IF(I141&lt;=0,0,VLOOKUP(B141,Multipliers!A:L,MATCH(K141,Multipliers!$A$1:$L$1,0),FALSE)),VLOOKUP(B141,Multipliers!A:L,MATCH(K141,Multipliers!$A$1:$L$1,0),FALSE))</f>
        <v>0</v>
      </c>
      <c r="M141">
        <f t="shared" si="8"/>
        <v>0</v>
      </c>
      <c r="N141" s="1">
        <f>_xlfn.XLOOKUP(A141,'Product Detail'!$AG:$AG,'Product Detail'!$AH:$AH,"N/A")</f>
        <v>8.9008000000000003</v>
      </c>
      <c r="O141" s="1">
        <f t="shared" si="9"/>
        <v>0</v>
      </c>
      <c r="P141" s="4">
        <f t="shared" si="10"/>
        <v>45352</v>
      </c>
      <c r="Q141" s="4">
        <f t="shared" si="11"/>
        <v>45413</v>
      </c>
    </row>
    <row r="142" spans="1:17" x14ac:dyDescent="0.25">
      <c r="A142">
        <v>39426</v>
      </c>
      <c r="B142" t="s">
        <v>147</v>
      </c>
      <c r="C142" t="str">
        <f>_xlfn.XLOOKUP(B142,Multipliers!A:A,Multipliers!C:C)</f>
        <v>Jeffrey Weight</v>
      </c>
      <c r="D142" s="3">
        <v>45322</v>
      </c>
      <c r="E142" t="s">
        <v>1881</v>
      </c>
      <c r="F142" t="s">
        <v>1965</v>
      </c>
      <c r="G142" t="s">
        <v>1733</v>
      </c>
      <c r="H142">
        <v>0</v>
      </c>
      <c r="I142" s="1">
        <v>0</v>
      </c>
      <c r="J142" s="1">
        <v>0</v>
      </c>
      <c r="K142">
        <v>1</v>
      </c>
      <c r="L142">
        <f>IF(E142="4. Renewal - MRR",IF(I142&lt;=0,0,VLOOKUP(B142,Multipliers!A:L,MATCH(K142,Multipliers!$A$1:$L$1,0),FALSE)),VLOOKUP(B142,Multipliers!A:L,MATCH(K142,Multipliers!$A$1:$L$1,0),FALSE))</f>
        <v>0</v>
      </c>
      <c r="M142">
        <f t="shared" si="8"/>
        <v>0</v>
      </c>
      <c r="N142" s="1">
        <f>_xlfn.XLOOKUP(A142,'Product Detail'!$AG:$AG,'Product Detail'!$AH:$AH,"N/A")</f>
        <v>3.1855999999999951</v>
      </c>
      <c r="O142" s="1">
        <f t="shared" si="9"/>
        <v>0</v>
      </c>
      <c r="P142" s="4">
        <f t="shared" si="10"/>
        <v>45352</v>
      </c>
      <c r="Q142" s="4">
        <f t="shared" si="11"/>
        <v>45413</v>
      </c>
    </row>
    <row r="143" spans="1:17" x14ac:dyDescent="0.25">
      <c r="A143" s="2">
        <v>38700</v>
      </c>
      <c r="B143" t="s">
        <v>47</v>
      </c>
      <c r="C143" t="s">
        <v>2441</v>
      </c>
      <c r="D143" s="3">
        <v>45300</v>
      </c>
      <c r="E143" t="s">
        <v>1877</v>
      </c>
      <c r="F143" t="s">
        <v>1890</v>
      </c>
      <c r="G143" t="s">
        <v>2234</v>
      </c>
      <c r="H143">
        <v>0</v>
      </c>
      <c r="I143" s="1">
        <v>11.25</v>
      </c>
      <c r="J143" s="1">
        <v>0</v>
      </c>
      <c r="K143">
        <v>12</v>
      </c>
      <c r="L143">
        <f>IF(E143="4. Renewal - MRR",IF(I143&lt;=0,0,VLOOKUP(B143,Multipliers!A:L,MATCH(K143,Multipliers!$A$1:$L$1,0),FALSE)),VLOOKUP(B143,Multipliers!A:L,MATCH(K143,Multipliers!$A$1:$L$1,0),FALSE))</f>
        <v>0.125</v>
      </c>
      <c r="M143">
        <f t="shared" si="8"/>
        <v>0</v>
      </c>
      <c r="N143" s="1" t="str">
        <f>_xlfn.XLOOKUP(A143,'Product Detail'!$AG:$AG,'Product Detail'!$AH:$AH,"N/A")</f>
        <v>N/A</v>
      </c>
      <c r="O143" s="1">
        <f t="shared" si="9"/>
        <v>1.40625</v>
      </c>
      <c r="P143" s="4">
        <f t="shared" si="10"/>
        <v>45352</v>
      </c>
      <c r="Q143" s="4">
        <f t="shared" si="11"/>
        <v>45413</v>
      </c>
    </row>
    <row r="144" spans="1:17" x14ac:dyDescent="0.25">
      <c r="A144">
        <v>39422</v>
      </c>
      <c r="B144" t="s">
        <v>150</v>
      </c>
      <c r="C144" t="str">
        <f>_xlfn.XLOOKUP(B144,Multipliers!A:A,Multipliers!C:C)</f>
        <v>Jeffrey Weight</v>
      </c>
      <c r="D144" s="3">
        <v>45320</v>
      </c>
      <c r="E144" t="s">
        <v>1877</v>
      </c>
      <c r="F144" t="s">
        <v>1898</v>
      </c>
      <c r="G144" t="s">
        <v>1728</v>
      </c>
      <c r="H144">
        <v>0</v>
      </c>
      <c r="I144" s="1">
        <v>0</v>
      </c>
      <c r="J144" s="1">
        <v>0</v>
      </c>
      <c r="K144">
        <v>1</v>
      </c>
      <c r="L144">
        <f>IF(E144="4. Renewal - MRR",IF(I144&lt;=0,0,VLOOKUP(B144,Multipliers!A:L,MATCH(K144,Multipliers!$A$1:$L$1,0),FALSE)),VLOOKUP(B144,Multipliers!A:L,MATCH(K144,Multipliers!$A$1:$L$1,0),FALSE))</f>
        <v>0</v>
      </c>
      <c r="M144">
        <f t="shared" si="8"/>
        <v>0</v>
      </c>
      <c r="N144" s="1">
        <f>_xlfn.XLOOKUP(A144,'Product Detail'!$AG:$AG,'Product Detail'!$AH:$AH,"N/A")</f>
        <v>3.5040000000000009</v>
      </c>
      <c r="O144" s="1">
        <f t="shared" si="9"/>
        <v>0</v>
      </c>
      <c r="P144" s="4">
        <f t="shared" si="10"/>
        <v>45352</v>
      </c>
      <c r="Q144" s="4">
        <f t="shared" si="11"/>
        <v>45413</v>
      </c>
    </row>
    <row r="145" spans="1:17" x14ac:dyDescent="0.25">
      <c r="A145">
        <v>39407</v>
      </c>
      <c r="B145" t="s">
        <v>132</v>
      </c>
      <c r="C145" t="str">
        <f>_xlfn.XLOOKUP(B145,Multipliers!A:A,Multipliers!C:C)</f>
        <v>Jeffrey Weight</v>
      </c>
      <c r="D145" s="3">
        <v>45322</v>
      </c>
      <c r="E145" t="s">
        <v>1877</v>
      </c>
      <c r="F145" t="s">
        <v>1997</v>
      </c>
      <c r="G145" t="s">
        <v>1720</v>
      </c>
      <c r="H145">
        <v>0</v>
      </c>
      <c r="I145" s="1">
        <v>0</v>
      </c>
      <c r="J145" s="1">
        <v>0</v>
      </c>
      <c r="K145">
        <v>1</v>
      </c>
      <c r="L145">
        <f>IF(E145="4. Renewal - MRR",IF(I145&lt;=0,0,VLOOKUP(B145,Multipliers!A:L,MATCH(K145,Multipliers!$A$1:$L$1,0),FALSE)),VLOOKUP(B145,Multipliers!A:L,MATCH(K145,Multipliers!$A$1:$L$1,0),FALSE))</f>
        <v>0</v>
      </c>
      <c r="M145">
        <f t="shared" si="8"/>
        <v>0</v>
      </c>
      <c r="N145" s="1">
        <f>_xlfn.XLOOKUP(A145,'Product Detail'!$AG:$AG,'Product Detail'!$AH:$AH,"N/A")</f>
        <v>14.402399999999998</v>
      </c>
      <c r="O145" s="1">
        <f t="shared" si="9"/>
        <v>0</v>
      </c>
      <c r="P145" s="4">
        <f t="shared" si="10"/>
        <v>45352</v>
      </c>
      <c r="Q145" s="4">
        <f t="shared" si="11"/>
        <v>45413</v>
      </c>
    </row>
    <row r="146" spans="1:17" x14ac:dyDescent="0.25">
      <c r="A146" s="2">
        <v>38701</v>
      </c>
      <c r="B146" t="s">
        <v>43</v>
      </c>
      <c r="C146" t="s">
        <v>2440</v>
      </c>
      <c r="D146" s="3">
        <v>45300</v>
      </c>
      <c r="E146" t="s">
        <v>1877</v>
      </c>
      <c r="F146" t="s">
        <v>1938</v>
      </c>
      <c r="G146" t="s">
        <v>2233</v>
      </c>
      <c r="H146">
        <v>0</v>
      </c>
      <c r="I146" s="1">
        <v>5.4</v>
      </c>
      <c r="J146" s="1">
        <v>0</v>
      </c>
      <c r="K146">
        <v>12</v>
      </c>
      <c r="L146">
        <f>IF(E146="4. Renewal - MRR",IF(I146&lt;=0,0,VLOOKUP(B146,Multipliers!A:L,MATCH(K146,Multipliers!$A$1:$L$1,0),FALSE)),VLOOKUP(B146,Multipliers!A:L,MATCH(K146,Multipliers!$A$1:$L$1,0),FALSE))</f>
        <v>0.125</v>
      </c>
      <c r="M146">
        <f t="shared" si="8"/>
        <v>0</v>
      </c>
      <c r="N146" s="1" t="str">
        <f>_xlfn.XLOOKUP(A146,'Product Detail'!$AG:$AG,'Product Detail'!$AH:$AH,"N/A")</f>
        <v>N/A</v>
      </c>
      <c r="O146" s="1">
        <f t="shared" si="9"/>
        <v>0.67500000000000004</v>
      </c>
      <c r="P146" s="4">
        <f t="shared" si="10"/>
        <v>45352</v>
      </c>
      <c r="Q146" s="4">
        <f t="shared" si="11"/>
        <v>45413</v>
      </c>
    </row>
    <row r="147" spans="1:17" x14ac:dyDescent="0.25">
      <c r="A147">
        <v>39398</v>
      </c>
      <c r="B147" t="s">
        <v>107</v>
      </c>
      <c r="C147" t="str">
        <f>_xlfn.XLOOKUP(B147,Multipliers!A:A,Multipliers!C:C)</f>
        <v>Luis Blanco</v>
      </c>
      <c r="D147" s="3">
        <v>45322</v>
      </c>
      <c r="E147" t="s">
        <v>1877</v>
      </c>
      <c r="F147" t="s">
        <v>1885</v>
      </c>
      <c r="G147" t="s">
        <v>1710</v>
      </c>
      <c r="H147">
        <v>0</v>
      </c>
      <c r="I147" s="1">
        <v>0</v>
      </c>
      <c r="J147" s="1">
        <v>0</v>
      </c>
      <c r="K147">
        <v>1</v>
      </c>
      <c r="L147">
        <f>IF(E147="4. Renewal - MRR",IF(I147&lt;=0,0,VLOOKUP(B147,Multipliers!A:L,MATCH(K147,Multipliers!$A$1:$L$1,0),FALSE)),VLOOKUP(B147,Multipliers!A:L,MATCH(K147,Multipliers!$A$1:$L$1,0),FALSE))</f>
        <v>0</v>
      </c>
      <c r="M147">
        <f t="shared" si="8"/>
        <v>0</v>
      </c>
      <c r="N147" s="1">
        <f>_xlfn.XLOOKUP(A147,'Product Detail'!$AG:$AG,'Product Detail'!$AH:$AH,"N/A")</f>
        <v>0.24240000000000003</v>
      </c>
      <c r="O147" s="1">
        <f t="shared" si="9"/>
        <v>0</v>
      </c>
      <c r="P147" s="4">
        <f t="shared" si="10"/>
        <v>45352</v>
      </c>
      <c r="Q147" s="4">
        <f t="shared" si="11"/>
        <v>45413</v>
      </c>
    </row>
    <row r="148" spans="1:17" x14ac:dyDescent="0.25">
      <c r="A148">
        <v>39397</v>
      </c>
      <c r="B148" t="s">
        <v>140</v>
      </c>
      <c r="C148" t="str">
        <f>_xlfn.XLOOKUP(B148,Multipliers!A:A,Multipliers!C:C)</f>
        <v>Jeffrey Weight</v>
      </c>
      <c r="D148" s="3">
        <v>45320</v>
      </c>
      <c r="E148" t="s">
        <v>1877</v>
      </c>
      <c r="F148" t="s">
        <v>1998</v>
      </c>
      <c r="G148" t="s">
        <v>1709</v>
      </c>
      <c r="H148">
        <v>0</v>
      </c>
      <c r="I148" s="1">
        <v>0</v>
      </c>
      <c r="J148" s="1">
        <v>0</v>
      </c>
      <c r="K148">
        <v>1</v>
      </c>
      <c r="L148">
        <f>IF(E148="4. Renewal - MRR",IF(I148&lt;=0,0,VLOOKUP(B148,Multipliers!A:L,MATCH(K148,Multipliers!$A$1:$L$1,0),FALSE)),VLOOKUP(B148,Multipliers!A:L,MATCH(K148,Multipliers!$A$1:$L$1,0),FALSE))</f>
        <v>0</v>
      </c>
      <c r="M148">
        <f t="shared" si="8"/>
        <v>0</v>
      </c>
      <c r="N148" s="1">
        <f>_xlfn.XLOOKUP(A148,'Product Detail'!$AG:$AG,'Product Detail'!$AH:$AH,"N/A")</f>
        <v>11.158400000000002</v>
      </c>
      <c r="O148" s="1">
        <f t="shared" si="9"/>
        <v>0</v>
      </c>
      <c r="P148" s="4">
        <f t="shared" si="10"/>
        <v>45352</v>
      </c>
      <c r="Q148" s="4">
        <f t="shared" si="11"/>
        <v>45413</v>
      </c>
    </row>
    <row r="149" spans="1:17" x14ac:dyDescent="0.25">
      <c r="A149">
        <v>39395</v>
      </c>
      <c r="B149" t="s">
        <v>147</v>
      </c>
      <c r="C149" t="str">
        <f>_xlfn.XLOOKUP(B149,Multipliers!A:A,Multipliers!C:C)</f>
        <v>Jeffrey Weight</v>
      </c>
      <c r="D149" s="3">
        <v>45317</v>
      </c>
      <c r="E149" t="s">
        <v>1877</v>
      </c>
      <c r="F149" t="s">
        <v>1999</v>
      </c>
      <c r="G149" t="s">
        <v>1706</v>
      </c>
      <c r="H149">
        <v>0</v>
      </c>
      <c r="I149" s="1">
        <v>0</v>
      </c>
      <c r="J149" s="1">
        <v>0</v>
      </c>
      <c r="K149">
        <v>1</v>
      </c>
      <c r="L149">
        <f>IF(E149="4. Renewal - MRR",IF(I149&lt;=0,0,VLOOKUP(B149,Multipliers!A:L,MATCH(K149,Multipliers!$A$1:$L$1,0),FALSE)),VLOOKUP(B149,Multipliers!A:L,MATCH(K149,Multipliers!$A$1:$L$1,0),FALSE))</f>
        <v>0</v>
      </c>
      <c r="M149">
        <f t="shared" si="8"/>
        <v>0</v>
      </c>
      <c r="N149" s="1">
        <f>_xlfn.XLOOKUP(A149,'Product Detail'!$AG:$AG,'Product Detail'!$AH:$AH,"N/A")</f>
        <v>15.804</v>
      </c>
      <c r="O149" s="1">
        <f t="shared" si="9"/>
        <v>0</v>
      </c>
      <c r="P149" s="4">
        <f t="shared" si="10"/>
        <v>45352</v>
      </c>
      <c r="Q149" s="4">
        <f t="shared" si="11"/>
        <v>45413</v>
      </c>
    </row>
    <row r="150" spans="1:17" x14ac:dyDescent="0.25">
      <c r="A150" s="2">
        <v>38714</v>
      </c>
      <c r="B150" t="s">
        <v>43</v>
      </c>
      <c r="C150" t="str">
        <f>_xlfn.XLOOKUP(B150,Multipliers!A:A,Multipliers!C:C)</f>
        <v>John Powell</v>
      </c>
      <c r="D150" s="3">
        <v>45300</v>
      </c>
      <c r="E150" t="s">
        <v>1877</v>
      </c>
      <c r="F150" t="s">
        <v>1936</v>
      </c>
      <c r="G150" t="s">
        <v>2231</v>
      </c>
      <c r="H150">
        <v>0</v>
      </c>
      <c r="I150" s="1">
        <v>0</v>
      </c>
      <c r="J150" s="1">
        <v>0</v>
      </c>
      <c r="K150">
        <v>12</v>
      </c>
      <c r="L150">
        <f>IF(E150="4. Renewal - MRR",IF(I150&lt;=0,0,VLOOKUP(B150,Multipliers!A:L,MATCH(K150,Multipliers!$A$1:$L$1,0),FALSE)),VLOOKUP(B150,Multipliers!A:L,MATCH(K150,Multipliers!$A$1:$L$1,0),FALSE))</f>
        <v>0.125</v>
      </c>
      <c r="M150">
        <f t="shared" si="8"/>
        <v>0</v>
      </c>
      <c r="N150" s="1" t="str">
        <f>_xlfn.XLOOKUP(A150,'Product Detail'!$AG:$AG,'Product Detail'!$AH:$AH,"N/A")</f>
        <v>N/A</v>
      </c>
      <c r="O150" s="1">
        <f t="shared" si="9"/>
        <v>0</v>
      </c>
      <c r="P150" s="4">
        <f t="shared" si="10"/>
        <v>45352</v>
      </c>
      <c r="Q150" s="4">
        <f t="shared" si="11"/>
        <v>45413</v>
      </c>
    </row>
    <row r="151" spans="1:17" x14ac:dyDescent="0.25">
      <c r="A151">
        <v>38733</v>
      </c>
      <c r="B151" t="s">
        <v>56</v>
      </c>
      <c r="C151" t="str">
        <f>_xlfn.XLOOKUP(B151,Multipliers!A:A,Multipliers!C:C)</f>
        <v>John Powell</v>
      </c>
      <c r="D151" s="3">
        <v>45301</v>
      </c>
      <c r="E151" t="s">
        <v>1881</v>
      </c>
      <c r="F151" t="s">
        <v>2086</v>
      </c>
      <c r="G151" t="s">
        <v>1032</v>
      </c>
      <c r="H151">
        <v>0</v>
      </c>
      <c r="I151" s="1">
        <v>0</v>
      </c>
      <c r="J151" s="1">
        <v>0</v>
      </c>
      <c r="K151">
        <v>1</v>
      </c>
      <c r="L151">
        <f>IF(E151="4. Renewal - MRR",IF(I151&lt;=0,0,VLOOKUP(B151,Multipliers!A:L,MATCH(K151,Multipliers!$A$1:$L$1,0),FALSE)),VLOOKUP(B151,Multipliers!A:L,MATCH(K151,Multipliers!$A$1:$L$1,0),FALSE))</f>
        <v>0</v>
      </c>
      <c r="M151">
        <f t="shared" si="8"/>
        <v>0</v>
      </c>
      <c r="N151" s="1">
        <f>_xlfn.XLOOKUP(A151,'Product Detail'!$AG:$AG,'Product Detail'!$AH:$AH,"N/A")</f>
        <v>18.564</v>
      </c>
      <c r="O151" s="1">
        <f t="shared" si="9"/>
        <v>0</v>
      </c>
      <c r="P151" s="4">
        <f t="shared" si="10"/>
        <v>45352</v>
      </c>
      <c r="Q151" s="4">
        <f t="shared" si="11"/>
        <v>45413</v>
      </c>
    </row>
    <row r="152" spans="1:17" x14ac:dyDescent="0.25">
      <c r="A152">
        <v>38735</v>
      </c>
      <c r="B152" t="s">
        <v>56</v>
      </c>
      <c r="C152" t="str">
        <f>_xlfn.XLOOKUP(B152,Multipliers!A:A,Multipliers!C:C)</f>
        <v>John Powell</v>
      </c>
      <c r="D152" s="3">
        <v>45308</v>
      </c>
      <c r="E152" t="s">
        <v>1881</v>
      </c>
      <c r="F152" t="s">
        <v>1978</v>
      </c>
      <c r="G152" t="s">
        <v>1034</v>
      </c>
      <c r="H152">
        <v>0</v>
      </c>
      <c r="I152" s="1">
        <v>0</v>
      </c>
      <c r="J152" s="1">
        <v>0</v>
      </c>
      <c r="K152">
        <v>1</v>
      </c>
      <c r="L152">
        <f>IF(E152="4. Renewal - MRR",IF(I152&lt;=0,0,VLOOKUP(B152,Multipliers!A:L,MATCH(K152,Multipliers!$A$1:$L$1,0),FALSE)),VLOOKUP(B152,Multipliers!A:L,MATCH(K152,Multipliers!$A$1:$L$1,0),FALSE))</f>
        <v>0</v>
      </c>
      <c r="M152">
        <f t="shared" si="8"/>
        <v>0</v>
      </c>
      <c r="N152" s="1">
        <f>_xlfn.XLOOKUP(A152,'Product Detail'!$AG:$AG,'Product Detail'!$AH:$AH,"N/A")</f>
        <v>40.239000000000011</v>
      </c>
      <c r="O152" s="1">
        <f t="shared" si="9"/>
        <v>0</v>
      </c>
      <c r="P152" s="4">
        <f t="shared" si="10"/>
        <v>45352</v>
      </c>
      <c r="Q152" s="4">
        <f t="shared" si="11"/>
        <v>45413</v>
      </c>
    </row>
    <row r="153" spans="1:17" x14ac:dyDescent="0.25">
      <c r="A153">
        <v>38737</v>
      </c>
      <c r="B153" t="s">
        <v>43</v>
      </c>
      <c r="C153" t="str">
        <f>_xlfn.XLOOKUP(B153,Multipliers!A:A,Multipliers!C:C)</f>
        <v>John Powell</v>
      </c>
      <c r="D153" s="3">
        <v>45301</v>
      </c>
      <c r="E153" t="s">
        <v>1877</v>
      </c>
      <c r="F153" t="s">
        <v>1892</v>
      </c>
      <c r="G153" t="s">
        <v>1037</v>
      </c>
      <c r="H153">
        <v>0</v>
      </c>
      <c r="I153" s="1">
        <v>0</v>
      </c>
      <c r="J153" s="1">
        <v>0</v>
      </c>
      <c r="K153">
        <v>1</v>
      </c>
      <c r="L153">
        <f>IF(E153="4. Renewal - MRR",IF(I153&lt;=0,0,VLOOKUP(B153,Multipliers!A:L,MATCH(K153,Multipliers!$A$1:$L$1,0),FALSE)),VLOOKUP(B153,Multipliers!A:L,MATCH(K153,Multipliers!$A$1:$L$1,0),FALSE))</f>
        <v>0</v>
      </c>
      <c r="M153">
        <f t="shared" si="8"/>
        <v>0</v>
      </c>
      <c r="N153" s="1">
        <f>_xlfn.XLOOKUP(A153,'Product Detail'!$AG:$AG,'Product Detail'!$AH:$AH,"N/A")</f>
        <v>20.655000000000005</v>
      </c>
      <c r="O153" s="1">
        <f t="shared" si="9"/>
        <v>0</v>
      </c>
      <c r="P153" s="4">
        <f t="shared" si="10"/>
        <v>45352</v>
      </c>
      <c r="Q153" s="4">
        <f t="shared" si="11"/>
        <v>45413</v>
      </c>
    </row>
    <row r="154" spans="1:17" x14ac:dyDescent="0.25">
      <c r="A154">
        <v>38741</v>
      </c>
      <c r="B154" t="s">
        <v>61</v>
      </c>
      <c r="C154" t="str">
        <f>_xlfn.XLOOKUP(B154,Multipliers!A:A,Multipliers!C:C)</f>
        <v>John Powell</v>
      </c>
      <c r="D154" s="3">
        <v>45301</v>
      </c>
      <c r="E154" t="s">
        <v>1877</v>
      </c>
      <c r="F154" t="s">
        <v>2085</v>
      </c>
      <c r="G154" t="s">
        <v>1042</v>
      </c>
      <c r="H154">
        <v>0</v>
      </c>
      <c r="I154" s="1">
        <v>0</v>
      </c>
      <c r="J154" s="1">
        <v>0</v>
      </c>
      <c r="K154">
        <v>1</v>
      </c>
      <c r="L154">
        <f>IF(E154="4. Renewal - MRR",IF(I154&lt;=0,0,VLOOKUP(B154,Multipliers!A:L,MATCH(K154,Multipliers!$A$1:$L$1,0),FALSE)),VLOOKUP(B154,Multipliers!A:L,MATCH(K154,Multipliers!$A$1:$L$1,0),FALSE))</f>
        <v>0</v>
      </c>
      <c r="M154">
        <f t="shared" si="8"/>
        <v>0</v>
      </c>
      <c r="N154" s="1">
        <f>_xlfn.XLOOKUP(A154,'Product Detail'!$AG:$AG,'Product Detail'!$AH:$AH,"N/A")</f>
        <v>0</v>
      </c>
      <c r="O154" s="1">
        <f t="shared" si="9"/>
        <v>0</v>
      </c>
      <c r="P154" s="4">
        <f t="shared" si="10"/>
        <v>45352</v>
      </c>
      <c r="Q154" s="4">
        <f t="shared" si="11"/>
        <v>45413</v>
      </c>
    </row>
    <row r="155" spans="1:17" x14ac:dyDescent="0.25">
      <c r="A155" s="2">
        <v>38763</v>
      </c>
      <c r="B155" t="s">
        <v>56</v>
      </c>
      <c r="C155" t="s">
        <v>2440</v>
      </c>
      <c r="D155" s="3">
        <v>45310</v>
      </c>
      <c r="E155" t="s">
        <v>1877</v>
      </c>
      <c r="F155" t="s">
        <v>1934</v>
      </c>
      <c r="G155" t="s">
        <v>2229</v>
      </c>
      <c r="H155">
        <v>0</v>
      </c>
      <c r="I155" s="1">
        <v>13.5</v>
      </c>
      <c r="J155" s="1">
        <v>0</v>
      </c>
      <c r="K155">
        <v>12</v>
      </c>
      <c r="L155">
        <f>IF(E155="4. Renewal - MRR",IF(I155&lt;=0,0,VLOOKUP(B155,Multipliers!A:L,MATCH(K155,Multipliers!$A$1:$L$1,0),FALSE)),VLOOKUP(B155,Multipliers!A:L,MATCH(K155,Multipliers!$A$1:$L$1,0),FALSE))</f>
        <v>0.125</v>
      </c>
      <c r="M155">
        <f t="shared" si="8"/>
        <v>0</v>
      </c>
      <c r="N155" s="1" t="str">
        <f>_xlfn.XLOOKUP(A155,'Product Detail'!$AG:$AG,'Product Detail'!$AH:$AH,"N/A")</f>
        <v>N/A</v>
      </c>
      <c r="O155" s="1">
        <f t="shared" si="9"/>
        <v>1.6875</v>
      </c>
      <c r="P155" s="4">
        <f t="shared" si="10"/>
        <v>45352</v>
      </c>
      <c r="Q155" s="4">
        <f t="shared" si="11"/>
        <v>45413</v>
      </c>
    </row>
    <row r="156" spans="1:17" x14ac:dyDescent="0.25">
      <c r="A156">
        <v>38764</v>
      </c>
      <c r="B156" t="s">
        <v>61</v>
      </c>
      <c r="C156" t="str">
        <f>_xlfn.XLOOKUP(B156,Multipliers!A:A,Multipliers!C:C)</f>
        <v>John Powell</v>
      </c>
      <c r="D156" s="3">
        <v>45301</v>
      </c>
      <c r="E156" t="s">
        <v>1877</v>
      </c>
      <c r="F156" t="s">
        <v>1987</v>
      </c>
      <c r="G156" t="s">
        <v>1070</v>
      </c>
      <c r="H156">
        <v>0</v>
      </c>
      <c r="I156" s="1">
        <v>0</v>
      </c>
      <c r="J156" s="1">
        <v>0</v>
      </c>
      <c r="K156">
        <v>1</v>
      </c>
      <c r="L156">
        <f>IF(E156="4. Renewal - MRR",IF(I156&lt;=0,0,VLOOKUP(B156,Multipliers!A:L,MATCH(K156,Multipliers!$A$1:$L$1,0),FALSE)),VLOOKUP(B156,Multipliers!A:L,MATCH(K156,Multipliers!$A$1:$L$1,0),FALSE))</f>
        <v>0</v>
      </c>
      <c r="M156">
        <f t="shared" si="8"/>
        <v>0</v>
      </c>
      <c r="N156" s="1">
        <f>_xlfn.XLOOKUP(A156,'Product Detail'!$AG:$AG,'Product Detail'!$AH:$AH,"N/A")</f>
        <v>0</v>
      </c>
      <c r="O156" s="1">
        <f t="shared" si="9"/>
        <v>0</v>
      </c>
      <c r="P156" s="4">
        <f t="shared" si="10"/>
        <v>45352</v>
      </c>
      <c r="Q156" s="4">
        <f t="shared" si="11"/>
        <v>45413</v>
      </c>
    </row>
    <row r="157" spans="1:17" x14ac:dyDescent="0.25">
      <c r="A157">
        <v>38782</v>
      </c>
      <c r="B157" t="s">
        <v>43</v>
      </c>
      <c r="C157" t="str">
        <f>_xlfn.XLOOKUP(B157,Multipliers!A:A,Multipliers!C:C)</f>
        <v>John Powell</v>
      </c>
      <c r="D157" s="3">
        <v>45303</v>
      </c>
      <c r="E157" t="s">
        <v>1877</v>
      </c>
      <c r="F157" t="s">
        <v>1962</v>
      </c>
      <c r="G157" t="s">
        <v>1099</v>
      </c>
      <c r="H157">
        <v>0</v>
      </c>
      <c r="I157" s="1">
        <v>0</v>
      </c>
      <c r="J157" s="1">
        <v>0</v>
      </c>
      <c r="K157">
        <v>1</v>
      </c>
      <c r="L157">
        <f>IF(E157="4. Renewal - MRR",IF(I157&lt;=0,0,VLOOKUP(B157,Multipliers!A:L,MATCH(K157,Multipliers!$A$1:$L$1,0),FALSE)),VLOOKUP(B157,Multipliers!A:L,MATCH(K157,Multipliers!$A$1:$L$1,0),FALSE))</f>
        <v>0</v>
      </c>
      <c r="M157">
        <f t="shared" si="8"/>
        <v>0</v>
      </c>
      <c r="N157" s="1">
        <f>_xlfn.XLOOKUP(A157,'Product Detail'!$AG:$AG,'Product Detail'!$AH:$AH,"N/A")</f>
        <v>87.277999999999992</v>
      </c>
      <c r="O157" s="1">
        <f t="shared" si="9"/>
        <v>0</v>
      </c>
      <c r="P157" s="4">
        <f t="shared" si="10"/>
        <v>45352</v>
      </c>
      <c r="Q157" s="4">
        <f t="shared" si="11"/>
        <v>45413</v>
      </c>
    </row>
    <row r="158" spans="1:17" x14ac:dyDescent="0.25">
      <c r="A158" s="2">
        <v>38784</v>
      </c>
      <c r="B158" t="s">
        <v>47</v>
      </c>
      <c r="C158" t="s">
        <v>2440</v>
      </c>
      <c r="D158" s="3">
        <v>45302</v>
      </c>
      <c r="E158" t="s">
        <v>1877</v>
      </c>
      <c r="F158" t="s">
        <v>1933</v>
      </c>
      <c r="G158" t="s">
        <v>2228</v>
      </c>
      <c r="H158">
        <v>0</v>
      </c>
      <c r="I158" s="1">
        <v>16.649999999999999</v>
      </c>
      <c r="J158" s="1">
        <v>0</v>
      </c>
      <c r="K158">
        <v>12</v>
      </c>
      <c r="L158">
        <f>IF(E158="4. Renewal - MRR",IF(I158&lt;=0,0,VLOOKUP(B158,Multipliers!A:L,MATCH(K158,Multipliers!$A$1:$L$1,0),FALSE)),VLOOKUP(B158,Multipliers!A:L,MATCH(K158,Multipliers!$A$1:$L$1,0),FALSE))</f>
        <v>0.125</v>
      </c>
      <c r="M158">
        <f t="shared" si="8"/>
        <v>0</v>
      </c>
      <c r="N158" s="1" t="str">
        <f>_xlfn.XLOOKUP(A158,'Product Detail'!$AG:$AG,'Product Detail'!$AH:$AH,"N/A")</f>
        <v>N/A</v>
      </c>
      <c r="O158" s="1">
        <f t="shared" si="9"/>
        <v>2.0812499999999998</v>
      </c>
      <c r="P158" s="4">
        <f t="shared" si="10"/>
        <v>45352</v>
      </c>
      <c r="Q158" s="4">
        <f t="shared" si="11"/>
        <v>45413</v>
      </c>
    </row>
    <row r="159" spans="1:17" x14ac:dyDescent="0.25">
      <c r="A159" s="2">
        <v>38785</v>
      </c>
      <c r="B159" t="s">
        <v>43</v>
      </c>
      <c r="C159" t="s">
        <v>2441</v>
      </c>
      <c r="D159" s="3">
        <v>45302</v>
      </c>
      <c r="E159" t="s">
        <v>1877</v>
      </c>
      <c r="F159" t="s">
        <v>1932</v>
      </c>
      <c r="G159" t="s">
        <v>2227</v>
      </c>
      <c r="H159">
        <v>0</v>
      </c>
      <c r="I159" s="1">
        <v>64.25</v>
      </c>
      <c r="J159" s="1">
        <v>0</v>
      </c>
      <c r="K159">
        <v>36</v>
      </c>
      <c r="L159">
        <f>IF(E159="4. Renewal - MRR",IF(I159&lt;=0,0,VLOOKUP(B159,Multipliers!A:L,MATCH(K159,Multipliers!$A$1:$L$1,0),FALSE)),VLOOKUP(B159,Multipliers!A:L,MATCH(K159,Multipliers!$A$1:$L$1,0),FALSE))</f>
        <v>0.5</v>
      </c>
      <c r="M159">
        <f t="shared" si="8"/>
        <v>0</v>
      </c>
      <c r="N159" s="1" t="str">
        <f>_xlfn.XLOOKUP(A159,'Product Detail'!$AG:$AG,'Product Detail'!$AH:$AH,"N/A")</f>
        <v>N/A</v>
      </c>
      <c r="O159" s="1">
        <f t="shared" si="9"/>
        <v>32.125</v>
      </c>
      <c r="P159" s="4">
        <f t="shared" si="10"/>
        <v>45352</v>
      </c>
      <c r="Q159" s="4">
        <f t="shared" si="11"/>
        <v>45413</v>
      </c>
    </row>
    <row r="160" spans="1:17" x14ac:dyDescent="0.25">
      <c r="A160">
        <v>39376</v>
      </c>
      <c r="B160" t="s">
        <v>132</v>
      </c>
      <c r="C160" t="str">
        <f>_xlfn.XLOOKUP(B160,Multipliers!A:A,Multipliers!C:C)</f>
        <v>Jeffrey Weight</v>
      </c>
      <c r="D160" s="3">
        <v>45321</v>
      </c>
      <c r="E160" t="s">
        <v>1877</v>
      </c>
      <c r="F160" t="s">
        <v>1958</v>
      </c>
      <c r="G160" t="s">
        <v>1682</v>
      </c>
      <c r="H160">
        <v>0</v>
      </c>
      <c r="I160" s="1">
        <v>0</v>
      </c>
      <c r="J160" s="1">
        <v>0</v>
      </c>
      <c r="K160">
        <v>1</v>
      </c>
      <c r="L160">
        <f>IF(E160="4. Renewal - MRR",IF(I160&lt;=0,0,VLOOKUP(B160,Multipliers!A:L,MATCH(K160,Multipliers!$A$1:$L$1,0),FALSE)),VLOOKUP(B160,Multipliers!A:L,MATCH(K160,Multipliers!$A$1:$L$1,0),FALSE))</f>
        <v>0</v>
      </c>
      <c r="M160">
        <f t="shared" si="8"/>
        <v>0</v>
      </c>
      <c r="N160" s="1">
        <f>_xlfn.XLOOKUP(A160,'Product Detail'!$AG:$AG,'Product Detail'!$AH:$AH,"N/A")</f>
        <v>25.472000000000005</v>
      </c>
      <c r="O160" s="1">
        <f t="shared" si="9"/>
        <v>0</v>
      </c>
      <c r="P160" s="4">
        <f t="shared" si="10"/>
        <v>45352</v>
      </c>
      <c r="Q160" s="4">
        <f t="shared" si="11"/>
        <v>45413</v>
      </c>
    </row>
    <row r="161" spans="1:17" x14ac:dyDescent="0.25">
      <c r="A161">
        <v>38788</v>
      </c>
      <c r="B161" t="s">
        <v>43</v>
      </c>
      <c r="C161" t="str">
        <f>_xlfn.XLOOKUP(B161,Multipliers!A:A,Multipliers!C:C)</f>
        <v>John Powell</v>
      </c>
      <c r="D161" s="3">
        <v>45303</v>
      </c>
      <c r="E161" t="s">
        <v>1877</v>
      </c>
      <c r="F161" t="s">
        <v>2076</v>
      </c>
      <c r="G161" t="s">
        <v>1048</v>
      </c>
      <c r="H161">
        <v>0</v>
      </c>
      <c r="I161" s="1">
        <v>0</v>
      </c>
      <c r="J161" s="1">
        <v>0</v>
      </c>
      <c r="K161">
        <v>1</v>
      </c>
      <c r="L161">
        <f>IF(E161="4. Renewal - MRR",IF(I161&lt;=0,0,VLOOKUP(B161,Multipliers!A:L,MATCH(K161,Multipliers!$A$1:$L$1,0),FALSE)),VLOOKUP(B161,Multipliers!A:L,MATCH(K161,Multipliers!$A$1:$L$1,0),FALSE))</f>
        <v>0</v>
      </c>
      <c r="M161">
        <f t="shared" si="8"/>
        <v>0</v>
      </c>
      <c r="N161" s="1">
        <f>_xlfn.XLOOKUP(A161,'Product Detail'!$AG:$AG,'Product Detail'!$AH:$AH,"N/A")</f>
        <v>32.416450000000026</v>
      </c>
      <c r="O161" s="1">
        <f t="shared" si="9"/>
        <v>0</v>
      </c>
      <c r="P161" s="4">
        <f t="shared" si="10"/>
        <v>45352</v>
      </c>
      <c r="Q161" s="4">
        <f t="shared" si="11"/>
        <v>45413</v>
      </c>
    </row>
    <row r="162" spans="1:17" x14ac:dyDescent="0.25">
      <c r="A162">
        <v>39367</v>
      </c>
      <c r="B162" t="s">
        <v>1874</v>
      </c>
      <c r="C162" t="str">
        <f>_xlfn.XLOOKUP(B162,Multipliers!A:A,Multipliers!C:C)</f>
        <v>Jeffrey Weight</v>
      </c>
      <c r="D162" s="3">
        <v>45317</v>
      </c>
      <c r="E162" t="s">
        <v>1877</v>
      </c>
      <c r="F162" t="s">
        <v>2000</v>
      </c>
      <c r="G162" t="s">
        <v>1680</v>
      </c>
      <c r="H162">
        <v>0</v>
      </c>
      <c r="I162" s="1">
        <v>0</v>
      </c>
      <c r="J162" s="1">
        <v>0</v>
      </c>
      <c r="K162">
        <v>1</v>
      </c>
      <c r="L162">
        <f>IF(E162="4. Renewal - MRR",IF(I162&lt;=0,0,VLOOKUP(B162,Multipliers!A:L,MATCH(K162,Multipliers!$A$1:$L$1,0),FALSE)),VLOOKUP(B162,Multipliers!A:L,MATCH(K162,Multipliers!$A$1:$L$1,0),FALSE))</f>
        <v>0</v>
      </c>
      <c r="M162">
        <f t="shared" si="8"/>
        <v>0</v>
      </c>
      <c r="N162" s="1">
        <f>_xlfn.XLOOKUP(A162,'Product Detail'!$AG:$AG,'Product Detail'!$AH:$AH,"N/A")</f>
        <v>1.1903999999999997</v>
      </c>
      <c r="O162" s="1">
        <f t="shared" si="9"/>
        <v>0</v>
      </c>
      <c r="P162" s="4">
        <f t="shared" si="10"/>
        <v>45352</v>
      </c>
      <c r="Q162" s="4">
        <f t="shared" si="11"/>
        <v>45413</v>
      </c>
    </row>
    <row r="163" spans="1:17" x14ac:dyDescent="0.25">
      <c r="A163">
        <v>39365</v>
      </c>
      <c r="B163" t="s">
        <v>140</v>
      </c>
      <c r="C163" t="str">
        <f>_xlfn.XLOOKUP(B163,Multipliers!A:A,Multipliers!C:C)</f>
        <v>Jeffrey Weight</v>
      </c>
      <c r="D163" s="3">
        <v>45321</v>
      </c>
      <c r="E163" t="s">
        <v>1877</v>
      </c>
      <c r="F163" t="s">
        <v>2001</v>
      </c>
      <c r="G163" t="s">
        <v>1679</v>
      </c>
      <c r="H163">
        <v>0</v>
      </c>
      <c r="I163" s="1">
        <v>0</v>
      </c>
      <c r="J163" s="1">
        <v>0</v>
      </c>
      <c r="K163">
        <v>1</v>
      </c>
      <c r="L163">
        <f>IF(E163="4. Renewal - MRR",IF(I163&lt;=0,0,VLOOKUP(B163,Multipliers!A:L,MATCH(K163,Multipliers!$A$1:$L$1,0),FALSE)),VLOOKUP(B163,Multipliers!A:L,MATCH(K163,Multipliers!$A$1:$L$1,0),FALSE))</f>
        <v>0</v>
      </c>
      <c r="M163">
        <f t="shared" si="8"/>
        <v>0</v>
      </c>
      <c r="N163" s="1">
        <f>_xlfn.XLOOKUP(A163,'Product Detail'!$AG:$AG,'Product Detail'!$AH:$AH,"N/A")</f>
        <v>44.805600000000013</v>
      </c>
      <c r="O163" s="1">
        <f t="shared" si="9"/>
        <v>0</v>
      </c>
      <c r="P163" s="4">
        <f t="shared" si="10"/>
        <v>45352</v>
      </c>
      <c r="Q163" s="4">
        <f t="shared" si="11"/>
        <v>45413</v>
      </c>
    </row>
    <row r="164" spans="1:17" x14ac:dyDescent="0.25">
      <c r="A164">
        <v>38792</v>
      </c>
      <c r="B164" t="s">
        <v>43</v>
      </c>
      <c r="C164" t="str">
        <f>_xlfn.XLOOKUP(B164,Multipliers!A:A,Multipliers!C:C)</f>
        <v>John Powell</v>
      </c>
      <c r="D164" s="3">
        <v>45322</v>
      </c>
      <c r="E164" t="s">
        <v>1877</v>
      </c>
      <c r="F164" t="s">
        <v>2075</v>
      </c>
      <c r="G164" t="s">
        <v>1108</v>
      </c>
      <c r="H164">
        <v>0</v>
      </c>
      <c r="I164" s="1">
        <v>0</v>
      </c>
      <c r="J164" s="1">
        <v>0</v>
      </c>
      <c r="K164">
        <v>1</v>
      </c>
      <c r="L164">
        <f>IF(E164="4. Renewal - MRR",IF(I164&lt;=0,0,VLOOKUP(B164,Multipliers!A:L,MATCH(K164,Multipliers!$A$1:$L$1,0),FALSE)),VLOOKUP(B164,Multipliers!A:L,MATCH(K164,Multipliers!$A$1:$L$1,0),FALSE))</f>
        <v>0</v>
      </c>
      <c r="M164">
        <f t="shared" si="8"/>
        <v>0</v>
      </c>
      <c r="N164" s="1">
        <f>_xlfn.XLOOKUP(A164,'Product Detail'!$AG:$AG,'Product Detail'!$AH:$AH,"N/A")</f>
        <v>616.35099999999989</v>
      </c>
      <c r="O164" s="1">
        <f t="shared" si="9"/>
        <v>0</v>
      </c>
      <c r="P164" s="4">
        <f t="shared" si="10"/>
        <v>45352</v>
      </c>
      <c r="Q164" s="4">
        <f t="shared" si="11"/>
        <v>45413</v>
      </c>
    </row>
    <row r="165" spans="1:17" x14ac:dyDescent="0.25">
      <c r="A165" s="2">
        <v>38798</v>
      </c>
      <c r="B165" t="s">
        <v>56</v>
      </c>
      <c r="C165" t="s">
        <v>2440</v>
      </c>
      <c r="D165" s="3">
        <v>45315</v>
      </c>
      <c r="E165" t="s">
        <v>1877</v>
      </c>
      <c r="F165" t="s">
        <v>1931</v>
      </c>
      <c r="G165" t="s">
        <v>2226</v>
      </c>
      <c r="H165">
        <v>0</v>
      </c>
      <c r="I165" s="1">
        <v>136.46</v>
      </c>
      <c r="J165" s="1">
        <v>0</v>
      </c>
      <c r="K165">
        <v>12</v>
      </c>
      <c r="L165">
        <f>IF(E165="4. Renewal - MRR",IF(I165&lt;=0,0,VLOOKUP(B165,Multipliers!A:L,MATCH(K165,Multipliers!$A$1:$L$1,0),FALSE)),VLOOKUP(B165,Multipliers!A:L,MATCH(K165,Multipliers!$A$1:$L$1,0),FALSE))</f>
        <v>0.125</v>
      </c>
      <c r="M165">
        <f t="shared" si="8"/>
        <v>0</v>
      </c>
      <c r="N165" s="1" t="str">
        <f>_xlfn.XLOOKUP(A165,'Product Detail'!$AG:$AG,'Product Detail'!$AH:$AH,"N/A")</f>
        <v>N/A</v>
      </c>
      <c r="O165" s="1">
        <f t="shared" si="9"/>
        <v>17.057500000000001</v>
      </c>
      <c r="P165" s="4">
        <f t="shared" si="10"/>
        <v>45352</v>
      </c>
      <c r="Q165" s="4">
        <f t="shared" si="11"/>
        <v>45413</v>
      </c>
    </row>
    <row r="166" spans="1:17" x14ac:dyDescent="0.25">
      <c r="A166">
        <v>39356</v>
      </c>
      <c r="B166" t="s">
        <v>107</v>
      </c>
      <c r="C166" t="str">
        <f>_xlfn.XLOOKUP(B166,Multipliers!A:A,Multipliers!C:C)</f>
        <v>Luis Blanco</v>
      </c>
      <c r="D166" s="3">
        <v>45317</v>
      </c>
      <c r="E166" t="s">
        <v>1877</v>
      </c>
      <c r="F166" t="s">
        <v>2003</v>
      </c>
      <c r="G166" t="s">
        <v>1669</v>
      </c>
      <c r="H166">
        <v>0</v>
      </c>
      <c r="I166" s="1">
        <v>0</v>
      </c>
      <c r="J166" s="1">
        <v>0</v>
      </c>
      <c r="K166">
        <v>1</v>
      </c>
      <c r="L166">
        <f>IF(E166="4. Renewal - MRR",IF(I166&lt;=0,0,VLOOKUP(B166,Multipliers!A:L,MATCH(K166,Multipliers!$A$1:$L$1,0),FALSE)),VLOOKUP(B166,Multipliers!A:L,MATCH(K166,Multipliers!$A$1:$L$1,0),FALSE))</f>
        <v>0</v>
      </c>
      <c r="M166">
        <f t="shared" si="8"/>
        <v>0</v>
      </c>
      <c r="N166" s="1">
        <f>_xlfn.XLOOKUP(A166,'Product Detail'!$AG:$AG,'Product Detail'!$AH:$AH,"N/A")</f>
        <v>36.795200000000008</v>
      </c>
      <c r="O166" s="1">
        <f t="shared" si="9"/>
        <v>0</v>
      </c>
      <c r="P166" s="4">
        <f t="shared" si="10"/>
        <v>45352</v>
      </c>
      <c r="Q166" s="4">
        <f t="shared" si="11"/>
        <v>45413</v>
      </c>
    </row>
    <row r="167" spans="1:17" x14ac:dyDescent="0.25">
      <c r="A167">
        <v>39351</v>
      </c>
      <c r="B167" t="s">
        <v>132</v>
      </c>
      <c r="C167" t="str">
        <f>_xlfn.XLOOKUP(B167,Multipliers!A:A,Multipliers!C:C)</f>
        <v>Jeffrey Weight</v>
      </c>
      <c r="D167" s="3">
        <v>45321</v>
      </c>
      <c r="E167" t="s">
        <v>1877</v>
      </c>
      <c r="F167" t="s">
        <v>1926</v>
      </c>
      <c r="G167" t="s">
        <v>1668</v>
      </c>
      <c r="H167">
        <v>0</v>
      </c>
      <c r="I167" s="1">
        <v>0</v>
      </c>
      <c r="J167" s="1">
        <v>0</v>
      </c>
      <c r="K167">
        <v>1</v>
      </c>
      <c r="L167">
        <f>IF(E167="4. Renewal - MRR",IF(I167&lt;=0,0,VLOOKUP(B167,Multipliers!A:L,MATCH(K167,Multipliers!$A$1:$L$1,0),FALSE)),VLOOKUP(B167,Multipliers!A:L,MATCH(K167,Multipliers!$A$1:$L$1,0),FALSE))</f>
        <v>0</v>
      </c>
      <c r="M167">
        <f t="shared" si="8"/>
        <v>0</v>
      </c>
      <c r="N167" s="1">
        <f>_xlfn.XLOOKUP(A167,'Product Detail'!$AG:$AG,'Product Detail'!$AH:$AH,"N/A")</f>
        <v>7.1608000000000001</v>
      </c>
      <c r="O167" s="1">
        <f t="shared" si="9"/>
        <v>0</v>
      </c>
      <c r="P167" s="4">
        <f t="shared" si="10"/>
        <v>45352</v>
      </c>
      <c r="Q167" s="4">
        <f t="shared" si="11"/>
        <v>45413</v>
      </c>
    </row>
    <row r="168" spans="1:17" x14ac:dyDescent="0.25">
      <c r="A168" s="2">
        <v>38805</v>
      </c>
      <c r="B168" t="s">
        <v>56</v>
      </c>
      <c r="C168" t="s">
        <v>2440</v>
      </c>
      <c r="D168" s="3">
        <v>45303</v>
      </c>
      <c r="E168" t="s">
        <v>1877</v>
      </c>
      <c r="F168" t="s">
        <v>1930</v>
      </c>
      <c r="G168" t="s">
        <v>2225</v>
      </c>
      <c r="H168">
        <v>0</v>
      </c>
      <c r="I168" s="1">
        <v>500</v>
      </c>
      <c r="J168" s="1">
        <v>0</v>
      </c>
      <c r="K168">
        <v>36</v>
      </c>
      <c r="L168">
        <f>IF(E168="4. Renewal - MRR",IF(I168&lt;=0,0,VLOOKUP(B168,Multipliers!A:L,MATCH(K168,Multipliers!$A$1:$L$1,0),FALSE)),VLOOKUP(B168,Multipliers!A:L,MATCH(K168,Multipliers!$A$1:$L$1,0),FALSE))</f>
        <v>0.5</v>
      </c>
      <c r="M168">
        <f t="shared" si="8"/>
        <v>0</v>
      </c>
      <c r="N168" s="1" t="str">
        <f>_xlfn.XLOOKUP(A168,'Product Detail'!$AG:$AG,'Product Detail'!$AH:$AH,"N/A")</f>
        <v>N/A</v>
      </c>
      <c r="O168" s="1">
        <f t="shared" si="9"/>
        <v>250</v>
      </c>
      <c r="P168" s="4">
        <f t="shared" si="10"/>
        <v>45352</v>
      </c>
      <c r="Q168" s="4">
        <f t="shared" si="11"/>
        <v>45413</v>
      </c>
    </row>
    <row r="169" spans="1:17" x14ac:dyDescent="0.25">
      <c r="A169">
        <v>39343</v>
      </c>
      <c r="B169" t="s">
        <v>107</v>
      </c>
      <c r="C169" t="str">
        <f>_xlfn.XLOOKUP(B169,Multipliers!A:A,Multipliers!C:C)</f>
        <v>Luis Blanco</v>
      </c>
      <c r="D169" s="3">
        <v>45321</v>
      </c>
      <c r="E169" t="s">
        <v>1877</v>
      </c>
      <c r="F169" t="s">
        <v>2005</v>
      </c>
      <c r="G169" t="s">
        <v>1652</v>
      </c>
      <c r="H169">
        <v>0</v>
      </c>
      <c r="I169" s="1">
        <v>0</v>
      </c>
      <c r="J169" s="1">
        <v>0</v>
      </c>
      <c r="K169">
        <v>1</v>
      </c>
      <c r="L169">
        <f>IF(E169="4. Renewal - MRR",IF(I169&lt;=0,0,VLOOKUP(B169,Multipliers!A:L,MATCH(K169,Multipliers!$A$1:$L$1,0),FALSE)),VLOOKUP(B169,Multipliers!A:L,MATCH(K169,Multipliers!$A$1:$L$1,0),FALSE))</f>
        <v>0</v>
      </c>
      <c r="M169">
        <f t="shared" si="8"/>
        <v>0</v>
      </c>
      <c r="N169" s="1">
        <f>_xlfn.XLOOKUP(A169,'Product Detail'!$AG:$AG,'Product Detail'!$AH:$AH,"N/A")</f>
        <v>82.806000000000012</v>
      </c>
      <c r="O169" s="1">
        <f t="shared" si="9"/>
        <v>0</v>
      </c>
      <c r="P169" s="4">
        <f t="shared" si="10"/>
        <v>45352</v>
      </c>
      <c r="Q169" s="4">
        <f t="shared" si="11"/>
        <v>45413</v>
      </c>
    </row>
    <row r="170" spans="1:17" x14ac:dyDescent="0.25">
      <c r="A170">
        <v>39340</v>
      </c>
      <c r="B170" t="s">
        <v>150</v>
      </c>
      <c r="C170" t="str">
        <f>_xlfn.XLOOKUP(B170,Multipliers!A:A,Multipliers!C:C)</f>
        <v>Jeffrey Weight</v>
      </c>
      <c r="D170" s="3">
        <v>45316</v>
      </c>
      <c r="E170" t="s">
        <v>1877</v>
      </c>
      <c r="F170" t="s">
        <v>1898</v>
      </c>
      <c r="G170" t="s">
        <v>1649</v>
      </c>
      <c r="H170">
        <v>0</v>
      </c>
      <c r="I170" s="1">
        <v>0</v>
      </c>
      <c r="J170" s="1">
        <v>0</v>
      </c>
      <c r="K170">
        <v>1</v>
      </c>
      <c r="L170">
        <f>IF(E170="4. Renewal - MRR",IF(I170&lt;=0,0,VLOOKUP(B170,Multipliers!A:L,MATCH(K170,Multipliers!$A$1:$L$1,0),FALSE)),VLOOKUP(B170,Multipliers!A:L,MATCH(K170,Multipliers!$A$1:$L$1,0),FALSE))</f>
        <v>0</v>
      </c>
      <c r="M170">
        <f t="shared" si="8"/>
        <v>0</v>
      </c>
      <c r="N170" s="1">
        <f>_xlfn.XLOOKUP(A170,'Product Detail'!$AG:$AG,'Product Detail'!$AH:$AH,"N/A")</f>
        <v>10.220000000000001</v>
      </c>
      <c r="O170" s="1">
        <f t="shared" si="9"/>
        <v>0</v>
      </c>
      <c r="P170" s="4">
        <f t="shared" si="10"/>
        <v>45352</v>
      </c>
      <c r="Q170" s="4">
        <f t="shared" si="11"/>
        <v>45413</v>
      </c>
    </row>
    <row r="171" spans="1:17" x14ac:dyDescent="0.25">
      <c r="A171">
        <v>39338</v>
      </c>
      <c r="B171" t="s">
        <v>107</v>
      </c>
      <c r="C171" t="str">
        <f>_xlfn.XLOOKUP(B171,Multipliers!A:A,Multipliers!C:C)</f>
        <v>Luis Blanco</v>
      </c>
      <c r="D171" s="3">
        <v>45316</v>
      </c>
      <c r="E171" t="s">
        <v>1877</v>
      </c>
      <c r="F171" t="s">
        <v>2006</v>
      </c>
      <c r="G171" t="s">
        <v>1644</v>
      </c>
      <c r="H171">
        <v>0</v>
      </c>
      <c r="I171" s="1">
        <v>0</v>
      </c>
      <c r="J171" s="1">
        <v>0</v>
      </c>
      <c r="K171">
        <v>1</v>
      </c>
      <c r="L171">
        <f>IF(E171="4. Renewal - MRR",IF(I171&lt;=0,0,VLOOKUP(B171,Multipliers!A:L,MATCH(K171,Multipliers!$A$1:$L$1,0),FALSE)),VLOOKUP(B171,Multipliers!A:L,MATCH(K171,Multipliers!$A$1:$L$1,0),FALSE))</f>
        <v>0</v>
      </c>
      <c r="M171">
        <f t="shared" si="8"/>
        <v>0</v>
      </c>
      <c r="N171" s="1">
        <f>_xlfn.XLOOKUP(A171,'Product Detail'!$AG:$AG,'Product Detail'!$AH:$AH,"N/A")</f>
        <v>56.765999999999998</v>
      </c>
      <c r="O171" s="1">
        <f t="shared" si="9"/>
        <v>0</v>
      </c>
      <c r="P171" s="4">
        <f t="shared" si="10"/>
        <v>45352</v>
      </c>
      <c r="Q171" s="4">
        <f t="shared" si="11"/>
        <v>45413</v>
      </c>
    </row>
    <row r="172" spans="1:17" x14ac:dyDescent="0.25">
      <c r="A172">
        <v>39336</v>
      </c>
      <c r="B172" t="s">
        <v>1874</v>
      </c>
      <c r="C172" t="str">
        <f>_xlfn.XLOOKUP(B172,Multipliers!A:A,Multipliers!C:C)</f>
        <v>Jeffrey Weight</v>
      </c>
      <c r="D172" s="3">
        <v>45316</v>
      </c>
      <c r="E172" t="s">
        <v>1877</v>
      </c>
      <c r="F172" t="s">
        <v>1903</v>
      </c>
      <c r="G172" t="s">
        <v>1641</v>
      </c>
      <c r="H172">
        <v>0</v>
      </c>
      <c r="I172" s="1">
        <v>0</v>
      </c>
      <c r="J172" s="1">
        <v>0</v>
      </c>
      <c r="K172">
        <v>1</v>
      </c>
      <c r="L172">
        <f>IF(E172="4. Renewal - MRR",IF(I172&lt;=0,0,VLOOKUP(B172,Multipliers!A:L,MATCH(K172,Multipliers!$A$1:$L$1,0),FALSE)),VLOOKUP(B172,Multipliers!A:L,MATCH(K172,Multipliers!$A$1:$L$1,0),FALSE))</f>
        <v>0</v>
      </c>
      <c r="M172">
        <f t="shared" si="8"/>
        <v>0</v>
      </c>
      <c r="N172" s="1">
        <f>_xlfn.XLOOKUP(A172,'Product Detail'!$AG:$AG,'Product Detail'!$AH:$AH,"N/A")</f>
        <v>75.156800000000004</v>
      </c>
      <c r="O172" s="1">
        <f t="shared" si="9"/>
        <v>0</v>
      </c>
      <c r="P172" s="4">
        <f t="shared" si="10"/>
        <v>45352</v>
      </c>
      <c r="Q172" s="4">
        <f t="shared" si="11"/>
        <v>45413</v>
      </c>
    </row>
    <row r="173" spans="1:17" x14ac:dyDescent="0.25">
      <c r="A173">
        <v>39330</v>
      </c>
      <c r="B173" t="s">
        <v>140</v>
      </c>
      <c r="C173" t="str">
        <f>_xlfn.XLOOKUP(B173,Multipliers!A:A,Multipliers!C:C)</f>
        <v>Jeffrey Weight</v>
      </c>
      <c r="D173" s="3">
        <v>45322</v>
      </c>
      <c r="E173" t="s">
        <v>1877</v>
      </c>
      <c r="F173" t="s">
        <v>1998</v>
      </c>
      <c r="G173" t="s">
        <v>1638</v>
      </c>
      <c r="H173">
        <v>0</v>
      </c>
      <c r="I173" s="1">
        <v>0</v>
      </c>
      <c r="J173" s="1">
        <v>0</v>
      </c>
      <c r="K173">
        <v>1</v>
      </c>
      <c r="L173">
        <f>IF(E173="4. Renewal - MRR",IF(I173&lt;=0,0,VLOOKUP(B173,Multipliers!A:L,MATCH(K173,Multipliers!$A$1:$L$1,0),FALSE)),VLOOKUP(B173,Multipliers!A:L,MATCH(K173,Multipliers!$A$1:$L$1,0),FALSE))</f>
        <v>0</v>
      </c>
      <c r="M173">
        <f t="shared" si="8"/>
        <v>0</v>
      </c>
      <c r="N173" s="1">
        <f>_xlfn.XLOOKUP(A173,'Product Detail'!$AG:$AG,'Product Detail'!$AH:$AH,"N/A")</f>
        <v>0.50159999999999971</v>
      </c>
      <c r="O173" s="1">
        <f t="shared" si="9"/>
        <v>0</v>
      </c>
      <c r="P173" s="4">
        <f t="shared" si="10"/>
        <v>45352</v>
      </c>
      <c r="Q173" s="4">
        <f t="shared" si="11"/>
        <v>45413</v>
      </c>
    </row>
    <row r="174" spans="1:17" x14ac:dyDescent="0.25">
      <c r="A174">
        <v>39327</v>
      </c>
      <c r="B174" t="s">
        <v>132</v>
      </c>
      <c r="C174" t="str">
        <f>_xlfn.XLOOKUP(B174,Multipliers!A:A,Multipliers!C:C)</f>
        <v>Jeffrey Weight</v>
      </c>
      <c r="D174" s="3">
        <v>45321</v>
      </c>
      <c r="E174" t="s">
        <v>1877</v>
      </c>
      <c r="F174" t="s">
        <v>2007</v>
      </c>
      <c r="G174" t="s">
        <v>1627</v>
      </c>
      <c r="H174">
        <v>0</v>
      </c>
      <c r="I174" s="1">
        <v>0</v>
      </c>
      <c r="J174" s="1">
        <v>0</v>
      </c>
      <c r="K174">
        <v>1</v>
      </c>
      <c r="L174">
        <f>IF(E174="4. Renewal - MRR",IF(I174&lt;=0,0,VLOOKUP(B174,Multipliers!A:L,MATCH(K174,Multipliers!$A$1:$L$1,0),FALSE)),VLOOKUP(B174,Multipliers!A:L,MATCH(K174,Multipliers!$A$1:$L$1,0),FALSE))</f>
        <v>0</v>
      </c>
      <c r="M174">
        <f t="shared" si="8"/>
        <v>0</v>
      </c>
      <c r="N174" s="1">
        <f>_xlfn.XLOOKUP(A174,'Product Detail'!$AG:$AG,'Product Detail'!$AH:$AH,"N/A")</f>
        <v>9.3216000000000001</v>
      </c>
      <c r="O174" s="1">
        <f t="shared" si="9"/>
        <v>0</v>
      </c>
      <c r="P174" s="4">
        <f t="shared" si="10"/>
        <v>45352</v>
      </c>
      <c r="Q174" s="4">
        <f t="shared" si="11"/>
        <v>45413</v>
      </c>
    </row>
    <row r="175" spans="1:17" x14ac:dyDescent="0.25">
      <c r="A175">
        <v>39326</v>
      </c>
      <c r="B175" t="s">
        <v>132</v>
      </c>
      <c r="C175" t="str">
        <f>_xlfn.XLOOKUP(B175,Multipliers!A:A,Multipliers!C:C)</f>
        <v>Jeffrey Weight</v>
      </c>
      <c r="D175" s="3">
        <v>45317</v>
      </c>
      <c r="E175" t="s">
        <v>1877</v>
      </c>
      <c r="F175" t="s">
        <v>2008</v>
      </c>
      <c r="G175" t="s">
        <v>1626</v>
      </c>
      <c r="H175">
        <v>0</v>
      </c>
      <c r="I175" s="1">
        <v>0</v>
      </c>
      <c r="J175" s="1">
        <v>0</v>
      </c>
      <c r="K175">
        <v>1</v>
      </c>
      <c r="L175">
        <f>IF(E175="4. Renewal - MRR",IF(I175&lt;=0,0,VLOOKUP(B175,Multipliers!A:L,MATCH(K175,Multipliers!$A$1:$L$1,0),FALSE)),VLOOKUP(B175,Multipliers!A:L,MATCH(K175,Multipliers!$A$1:$L$1,0),FALSE))</f>
        <v>0</v>
      </c>
      <c r="M175">
        <f t="shared" si="8"/>
        <v>0</v>
      </c>
      <c r="N175" s="1">
        <f>_xlfn.XLOOKUP(A175,'Product Detail'!$AG:$AG,'Product Detail'!$AH:$AH,"N/A")</f>
        <v>21.548000000000002</v>
      </c>
      <c r="O175" s="1">
        <f t="shared" si="9"/>
        <v>0</v>
      </c>
      <c r="P175" s="4">
        <f t="shared" si="10"/>
        <v>45352</v>
      </c>
      <c r="Q175" s="4">
        <f t="shared" si="11"/>
        <v>45413</v>
      </c>
    </row>
    <row r="176" spans="1:17" x14ac:dyDescent="0.25">
      <c r="A176">
        <v>39324</v>
      </c>
      <c r="B176" t="s">
        <v>140</v>
      </c>
      <c r="C176" t="str">
        <f>_xlfn.XLOOKUP(B176,Multipliers!A:A,Multipliers!C:C)</f>
        <v>Jeffrey Weight</v>
      </c>
      <c r="D176" s="3">
        <v>45317</v>
      </c>
      <c r="E176" t="s">
        <v>1877</v>
      </c>
      <c r="F176" t="s">
        <v>1998</v>
      </c>
      <c r="G176" t="s">
        <v>1625</v>
      </c>
      <c r="H176">
        <v>0</v>
      </c>
      <c r="I176" s="1">
        <v>0</v>
      </c>
      <c r="J176" s="1">
        <v>0</v>
      </c>
      <c r="K176">
        <v>1</v>
      </c>
      <c r="L176">
        <f>IF(E176="4. Renewal - MRR",IF(I176&lt;=0,0,VLOOKUP(B176,Multipliers!A:L,MATCH(K176,Multipliers!$A$1:$L$1,0),FALSE)),VLOOKUP(B176,Multipliers!A:L,MATCH(K176,Multipliers!$A$1:$L$1,0),FALSE))</f>
        <v>0</v>
      </c>
      <c r="M176">
        <f t="shared" si="8"/>
        <v>0</v>
      </c>
      <c r="N176" s="1">
        <f>_xlfn.XLOOKUP(A176,'Product Detail'!$AG:$AG,'Product Detail'!$AH:$AH,"N/A")</f>
        <v>5.579200000000001</v>
      </c>
      <c r="O176" s="1">
        <f t="shared" si="9"/>
        <v>0</v>
      </c>
      <c r="P176" s="4">
        <f t="shared" si="10"/>
        <v>45352</v>
      </c>
      <c r="Q176" s="4">
        <f t="shared" si="11"/>
        <v>45413</v>
      </c>
    </row>
    <row r="177" spans="1:17" x14ac:dyDescent="0.25">
      <c r="A177">
        <v>39313</v>
      </c>
      <c r="B177" t="s">
        <v>132</v>
      </c>
      <c r="C177" t="str">
        <f>_xlfn.XLOOKUP(B177,Multipliers!A:A,Multipliers!C:C)</f>
        <v>Jeffrey Weight</v>
      </c>
      <c r="D177" s="3">
        <v>45317</v>
      </c>
      <c r="E177" t="s">
        <v>1877</v>
      </c>
      <c r="F177" t="s">
        <v>2009</v>
      </c>
      <c r="G177" t="s">
        <v>1604</v>
      </c>
      <c r="H177">
        <v>0</v>
      </c>
      <c r="I177" s="1">
        <v>0</v>
      </c>
      <c r="J177" s="1">
        <v>0</v>
      </c>
      <c r="K177">
        <v>1</v>
      </c>
      <c r="L177">
        <f>IF(E177="4. Renewal - MRR",IF(I177&lt;=0,0,VLOOKUP(B177,Multipliers!A:L,MATCH(K177,Multipliers!$A$1:$L$1,0),FALSE)),VLOOKUP(B177,Multipliers!A:L,MATCH(K177,Multipliers!$A$1:$L$1,0),FALSE))</f>
        <v>0</v>
      </c>
      <c r="M177">
        <f t="shared" si="8"/>
        <v>0</v>
      </c>
      <c r="N177" s="1">
        <f>_xlfn.XLOOKUP(A177,'Product Detail'!$AG:$AG,'Product Detail'!$AH:$AH,"N/A")</f>
        <v>45.127199999999988</v>
      </c>
      <c r="O177" s="1">
        <f t="shared" si="9"/>
        <v>0</v>
      </c>
      <c r="P177" s="4">
        <f t="shared" si="10"/>
        <v>45352</v>
      </c>
      <c r="Q177" s="4">
        <f t="shared" si="11"/>
        <v>45413</v>
      </c>
    </row>
    <row r="178" spans="1:17" x14ac:dyDescent="0.25">
      <c r="A178">
        <v>38815</v>
      </c>
      <c r="B178" t="s">
        <v>61</v>
      </c>
      <c r="C178" t="str">
        <f>_xlfn.XLOOKUP(B178,Multipliers!A:A,Multipliers!C:C)</f>
        <v>John Powell</v>
      </c>
      <c r="D178" s="3">
        <v>45303</v>
      </c>
      <c r="E178" t="s">
        <v>1877</v>
      </c>
      <c r="F178" t="s">
        <v>2073</v>
      </c>
      <c r="G178" t="s">
        <v>1132</v>
      </c>
      <c r="H178">
        <v>0</v>
      </c>
      <c r="I178" s="1">
        <v>0</v>
      </c>
      <c r="J178" s="1">
        <v>0</v>
      </c>
      <c r="K178">
        <v>1</v>
      </c>
      <c r="L178">
        <f>IF(E178="4. Renewal - MRR",IF(I178&lt;=0,0,VLOOKUP(B178,Multipliers!A:L,MATCH(K178,Multipliers!$A$1:$L$1,0),FALSE)),VLOOKUP(B178,Multipliers!A:L,MATCH(K178,Multipliers!$A$1:$L$1,0),FALSE))</f>
        <v>0</v>
      </c>
      <c r="M178">
        <f t="shared" si="8"/>
        <v>0</v>
      </c>
      <c r="N178" s="1">
        <f>_xlfn.XLOOKUP(A178,'Product Detail'!$AG:$AG,'Product Detail'!$AH:$AH,"N/A")</f>
        <v>0</v>
      </c>
      <c r="O178" s="1">
        <f t="shared" si="9"/>
        <v>0</v>
      </c>
      <c r="P178" s="4">
        <f t="shared" si="10"/>
        <v>45352</v>
      </c>
      <c r="Q178" s="4">
        <f t="shared" si="11"/>
        <v>45413</v>
      </c>
    </row>
    <row r="179" spans="1:17" x14ac:dyDescent="0.25">
      <c r="A179">
        <v>39308</v>
      </c>
      <c r="B179" t="s">
        <v>132</v>
      </c>
      <c r="C179" t="str">
        <f>_xlfn.XLOOKUP(B179,Multipliers!A:A,Multipliers!C:C)</f>
        <v>Jeffrey Weight</v>
      </c>
      <c r="D179" s="3">
        <v>45322</v>
      </c>
      <c r="E179" t="s">
        <v>1877</v>
      </c>
      <c r="F179" t="s">
        <v>2010</v>
      </c>
      <c r="G179" t="s">
        <v>1597</v>
      </c>
      <c r="H179">
        <v>0</v>
      </c>
      <c r="I179" s="1">
        <v>0</v>
      </c>
      <c r="J179" s="1">
        <v>0</v>
      </c>
      <c r="K179">
        <v>1</v>
      </c>
      <c r="L179">
        <f>IF(E179="4. Renewal - MRR",IF(I179&lt;=0,0,VLOOKUP(B179,Multipliers!A:L,MATCH(K179,Multipliers!$A$1:$L$1,0),FALSE)),VLOOKUP(B179,Multipliers!A:L,MATCH(K179,Multipliers!$A$1:$L$1,0),FALSE))</f>
        <v>0</v>
      </c>
      <c r="M179">
        <f t="shared" si="8"/>
        <v>0</v>
      </c>
      <c r="N179" s="1">
        <f>_xlfn.XLOOKUP(A179,'Product Detail'!$AG:$AG,'Product Detail'!$AH:$AH,"N/A")</f>
        <v>43.171199999999999</v>
      </c>
      <c r="O179" s="1">
        <f t="shared" si="9"/>
        <v>0</v>
      </c>
      <c r="P179" s="4">
        <f t="shared" si="10"/>
        <v>45352</v>
      </c>
      <c r="Q179" s="4">
        <f t="shared" si="11"/>
        <v>45413</v>
      </c>
    </row>
    <row r="180" spans="1:17" x14ac:dyDescent="0.25">
      <c r="A180">
        <v>38817</v>
      </c>
      <c r="B180" t="s">
        <v>56</v>
      </c>
      <c r="C180" t="str">
        <f>_xlfn.XLOOKUP(B180,Multipliers!A:A,Multipliers!C:C)</f>
        <v>John Powell</v>
      </c>
      <c r="D180" s="3">
        <v>45308</v>
      </c>
      <c r="E180" t="s">
        <v>1877</v>
      </c>
      <c r="F180" t="s">
        <v>1945</v>
      </c>
      <c r="G180" t="s">
        <v>1151</v>
      </c>
      <c r="H180">
        <v>0</v>
      </c>
      <c r="I180" s="1">
        <v>0</v>
      </c>
      <c r="J180" s="1">
        <v>0</v>
      </c>
      <c r="K180">
        <v>1</v>
      </c>
      <c r="L180">
        <f>IF(E180="4. Renewal - MRR",IF(I180&lt;=0,0,VLOOKUP(B180,Multipliers!A:L,MATCH(K180,Multipliers!$A$1:$L$1,0),FALSE)),VLOOKUP(B180,Multipliers!A:L,MATCH(K180,Multipliers!$A$1:$L$1,0),FALSE))</f>
        <v>0</v>
      </c>
      <c r="M180">
        <f t="shared" si="8"/>
        <v>0</v>
      </c>
      <c r="N180" s="1">
        <f>_xlfn.XLOOKUP(A180,'Product Detail'!$AG:$AG,'Product Detail'!$AH:$AH,"N/A")</f>
        <v>103.8419</v>
      </c>
      <c r="O180" s="1">
        <f t="shared" si="9"/>
        <v>0</v>
      </c>
      <c r="P180" s="4">
        <f t="shared" si="10"/>
        <v>45352</v>
      </c>
      <c r="Q180" s="4">
        <f t="shared" si="11"/>
        <v>45413</v>
      </c>
    </row>
    <row r="181" spans="1:17" x14ac:dyDescent="0.25">
      <c r="A181">
        <v>39293</v>
      </c>
      <c r="B181" t="s">
        <v>140</v>
      </c>
      <c r="C181" t="str">
        <f>_xlfn.XLOOKUP(B181,Multipliers!A:A,Multipliers!C:C)</f>
        <v>Jeffrey Weight</v>
      </c>
      <c r="D181" s="3">
        <v>45315</v>
      </c>
      <c r="E181" t="s">
        <v>1877</v>
      </c>
      <c r="F181" t="s">
        <v>1998</v>
      </c>
      <c r="G181" t="s">
        <v>1589</v>
      </c>
      <c r="H181">
        <v>0</v>
      </c>
      <c r="I181" s="1">
        <v>0</v>
      </c>
      <c r="J181" s="1">
        <v>0</v>
      </c>
      <c r="K181">
        <v>1</v>
      </c>
      <c r="L181">
        <f>IF(E181="4. Renewal - MRR",IF(I181&lt;=0,0,VLOOKUP(B181,Multipliers!A:L,MATCH(K181,Multipliers!$A$1:$L$1,0),FALSE)),VLOOKUP(B181,Multipliers!A:L,MATCH(K181,Multipliers!$A$1:$L$1,0),FALSE))</f>
        <v>0</v>
      </c>
      <c r="M181">
        <f t="shared" si="8"/>
        <v>0</v>
      </c>
      <c r="N181" s="1">
        <f>_xlfn.XLOOKUP(A181,'Product Detail'!$AG:$AG,'Product Detail'!$AH:$AH,"N/A")</f>
        <v>19.910399999999999</v>
      </c>
      <c r="O181" s="1">
        <f t="shared" si="9"/>
        <v>0</v>
      </c>
      <c r="P181" s="4">
        <f t="shared" si="10"/>
        <v>45352</v>
      </c>
      <c r="Q181" s="4">
        <f t="shared" si="11"/>
        <v>45413</v>
      </c>
    </row>
    <row r="182" spans="1:17" x14ac:dyDescent="0.25">
      <c r="A182">
        <v>39292</v>
      </c>
      <c r="B182" t="s">
        <v>107</v>
      </c>
      <c r="C182" t="str">
        <f>_xlfn.XLOOKUP(B182,Multipliers!A:A,Multipliers!C:C)</f>
        <v>Luis Blanco</v>
      </c>
      <c r="D182" s="3">
        <v>45316</v>
      </c>
      <c r="E182" t="s">
        <v>1877</v>
      </c>
      <c r="F182" t="s">
        <v>1894</v>
      </c>
      <c r="G182" t="s">
        <v>1586</v>
      </c>
      <c r="H182">
        <v>0</v>
      </c>
      <c r="I182" s="1">
        <v>0</v>
      </c>
      <c r="J182" s="1">
        <v>0</v>
      </c>
      <c r="K182">
        <v>1</v>
      </c>
      <c r="L182">
        <f>IF(E182="4. Renewal - MRR",IF(I182&lt;=0,0,VLOOKUP(B182,Multipliers!A:L,MATCH(K182,Multipliers!$A$1:$L$1,0),FALSE)),VLOOKUP(B182,Multipliers!A:L,MATCH(K182,Multipliers!$A$1:$L$1,0),FALSE))</f>
        <v>0</v>
      </c>
      <c r="M182">
        <f t="shared" si="8"/>
        <v>0</v>
      </c>
      <c r="N182" s="1">
        <f>_xlfn.XLOOKUP(A182,'Product Detail'!$AG:$AG,'Product Detail'!$AH:$AH,"N/A")</f>
        <v>5.6328000000000022</v>
      </c>
      <c r="O182" s="1">
        <f t="shared" si="9"/>
        <v>0</v>
      </c>
      <c r="P182" s="4">
        <f t="shared" si="10"/>
        <v>45352</v>
      </c>
      <c r="Q182" s="4">
        <f t="shared" si="11"/>
        <v>45413</v>
      </c>
    </row>
    <row r="183" spans="1:17" x14ac:dyDescent="0.25">
      <c r="A183">
        <v>39290</v>
      </c>
      <c r="B183" t="s">
        <v>107</v>
      </c>
      <c r="C183" t="str">
        <f>_xlfn.XLOOKUP(B183,Multipliers!A:A,Multipliers!C:C)</f>
        <v>Luis Blanco</v>
      </c>
      <c r="D183" s="3">
        <v>45315</v>
      </c>
      <c r="E183" t="s">
        <v>1878</v>
      </c>
      <c r="F183" t="s">
        <v>2011</v>
      </c>
      <c r="G183" t="s">
        <v>1583</v>
      </c>
      <c r="H183">
        <v>0</v>
      </c>
      <c r="I183" s="1">
        <v>0</v>
      </c>
      <c r="J183" s="1">
        <v>0</v>
      </c>
      <c r="K183">
        <v>1</v>
      </c>
      <c r="L183">
        <f>IF(E183="4. Renewal - MRR",IF(I183&lt;=0,0,VLOOKUP(B183,Multipliers!A:L,MATCH(K183,Multipliers!$A$1:$L$1,0),FALSE)),VLOOKUP(B183,Multipliers!A:L,MATCH(K183,Multipliers!$A$1:$L$1,0),FALSE))</f>
        <v>0</v>
      </c>
      <c r="M183">
        <f t="shared" si="8"/>
        <v>0</v>
      </c>
      <c r="N183" s="1">
        <f>_xlfn.XLOOKUP(A183,'Product Detail'!$AG:$AG,'Product Detail'!$AH:$AH,"N/A")</f>
        <v>0.34880000000000155</v>
      </c>
      <c r="O183" s="1">
        <f t="shared" si="9"/>
        <v>0</v>
      </c>
      <c r="P183" s="4">
        <f t="shared" si="10"/>
        <v>45352</v>
      </c>
      <c r="Q183" s="4">
        <f t="shared" si="11"/>
        <v>45413</v>
      </c>
    </row>
    <row r="184" spans="1:17" x14ac:dyDescent="0.25">
      <c r="A184">
        <v>39284</v>
      </c>
      <c r="B184" t="s">
        <v>140</v>
      </c>
      <c r="C184" t="str">
        <f>_xlfn.XLOOKUP(B184,Multipliers!A:A,Multipliers!C:C)</f>
        <v>Jeffrey Weight</v>
      </c>
      <c r="D184" s="3">
        <v>45315</v>
      </c>
      <c r="E184" t="s">
        <v>1881</v>
      </c>
      <c r="F184" t="s">
        <v>2012</v>
      </c>
      <c r="G184" t="s">
        <v>1580</v>
      </c>
      <c r="H184">
        <v>0</v>
      </c>
      <c r="I184" s="1">
        <v>0</v>
      </c>
      <c r="J184" s="1">
        <v>0</v>
      </c>
      <c r="K184">
        <v>1</v>
      </c>
      <c r="L184">
        <f>IF(E184="4. Renewal - MRR",IF(I184&lt;=0,0,VLOOKUP(B184,Multipliers!A:L,MATCH(K184,Multipliers!$A$1:$L$1,0),FALSE)),VLOOKUP(B184,Multipliers!A:L,MATCH(K184,Multipliers!$A$1:$L$1,0),FALSE))</f>
        <v>0</v>
      </c>
      <c r="M184">
        <f t="shared" si="8"/>
        <v>0</v>
      </c>
      <c r="N184" s="1">
        <f>_xlfn.XLOOKUP(A184,'Product Detail'!$AG:$AG,'Product Detail'!$AH:$AH,"N/A")</f>
        <v>4.944</v>
      </c>
      <c r="O184" s="1">
        <f t="shared" si="9"/>
        <v>0</v>
      </c>
      <c r="P184" s="4">
        <f t="shared" si="10"/>
        <v>45352</v>
      </c>
      <c r="Q184" s="4">
        <f t="shared" si="11"/>
        <v>45413</v>
      </c>
    </row>
    <row r="185" spans="1:17" x14ac:dyDescent="0.25">
      <c r="A185">
        <v>39281</v>
      </c>
      <c r="B185" t="s">
        <v>132</v>
      </c>
      <c r="C185" t="str">
        <f>_xlfn.XLOOKUP(B185,Multipliers!A:A,Multipliers!C:C)</f>
        <v>Jeffrey Weight</v>
      </c>
      <c r="D185" s="3">
        <v>45316</v>
      </c>
      <c r="E185" t="s">
        <v>1877</v>
      </c>
      <c r="F185" t="s">
        <v>1998</v>
      </c>
      <c r="G185" t="s">
        <v>1572</v>
      </c>
      <c r="H185">
        <v>0</v>
      </c>
      <c r="I185" s="1">
        <v>0</v>
      </c>
      <c r="J185" s="1">
        <v>0</v>
      </c>
      <c r="K185">
        <v>1</v>
      </c>
      <c r="L185">
        <f>IF(E185="4. Renewal - MRR",IF(I185&lt;=0,0,VLOOKUP(B185,Multipliers!A:L,MATCH(K185,Multipliers!$A$1:$L$1,0),FALSE)),VLOOKUP(B185,Multipliers!A:L,MATCH(K185,Multipliers!$A$1:$L$1,0),FALSE))</f>
        <v>0</v>
      </c>
      <c r="M185">
        <f t="shared" si="8"/>
        <v>0</v>
      </c>
      <c r="N185" s="1">
        <f>_xlfn.XLOOKUP(A185,'Product Detail'!$AG:$AG,'Product Detail'!$AH:$AH,"N/A")</f>
        <v>24.006400000000006</v>
      </c>
      <c r="O185" s="1">
        <f t="shared" si="9"/>
        <v>0</v>
      </c>
      <c r="P185" s="4">
        <f t="shared" si="10"/>
        <v>45352</v>
      </c>
      <c r="Q185" s="4">
        <f t="shared" si="11"/>
        <v>45413</v>
      </c>
    </row>
    <row r="186" spans="1:17" x14ac:dyDescent="0.25">
      <c r="A186">
        <v>39278</v>
      </c>
      <c r="B186" t="s">
        <v>107</v>
      </c>
      <c r="C186" t="str">
        <f>_xlfn.XLOOKUP(B186,Multipliers!A:A,Multipliers!C:C)</f>
        <v>Luis Blanco</v>
      </c>
      <c r="D186" s="3">
        <v>45317</v>
      </c>
      <c r="E186" t="s">
        <v>1877</v>
      </c>
      <c r="F186" t="s">
        <v>1942</v>
      </c>
      <c r="G186" t="s">
        <v>1569</v>
      </c>
      <c r="H186">
        <v>0</v>
      </c>
      <c r="I186" s="1">
        <v>0</v>
      </c>
      <c r="J186" s="1">
        <v>0</v>
      </c>
      <c r="K186">
        <v>1</v>
      </c>
      <c r="L186">
        <f>IF(E186="4. Renewal - MRR",IF(I186&lt;=0,0,VLOOKUP(B186,Multipliers!A:L,MATCH(K186,Multipliers!$A$1:$L$1,0),FALSE)),VLOOKUP(B186,Multipliers!A:L,MATCH(K186,Multipliers!$A$1:$L$1,0),FALSE))</f>
        <v>0</v>
      </c>
      <c r="M186">
        <f t="shared" si="8"/>
        <v>0</v>
      </c>
      <c r="N186" s="1">
        <f>_xlfn.XLOOKUP(A186,'Product Detail'!$AG:$AG,'Product Detail'!$AH:$AH,"N/A")</f>
        <v>11.256</v>
      </c>
      <c r="O186" s="1">
        <f t="shared" si="9"/>
        <v>0</v>
      </c>
      <c r="P186" s="4">
        <f t="shared" si="10"/>
        <v>45352</v>
      </c>
      <c r="Q186" s="4">
        <f t="shared" si="11"/>
        <v>45413</v>
      </c>
    </row>
    <row r="187" spans="1:17" x14ac:dyDescent="0.25">
      <c r="A187">
        <v>39277</v>
      </c>
      <c r="B187" t="s">
        <v>150</v>
      </c>
      <c r="C187" t="str">
        <f>_xlfn.XLOOKUP(B187,Multipliers!A:A,Multipliers!C:C)</f>
        <v>Jeffrey Weight</v>
      </c>
      <c r="D187" s="3">
        <v>45322</v>
      </c>
      <c r="E187" t="s">
        <v>1877</v>
      </c>
      <c r="F187" t="s">
        <v>2013</v>
      </c>
      <c r="G187" t="s">
        <v>1566</v>
      </c>
      <c r="H187">
        <v>0</v>
      </c>
      <c r="I187" s="1">
        <v>0</v>
      </c>
      <c r="J187" s="1">
        <v>0</v>
      </c>
      <c r="K187">
        <v>1</v>
      </c>
      <c r="L187">
        <f>IF(E187="4. Renewal - MRR",IF(I187&lt;=0,0,VLOOKUP(B187,Multipliers!A:L,MATCH(K187,Multipliers!$A$1:$L$1,0),FALSE)),VLOOKUP(B187,Multipliers!A:L,MATCH(K187,Multipliers!$A$1:$L$1,0),FALSE))</f>
        <v>0</v>
      </c>
      <c r="M187">
        <f t="shared" si="8"/>
        <v>0</v>
      </c>
      <c r="N187" s="1">
        <f>_xlfn.XLOOKUP(A187,'Product Detail'!$AG:$AG,'Product Detail'!$AH:$AH,"N/A")</f>
        <v>30.896000000000004</v>
      </c>
      <c r="O187" s="1">
        <f t="shared" si="9"/>
        <v>0</v>
      </c>
      <c r="P187" s="4">
        <f t="shared" si="10"/>
        <v>45352</v>
      </c>
      <c r="Q187" s="4">
        <f t="shared" si="11"/>
        <v>45413</v>
      </c>
    </row>
    <row r="188" spans="1:17" x14ac:dyDescent="0.25">
      <c r="A188">
        <v>39276</v>
      </c>
      <c r="B188" t="s">
        <v>132</v>
      </c>
      <c r="C188" t="str">
        <f>_xlfn.XLOOKUP(B188,Multipliers!A:A,Multipliers!C:C)</f>
        <v>Jeffrey Weight</v>
      </c>
      <c r="D188" s="3">
        <v>45314</v>
      </c>
      <c r="E188" t="s">
        <v>1877</v>
      </c>
      <c r="F188" t="s">
        <v>2014</v>
      </c>
      <c r="G188" t="s">
        <v>1563</v>
      </c>
      <c r="H188">
        <v>0</v>
      </c>
      <c r="I188" s="1">
        <v>0</v>
      </c>
      <c r="J188" s="1">
        <v>0</v>
      </c>
      <c r="K188">
        <v>1</v>
      </c>
      <c r="L188">
        <f>IF(E188="4. Renewal - MRR",IF(I188&lt;=0,0,VLOOKUP(B188,Multipliers!A:L,MATCH(K188,Multipliers!$A$1:$L$1,0),FALSE)),VLOOKUP(B188,Multipliers!A:L,MATCH(K188,Multipliers!$A$1:$L$1,0),FALSE))</f>
        <v>0</v>
      </c>
      <c r="M188">
        <f t="shared" si="8"/>
        <v>0</v>
      </c>
      <c r="N188" s="1">
        <f>_xlfn.XLOOKUP(A188,'Product Detail'!$AG:$AG,'Product Detail'!$AH:$AH,"N/A")</f>
        <v>2.8896000000000006</v>
      </c>
      <c r="O188" s="1">
        <f t="shared" si="9"/>
        <v>0</v>
      </c>
      <c r="P188" s="4">
        <f t="shared" si="10"/>
        <v>45352</v>
      </c>
      <c r="Q188" s="4">
        <f t="shared" si="11"/>
        <v>45413</v>
      </c>
    </row>
    <row r="189" spans="1:17" x14ac:dyDescent="0.25">
      <c r="A189" s="2">
        <v>38842</v>
      </c>
      <c r="B189" t="s">
        <v>56</v>
      </c>
      <c r="C189" t="s">
        <v>2441</v>
      </c>
      <c r="D189" s="3">
        <v>45309</v>
      </c>
      <c r="E189" t="s">
        <v>1877</v>
      </c>
      <c r="F189" t="s">
        <v>1928</v>
      </c>
      <c r="G189" t="s">
        <v>2224</v>
      </c>
      <c r="H189">
        <v>0</v>
      </c>
      <c r="I189" s="1">
        <v>32.35</v>
      </c>
      <c r="J189" s="1">
        <v>0</v>
      </c>
      <c r="K189">
        <v>12</v>
      </c>
      <c r="L189">
        <f>IF(E189="4. Renewal - MRR",IF(I189&lt;=0,0,VLOOKUP(B189,Multipliers!A:L,MATCH(K189,Multipliers!$A$1:$L$1,0),FALSE)),VLOOKUP(B189,Multipliers!A:L,MATCH(K189,Multipliers!$A$1:$L$1,0),FALSE))</f>
        <v>0.125</v>
      </c>
      <c r="M189">
        <f t="shared" si="8"/>
        <v>0</v>
      </c>
      <c r="N189" s="1" t="str">
        <f>_xlfn.XLOOKUP(A189,'Product Detail'!$AG:$AG,'Product Detail'!$AH:$AH,"N/A")</f>
        <v>N/A</v>
      </c>
      <c r="O189" s="1">
        <f t="shared" si="9"/>
        <v>4.0437500000000002</v>
      </c>
      <c r="P189" s="4">
        <f t="shared" si="10"/>
        <v>45352</v>
      </c>
      <c r="Q189" s="4">
        <f t="shared" si="11"/>
        <v>45413</v>
      </c>
    </row>
    <row r="190" spans="1:17" x14ac:dyDescent="0.25">
      <c r="A190">
        <v>39274</v>
      </c>
      <c r="B190" t="s">
        <v>132</v>
      </c>
      <c r="C190" t="str">
        <f>_xlfn.XLOOKUP(B190,Multipliers!A:A,Multipliers!C:C)</f>
        <v>Jeffrey Weight</v>
      </c>
      <c r="D190" s="3">
        <v>45316</v>
      </c>
      <c r="E190" t="s">
        <v>1877</v>
      </c>
      <c r="F190" t="s">
        <v>2016</v>
      </c>
      <c r="G190" t="s">
        <v>1560</v>
      </c>
      <c r="H190">
        <v>0</v>
      </c>
      <c r="I190" s="1">
        <v>0</v>
      </c>
      <c r="J190" s="1">
        <v>0</v>
      </c>
      <c r="K190">
        <v>1</v>
      </c>
      <c r="L190">
        <f>IF(E190="4. Renewal - MRR",IF(I190&lt;=0,0,VLOOKUP(B190,Multipliers!A:L,MATCH(K190,Multipliers!$A$1:$L$1,0),FALSE)),VLOOKUP(B190,Multipliers!A:L,MATCH(K190,Multipliers!$A$1:$L$1,0),FALSE))</f>
        <v>0</v>
      </c>
      <c r="M190">
        <f t="shared" si="8"/>
        <v>0</v>
      </c>
      <c r="N190" s="1">
        <f>_xlfn.XLOOKUP(A190,'Product Detail'!$AG:$AG,'Product Detail'!$AH:$AH,"N/A")</f>
        <v>8</v>
      </c>
      <c r="O190" s="1">
        <f t="shared" si="9"/>
        <v>0</v>
      </c>
      <c r="P190" s="4">
        <f t="shared" si="10"/>
        <v>45352</v>
      </c>
      <c r="Q190" s="4">
        <f t="shared" si="11"/>
        <v>45413</v>
      </c>
    </row>
    <row r="191" spans="1:17" x14ac:dyDescent="0.25">
      <c r="A191">
        <v>39259</v>
      </c>
      <c r="B191" t="s">
        <v>132</v>
      </c>
      <c r="C191" t="str">
        <f>_xlfn.XLOOKUP(B191,Multipliers!A:A,Multipliers!C:C)</f>
        <v>Jeffrey Weight</v>
      </c>
      <c r="D191" s="3">
        <v>45314</v>
      </c>
      <c r="E191" t="s">
        <v>1877</v>
      </c>
      <c r="F191" t="s">
        <v>1992</v>
      </c>
      <c r="G191" t="s">
        <v>1551</v>
      </c>
      <c r="H191">
        <v>0</v>
      </c>
      <c r="I191" s="1">
        <v>0</v>
      </c>
      <c r="J191" s="1">
        <v>0</v>
      </c>
      <c r="K191">
        <v>1</v>
      </c>
      <c r="L191">
        <f>IF(E191="4. Renewal - MRR",IF(I191&lt;=0,0,VLOOKUP(B191,Multipliers!A:L,MATCH(K191,Multipliers!$A$1:$L$1,0),FALSE)),VLOOKUP(B191,Multipliers!A:L,MATCH(K191,Multipliers!$A$1:$L$1,0),FALSE))</f>
        <v>0</v>
      </c>
      <c r="M191">
        <f t="shared" si="8"/>
        <v>0</v>
      </c>
      <c r="N191" s="1">
        <f>_xlfn.XLOOKUP(A191,'Product Detail'!$AG:$AG,'Product Detail'!$AH:$AH,"N/A")</f>
        <v>13.44</v>
      </c>
      <c r="O191" s="1">
        <f t="shared" si="9"/>
        <v>0</v>
      </c>
      <c r="P191" s="4">
        <f t="shared" si="10"/>
        <v>45352</v>
      </c>
      <c r="Q191" s="4">
        <f t="shared" si="11"/>
        <v>45413</v>
      </c>
    </row>
    <row r="192" spans="1:17" x14ac:dyDescent="0.25">
      <c r="A192">
        <v>38854</v>
      </c>
      <c r="B192" t="s">
        <v>61</v>
      </c>
      <c r="C192" t="str">
        <f>_xlfn.XLOOKUP(B192,Multipliers!A:A,Multipliers!C:C)</f>
        <v>John Powell</v>
      </c>
      <c r="D192" s="3">
        <v>45303</v>
      </c>
      <c r="E192" t="s">
        <v>1877</v>
      </c>
      <c r="F192" t="s">
        <v>1987</v>
      </c>
      <c r="G192" t="s">
        <v>1169</v>
      </c>
      <c r="H192">
        <v>0</v>
      </c>
      <c r="I192" s="1">
        <v>0</v>
      </c>
      <c r="J192" s="1">
        <v>0</v>
      </c>
      <c r="K192">
        <v>1</v>
      </c>
      <c r="L192">
        <f>IF(E192="4. Renewal - MRR",IF(I192&lt;=0,0,VLOOKUP(B192,Multipliers!A:L,MATCH(K192,Multipliers!$A$1:$L$1,0),FALSE)),VLOOKUP(B192,Multipliers!A:L,MATCH(K192,Multipliers!$A$1:$L$1,0),FALSE))</f>
        <v>0</v>
      </c>
      <c r="M192">
        <f t="shared" si="8"/>
        <v>0</v>
      </c>
      <c r="N192" s="1">
        <f>_xlfn.XLOOKUP(A192,'Product Detail'!$AG:$AG,'Product Detail'!$AH:$AH,"N/A")</f>
        <v>0</v>
      </c>
      <c r="O192" s="1">
        <f t="shared" si="9"/>
        <v>0</v>
      </c>
      <c r="P192" s="4">
        <f t="shared" si="10"/>
        <v>45352</v>
      </c>
      <c r="Q192" s="4">
        <f t="shared" si="11"/>
        <v>45413</v>
      </c>
    </row>
    <row r="193" spans="1:17" x14ac:dyDescent="0.25">
      <c r="A193">
        <v>39249</v>
      </c>
      <c r="B193" t="s">
        <v>1874</v>
      </c>
      <c r="C193" t="str">
        <f>_xlfn.XLOOKUP(B193,Multipliers!A:A,Multipliers!C:C)</f>
        <v>Jeffrey Weight</v>
      </c>
      <c r="D193" s="3">
        <v>45315</v>
      </c>
      <c r="E193" t="s">
        <v>1881</v>
      </c>
      <c r="F193" t="s">
        <v>2018</v>
      </c>
      <c r="G193" t="s">
        <v>1544</v>
      </c>
      <c r="H193">
        <v>0</v>
      </c>
      <c r="I193" s="1">
        <v>0</v>
      </c>
      <c r="J193" s="1">
        <v>0</v>
      </c>
      <c r="K193">
        <v>1</v>
      </c>
      <c r="L193">
        <f>IF(E193="4. Renewal - MRR",IF(I193&lt;=0,0,VLOOKUP(B193,Multipliers!A:L,MATCH(K193,Multipliers!$A$1:$L$1,0),FALSE)),VLOOKUP(B193,Multipliers!A:L,MATCH(K193,Multipliers!$A$1:$L$1,0),FALSE))</f>
        <v>0</v>
      </c>
      <c r="M193">
        <f t="shared" si="8"/>
        <v>0</v>
      </c>
      <c r="N193" s="1">
        <f>_xlfn.XLOOKUP(A193,'Product Detail'!$AG:$AG,'Product Detail'!$AH:$AH,"N/A")</f>
        <v>50.655999999999985</v>
      </c>
      <c r="O193" s="1">
        <f t="shared" si="9"/>
        <v>0</v>
      </c>
      <c r="P193" s="4">
        <f t="shared" si="10"/>
        <v>45352</v>
      </c>
      <c r="Q193" s="4">
        <f t="shared" si="11"/>
        <v>45413</v>
      </c>
    </row>
    <row r="194" spans="1:17" x14ac:dyDescent="0.25">
      <c r="A194">
        <v>39245</v>
      </c>
      <c r="B194" t="s">
        <v>1874</v>
      </c>
      <c r="C194" t="str">
        <f>_xlfn.XLOOKUP(B194,Multipliers!A:A,Multipliers!C:C)</f>
        <v>Jeffrey Weight</v>
      </c>
      <c r="D194" s="3">
        <v>45320</v>
      </c>
      <c r="E194" t="s">
        <v>1881</v>
      </c>
      <c r="F194" t="s">
        <v>2018</v>
      </c>
      <c r="G194" t="s">
        <v>1537</v>
      </c>
      <c r="H194">
        <v>0</v>
      </c>
      <c r="I194" s="1">
        <v>0</v>
      </c>
      <c r="J194" s="1">
        <v>0</v>
      </c>
      <c r="K194">
        <v>1</v>
      </c>
      <c r="L194">
        <f>IF(E194="4. Renewal - MRR",IF(I194&lt;=0,0,VLOOKUP(B194,Multipliers!A:L,MATCH(K194,Multipliers!$A$1:$L$1,0),FALSE)),VLOOKUP(B194,Multipliers!A:L,MATCH(K194,Multipliers!$A$1:$L$1,0),FALSE))</f>
        <v>0</v>
      </c>
      <c r="M194">
        <f t="shared" ref="M194:M257" si="12">IF(E194="4. Renewal - MRR",IF(K194&gt;24,0.25,0),0)</f>
        <v>0</v>
      </c>
      <c r="N194" s="1">
        <f>_xlfn.XLOOKUP(A194,'Product Detail'!$AG:$AG,'Product Detail'!$AH:$AH,"N/A")</f>
        <v>5.4880000000000022</v>
      </c>
      <c r="O194" s="1">
        <f t="shared" ref="O194:O257" si="13">I194*L194+J194*M194</f>
        <v>0</v>
      </c>
      <c r="P194" s="4">
        <f t="shared" ref="P194:P257" si="14">EOMONTH(D194,1)+1</f>
        <v>45352</v>
      </c>
      <c r="Q194" s="4">
        <f t="shared" ref="Q194:Q257" si="15">EOMONTH(D194,3)+1</f>
        <v>45413</v>
      </c>
    </row>
    <row r="195" spans="1:17" x14ac:dyDescent="0.25">
      <c r="A195">
        <v>39244</v>
      </c>
      <c r="B195" t="s">
        <v>107</v>
      </c>
      <c r="C195" t="str">
        <f>_xlfn.XLOOKUP(B195,Multipliers!A:A,Multipliers!C:C)</f>
        <v>Luis Blanco</v>
      </c>
      <c r="D195" s="3">
        <v>45315</v>
      </c>
      <c r="E195" t="s">
        <v>1877</v>
      </c>
      <c r="F195" t="s">
        <v>2019</v>
      </c>
      <c r="G195" t="s">
        <v>1534</v>
      </c>
      <c r="H195">
        <v>0</v>
      </c>
      <c r="I195" s="1">
        <v>0</v>
      </c>
      <c r="J195" s="1">
        <v>0</v>
      </c>
      <c r="K195">
        <v>1</v>
      </c>
      <c r="L195">
        <f>IF(E195="4. Renewal - MRR",IF(I195&lt;=0,0,VLOOKUP(B195,Multipliers!A:L,MATCH(K195,Multipliers!$A$1:$L$1,0),FALSE)),VLOOKUP(B195,Multipliers!A:L,MATCH(K195,Multipliers!$A$1:$L$1,0),FALSE))</f>
        <v>0</v>
      </c>
      <c r="M195">
        <f t="shared" si="12"/>
        <v>0</v>
      </c>
      <c r="N195" s="1">
        <f>_xlfn.XLOOKUP(A195,'Product Detail'!$AG:$AG,'Product Detail'!$AH:$AH,"N/A")</f>
        <v>32</v>
      </c>
      <c r="O195" s="1">
        <f t="shared" si="13"/>
        <v>0</v>
      </c>
      <c r="P195" s="4">
        <f t="shared" si="14"/>
        <v>45352</v>
      </c>
      <c r="Q195" s="4">
        <f t="shared" si="15"/>
        <v>45413</v>
      </c>
    </row>
    <row r="196" spans="1:17" x14ac:dyDescent="0.25">
      <c r="A196">
        <v>39243</v>
      </c>
      <c r="B196" t="s">
        <v>1874</v>
      </c>
      <c r="C196" t="str">
        <f>_xlfn.XLOOKUP(B196,Multipliers!A:A,Multipliers!C:C)</f>
        <v>Jeffrey Weight</v>
      </c>
      <c r="D196" s="3">
        <v>45321</v>
      </c>
      <c r="E196" t="s">
        <v>1881</v>
      </c>
      <c r="F196" t="s">
        <v>2020</v>
      </c>
      <c r="G196" t="s">
        <v>1533</v>
      </c>
      <c r="H196">
        <v>0</v>
      </c>
      <c r="I196" s="1">
        <v>0</v>
      </c>
      <c r="J196" s="1">
        <v>0</v>
      </c>
      <c r="K196">
        <v>1</v>
      </c>
      <c r="L196">
        <f>IF(E196="4. Renewal - MRR",IF(I196&lt;=0,0,VLOOKUP(B196,Multipliers!A:L,MATCH(K196,Multipliers!$A$1:$L$1,0),FALSE)),VLOOKUP(B196,Multipliers!A:L,MATCH(K196,Multipliers!$A$1:$L$1,0),FALSE))</f>
        <v>0</v>
      </c>
      <c r="M196">
        <f t="shared" si="12"/>
        <v>0</v>
      </c>
      <c r="N196" s="1">
        <f>_xlfn.XLOOKUP(A196,'Product Detail'!$AG:$AG,'Product Detail'!$AH:$AH,"N/A")</f>
        <v>8.7776000000000032</v>
      </c>
      <c r="O196" s="1">
        <f t="shared" si="13"/>
        <v>0</v>
      </c>
      <c r="P196" s="4">
        <f t="shared" si="14"/>
        <v>45352</v>
      </c>
      <c r="Q196" s="4">
        <f t="shared" si="15"/>
        <v>45413</v>
      </c>
    </row>
    <row r="197" spans="1:17" x14ac:dyDescent="0.25">
      <c r="A197">
        <v>39242</v>
      </c>
      <c r="B197" t="s">
        <v>1874</v>
      </c>
      <c r="C197" t="str">
        <f>_xlfn.XLOOKUP(B197,Multipliers!A:A,Multipliers!C:C)</f>
        <v>Jeffrey Weight</v>
      </c>
      <c r="D197" s="3">
        <v>45316</v>
      </c>
      <c r="E197" t="s">
        <v>1881</v>
      </c>
      <c r="F197" t="s">
        <v>2021</v>
      </c>
      <c r="G197" t="s">
        <v>1532</v>
      </c>
      <c r="H197">
        <v>0</v>
      </c>
      <c r="I197" s="1">
        <v>0</v>
      </c>
      <c r="J197" s="1">
        <v>0</v>
      </c>
      <c r="K197">
        <v>1</v>
      </c>
      <c r="L197">
        <f>IF(E197="4. Renewal - MRR",IF(I197&lt;=0,0,VLOOKUP(B197,Multipliers!A:L,MATCH(K197,Multipliers!$A$1:$L$1,0),FALSE)),VLOOKUP(B197,Multipliers!A:L,MATCH(K197,Multipliers!$A$1:$L$1,0),FALSE))</f>
        <v>0</v>
      </c>
      <c r="M197">
        <f t="shared" si="12"/>
        <v>0</v>
      </c>
      <c r="N197" s="1">
        <f>_xlfn.XLOOKUP(A197,'Product Detail'!$AG:$AG,'Product Detail'!$AH:$AH,"N/A")</f>
        <v>7.6959999999999988</v>
      </c>
      <c r="O197" s="1">
        <f t="shared" si="13"/>
        <v>0</v>
      </c>
      <c r="P197" s="4">
        <f t="shared" si="14"/>
        <v>45352</v>
      </c>
      <c r="Q197" s="4">
        <f t="shared" si="15"/>
        <v>45413</v>
      </c>
    </row>
    <row r="198" spans="1:17" x14ac:dyDescent="0.25">
      <c r="A198">
        <v>39241</v>
      </c>
      <c r="B198" t="s">
        <v>1874</v>
      </c>
      <c r="C198" t="str">
        <f>_xlfn.XLOOKUP(B198,Multipliers!A:A,Multipliers!C:C)</f>
        <v>Jeffrey Weight</v>
      </c>
      <c r="D198" s="3">
        <v>45320</v>
      </c>
      <c r="E198" t="s">
        <v>1881</v>
      </c>
      <c r="F198" t="s">
        <v>2021</v>
      </c>
      <c r="G198" t="s">
        <v>1527</v>
      </c>
      <c r="H198">
        <v>0</v>
      </c>
      <c r="I198" s="1">
        <v>0</v>
      </c>
      <c r="J198" s="1">
        <v>0</v>
      </c>
      <c r="K198">
        <v>1</v>
      </c>
      <c r="L198">
        <f>IF(E198="4. Renewal - MRR",IF(I198&lt;=0,0,VLOOKUP(B198,Multipliers!A:L,MATCH(K198,Multipliers!$A$1:$L$1,0),FALSE)),VLOOKUP(B198,Multipliers!A:L,MATCH(K198,Multipliers!$A$1:$L$1,0),FALSE))</f>
        <v>0</v>
      </c>
      <c r="M198">
        <f t="shared" si="12"/>
        <v>0</v>
      </c>
      <c r="N198" s="1">
        <f>_xlfn.XLOOKUP(A198,'Product Detail'!$AG:$AG,'Product Detail'!$AH:$AH,"N/A")</f>
        <v>34.646399999999993</v>
      </c>
      <c r="O198" s="1">
        <f t="shared" si="13"/>
        <v>0</v>
      </c>
      <c r="P198" s="4">
        <f t="shared" si="14"/>
        <v>45352</v>
      </c>
      <c r="Q198" s="4">
        <f t="shared" si="15"/>
        <v>45413</v>
      </c>
    </row>
    <row r="199" spans="1:17" x14ac:dyDescent="0.25">
      <c r="A199">
        <v>39223</v>
      </c>
      <c r="B199" t="s">
        <v>132</v>
      </c>
      <c r="C199" t="str">
        <f>_xlfn.XLOOKUP(B199,Multipliers!A:A,Multipliers!C:C)</f>
        <v>Jeffrey Weight</v>
      </c>
      <c r="D199" s="3">
        <v>45313</v>
      </c>
      <c r="E199" t="s">
        <v>1877</v>
      </c>
      <c r="F199" t="s">
        <v>2022</v>
      </c>
      <c r="G199" t="s">
        <v>1522</v>
      </c>
      <c r="H199">
        <v>0</v>
      </c>
      <c r="I199" s="1">
        <v>0</v>
      </c>
      <c r="J199" s="1">
        <v>0</v>
      </c>
      <c r="K199">
        <v>1</v>
      </c>
      <c r="L199">
        <f>IF(E199="4. Renewal - MRR",IF(I199&lt;=0,0,VLOOKUP(B199,Multipliers!A:L,MATCH(K199,Multipliers!$A$1:$L$1,0),FALSE)),VLOOKUP(B199,Multipliers!A:L,MATCH(K199,Multipliers!$A$1:$L$1,0),FALSE))</f>
        <v>0</v>
      </c>
      <c r="M199">
        <f t="shared" si="12"/>
        <v>0</v>
      </c>
      <c r="N199" s="1">
        <f>_xlfn.XLOOKUP(A199,'Product Detail'!$AG:$AG,'Product Detail'!$AH:$AH,"N/A")</f>
        <v>15.407200000000003</v>
      </c>
      <c r="O199" s="1">
        <f t="shared" si="13"/>
        <v>0</v>
      </c>
      <c r="P199" s="4">
        <f t="shared" si="14"/>
        <v>45352</v>
      </c>
      <c r="Q199" s="4">
        <f t="shared" si="15"/>
        <v>45413</v>
      </c>
    </row>
    <row r="200" spans="1:17" x14ac:dyDescent="0.25">
      <c r="A200">
        <v>39222</v>
      </c>
      <c r="B200" t="s">
        <v>1874</v>
      </c>
      <c r="C200" t="str">
        <f>_xlfn.XLOOKUP(B200,Multipliers!A:A,Multipliers!C:C)</f>
        <v>Jeffrey Weight</v>
      </c>
      <c r="D200" s="3">
        <v>45315</v>
      </c>
      <c r="E200" t="s">
        <v>1878</v>
      </c>
      <c r="F200" t="s">
        <v>2018</v>
      </c>
      <c r="G200" t="s">
        <v>1521</v>
      </c>
      <c r="H200">
        <v>0</v>
      </c>
      <c r="I200" s="1">
        <v>0</v>
      </c>
      <c r="J200" s="1">
        <v>0</v>
      </c>
      <c r="K200">
        <v>1</v>
      </c>
      <c r="L200">
        <f>IF(E200="4. Renewal - MRR",IF(I200&lt;=0,0,VLOOKUP(B200,Multipliers!A:L,MATCH(K200,Multipliers!$A$1:$L$1,0),FALSE)),VLOOKUP(B200,Multipliers!A:L,MATCH(K200,Multipliers!$A$1:$L$1,0),FALSE))</f>
        <v>0</v>
      </c>
      <c r="M200">
        <f t="shared" si="12"/>
        <v>0</v>
      </c>
      <c r="N200" s="1">
        <f>_xlfn.XLOOKUP(A200,'Product Detail'!$AG:$AG,'Product Detail'!$AH:$AH,"N/A")</f>
        <v>-38.1</v>
      </c>
      <c r="O200" s="1">
        <f t="shared" si="13"/>
        <v>0</v>
      </c>
      <c r="P200" s="4">
        <f t="shared" si="14"/>
        <v>45352</v>
      </c>
      <c r="Q200" s="4">
        <f t="shared" si="15"/>
        <v>45413</v>
      </c>
    </row>
    <row r="201" spans="1:17" x14ac:dyDescent="0.25">
      <c r="A201">
        <v>39221</v>
      </c>
      <c r="B201" t="s">
        <v>1874</v>
      </c>
      <c r="C201" t="str">
        <f>_xlfn.XLOOKUP(B201,Multipliers!A:A,Multipliers!C:C)</f>
        <v>Jeffrey Weight</v>
      </c>
      <c r="D201" s="3">
        <v>45317</v>
      </c>
      <c r="E201" t="s">
        <v>1877</v>
      </c>
      <c r="F201" t="s">
        <v>1903</v>
      </c>
      <c r="G201" t="s">
        <v>1520</v>
      </c>
      <c r="H201">
        <v>0</v>
      </c>
      <c r="I201" s="1">
        <v>0</v>
      </c>
      <c r="J201" s="1">
        <v>0</v>
      </c>
      <c r="K201">
        <v>1</v>
      </c>
      <c r="L201">
        <f>IF(E201="4. Renewal - MRR",IF(I201&lt;=0,0,VLOOKUP(B201,Multipliers!A:L,MATCH(K201,Multipliers!$A$1:$L$1,0),FALSE)),VLOOKUP(B201,Multipliers!A:L,MATCH(K201,Multipliers!$A$1:$L$1,0),FALSE))</f>
        <v>0</v>
      </c>
      <c r="M201">
        <f t="shared" si="12"/>
        <v>0</v>
      </c>
      <c r="N201" s="1">
        <f>_xlfn.XLOOKUP(A201,'Product Detail'!$AG:$AG,'Product Detail'!$AH:$AH,"N/A")</f>
        <v>11.227200000000003</v>
      </c>
      <c r="O201" s="1">
        <f t="shared" si="13"/>
        <v>0</v>
      </c>
      <c r="P201" s="4">
        <f t="shared" si="14"/>
        <v>45352</v>
      </c>
      <c r="Q201" s="4">
        <f t="shared" si="15"/>
        <v>45413</v>
      </c>
    </row>
    <row r="202" spans="1:17" x14ac:dyDescent="0.25">
      <c r="A202">
        <v>39219</v>
      </c>
      <c r="B202" t="s">
        <v>132</v>
      </c>
      <c r="C202" t="str">
        <f>_xlfn.XLOOKUP(B202,Multipliers!A:A,Multipliers!C:C)</f>
        <v>Jeffrey Weight</v>
      </c>
      <c r="D202" s="3">
        <v>45315</v>
      </c>
      <c r="E202" t="s">
        <v>1877</v>
      </c>
      <c r="F202" t="s">
        <v>2007</v>
      </c>
      <c r="G202" t="s">
        <v>1517</v>
      </c>
      <c r="H202">
        <v>0</v>
      </c>
      <c r="I202" s="1">
        <v>0</v>
      </c>
      <c r="J202" s="1">
        <v>0</v>
      </c>
      <c r="K202">
        <v>1</v>
      </c>
      <c r="L202">
        <f>IF(E202="4. Renewal - MRR",IF(I202&lt;=0,0,VLOOKUP(B202,Multipliers!A:L,MATCH(K202,Multipliers!$A$1:$L$1,0),FALSE)),VLOOKUP(B202,Multipliers!A:L,MATCH(K202,Multipliers!$A$1:$L$1,0),FALSE))</f>
        <v>0</v>
      </c>
      <c r="M202">
        <f t="shared" si="12"/>
        <v>0</v>
      </c>
      <c r="N202" s="1">
        <f>_xlfn.XLOOKUP(A202,'Product Detail'!$AG:$AG,'Product Detail'!$AH:$AH,"N/A")</f>
        <v>3.9479999999999973</v>
      </c>
      <c r="O202" s="1">
        <f t="shared" si="13"/>
        <v>0</v>
      </c>
      <c r="P202" s="4">
        <f t="shared" si="14"/>
        <v>45352</v>
      </c>
      <c r="Q202" s="4">
        <f t="shared" si="15"/>
        <v>45413</v>
      </c>
    </row>
    <row r="203" spans="1:17" x14ac:dyDescent="0.25">
      <c r="A203">
        <v>39216</v>
      </c>
      <c r="B203" t="s">
        <v>107</v>
      </c>
      <c r="C203" t="str">
        <f>_xlfn.XLOOKUP(B203,Multipliers!A:A,Multipliers!C:C)</f>
        <v>Luis Blanco</v>
      </c>
      <c r="D203" s="3">
        <v>45315</v>
      </c>
      <c r="E203" t="s">
        <v>1877</v>
      </c>
      <c r="F203" t="s">
        <v>2023</v>
      </c>
      <c r="G203" t="s">
        <v>1512</v>
      </c>
      <c r="H203">
        <v>0</v>
      </c>
      <c r="I203" s="1">
        <v>0</v>
      </c>
      <c r="J203" s="1">
        <v>0</v>
      </c>
      <c r="K203">
        <v>1</v>
      </c>
      <c r="L203">
        <f>IF(E203="4. Renewal - MRR",IF(I203&lt;=0,0,VLOOKUP(B203,Multipliers!A:L,MATCH(K203,Multipliers!$A$1:$L$1,0),FALSE)),VLOOKUP(B203,Multipliers!A:L,MATCH(K203,Multipliers!$A$1:$L$1,0),FALSE))</f>
        <v>0</v>
      </c>
      <c r="M203">
        <f t="shared" si="12"/>
        <v>0</v>
      </c>
      <c r="N203" s="1">
        <f>_xlfn.XLOOKUP(A203,'Product Detail'!$AG:$AG,'Product Detail'!$AH:$AH,"N/A")</f>
        <v>16.91</v>
      </c>
      <c r="O203" s="1">
        <f t="shared" si="13"/>
        <v>0</v>
      </c>
      <c r="P203" s="4">
        <f t="shared" si="14"/>
        <v>45352</v>
      </c>
      <c r="Q203" s="4">
        <f t="shared" si="15"/>
        <v>45413</v>
      </c>
    </row>
    <row r="204" spans="1:17" x14ac:dyDescent="0.25">
      <c r="A204">
        <v>39215</v>
      </c>
      <c r="B204" t="s">
        <v>107</v>
      </c>
      <c r="C204" t="str">
        <f>_xlfn.XLOOKUP(B204,Multipliers!A:A,Multipliers!C:C)</f>
        <v>Luis Blanco</v>
      </c>
      <c r="D204" s="3">
        <v>45314</v>
      </c>
      <c r="E204" t="s">
        <v>1877</v>
      </c>
      <c r="F204" t="s">
        <v>1966</v>
      </c>
      <c r="G204" t="s">
        <v>1509</v>
      </c>
      <c r="H204">
        <v>0</v>
      </c>
      <c r="I204" s="1">
        <v>0</v>
      </c>
      <c r="J204" s="1">
        <v>0</v>
      </c>
      <c r="K204">
        <v>1</v>
      </c>
      <c r="L204">
        <f>IF(E204="4. Renewal - MRR",IF(I204&lt;=0,0,VLOOKUP(B204,Multipliers!A:L,MATCH(K204,Multipliers!$A$1:$L$1,0),FALSE)),VLOOKUP(B204,Multipliers!A:L,MATCH(K204,Multipliers!$A$1:$L$1,0),FALSE))</f>
        <v>0</v>
      </c>
      <c r="M204">
        <f t="shared" si="12"/>
        <v>0</v>
      </c>
      <c r="N204" s="1">
        <f>_xlfn.XLOOKUP(A204,'Product Detail'!$AG:$AG,'Product Detail'!$AH:$AH,"N/A")</f>
        <v>21.3996</v>
      </c>
      <c r="O204" s="1">
        <f t="shared" si="13"/>
        <v>0</v>
      </c>
      <c r="P204" s="4">
        <f t="shared" si="14"/>
        <v>45352</v>
      </c>
      <c r="Q204" s="4">
        <f t="shared" si="15"/>
        <v>45413</v>
      </c>
    </row>
    <row r="205" spans="1:17" x14ac:dyDescent="0.25">
      <c r="A205">
        <v>39214</v>
      </c>
      <c r="B205" t="s">
        <v>107</v>
      </c>
      <c r="C205" t="str">
        <f>_xlfn.XLOOKUP(B205,Multipliers!A:A,Multipliers!C:C)</f>
        <v>Luis Blanco</v>
      </c>
      <c r="D205" s="3">
        <v>45315</v>
      </c>
      <c r="E205" t="s">
        <v>1877</v>
      </c>
      <c r="F205" t="s">
        <v>1885</v>
      </c>
      <c r="G205" t="s">
        <v>1508</v>
      </c>
      <c r="H205">
        <v>0</v>
      </c>
      <c r="I205" s="1">
        <v>0</v>
      </c>
      <c r="J205" s="1">
        <v>0</v>
      </c>
      <c r="K205">
        <v>1</v>
      </c>
      <c r="L205">
        <f>IF(E205="4. Renewal - MRR",IF(I205&lt;=0,0,VLOOKUP(B205,Multipliers!A:L,MATCH(K205,Multipliers!$A$1:$L$1,0),FALSE)),VLOOKUP(B205,Multipliers!A:L,MATCH(K205,Multipliers!$A$1:$L$1,0),FALSE))</f>
        <v>0</v>
      </c>
      <c r="M205">
        <f t="shared" si="12"/>
        <v>0</v>
      </c>
      <c r="N205" s="1">
        <f>_xlfn.XLOOKUP(A205,'Product Detail'!$AG:$AG,'Product Detail'!$AH:$AH,"N/A")</f>
        <v>4.2012</v>
      </c>
      <c r="O205" s="1">
        <f t="shared" si="13"/>
        <v>0</v>
      </c>
      <c r="P205" s="4">
        <f t="shared" si="14"/>
        <v>45352</v>
      </c>
      <c r="Q205" s="4">
        <f t="shared" si="15"/>
        <v>45413</v>
      </c>
    </row>
    <row r="206" spans="1:17" x14ac:dyDescent="0.25">
      <c r="A206">
        <v>38859</v>
      </c>
      <c r="B206" t="s">
        <v>61</v>
      </c>
      <c r="C206" t="str">
        <f>_xlfn.XLOOKUP(B206,Multipliers!A:A,Multipliers!C:C)</f>
        <v>John Powell</v>
      </c>
      <c r="D206" s="3">
        <v>45303</v>
      </c>
      <c r="E206" t="s">
        <v>1877</v>
      </c>
      <c r="F206" t="s">
        <v>1987</v>
      </c>
      <c r="G206" t="s">
        <v>1174</v>
      </c>
      <c r="H206">
        <v>0</v>
      </c>
      <c r="I206" s="1">
        <v>0</v>
      </c>
      <c r="J206" s="1">
        <v>0</v>
      </c>
      <c r="K206">
        <v>1</v>
      </c>
      <c r="L206">
        <f>IF(E206="4. Renewal - MRR",IF(I206&lt;=0,0,VLOOKUP(B206,Multipliers!A:L,MATCH(K206,Multipliers!$A$1:$L$1,0),FALSE)),VLOOKUP(B206,Multipliers!A:L,MATCH(K206,Multipliers!$A$1:$L$1,0),FALSE))</f>
        <v>0</v>
      </c>
      <c r="M206">
        <f t="shared" si="12"/>
        <v>0</v>
      </c>
      <c r="N206" s="1">
        <f>_xlfn.XLOOKUP(A206,'Product Detail'!$AG:$AG,'Product Detail'!$AH:$AH,"N/A")</f>
        <v>0</v>
      </c>
      <c r="O206" s="1">
        <f t="shared" si="13"/>
        <v>0</v>
      </c>
      <c r="P206" s="4">
        <f t="shared" si="14"/>
        <v>45352</v>
      </c>
      <c r="Q206" s="4">
        <f t="shared" si="15"/>
        <v>45413</v>
      </c>
    </row>
    <row r="207" spans="1:17" x14ac:dyDescent="0.25">
      <c r="A207">
        <v>39199</v>
      </c>
      <c r="B207" t="s">
        <v>107</v>
      </c>
      <c r="C207" t="str">
        <f>_xlfn.XLOOKUP(B207,Multipliers!A:A,Multipliers!C:C)</f>
        <v>Luis Blanco</v>
      </c>
      <c r="D207" s="3">
        <v>45314</v>
      </c>
      <c r="E207" t="s">
        <v>1877</v>
      </c>
      <c r="F207" t="s">
        <v>1942</v>
      </c>
      <c r="G207" t="s">
        <v>1067</v>
      </c>
      <c r="H207">
        <v>0</v>
      </c>
      <c r="I207" s="1">
        <v>0</v>
      </c>
      <c r="J207" s="1">
        <v>0</v>
      </c>
      <c r="K207">
        <v>1</v>
      </c>
      <c r="L207">
        <f>IF(E207="4. Renewal - MRR",IF(I207&lt;=0,0,VLOOKUP(B207,Multipliers!A:L,MATCH(K207,Multipliers!$A$1:$L$1,0),FALSE)),VLOOKUP(B207,Multipliers!A:L,MATCH(K207,Multipliers!$A$1:$L$1,0),FALSE))</f>
        <v>0</v>
      </c>
      <c r="M207">
        <f t="shared" si="12"/>
        <v>0</v>
      </c>
      <c r="N207" s="1">
        <f>_xlfn.XLOOKUP(A207,'Product Detail'!$AG:$AG,'Product Detail'!$AH:$AH,"N/A")</f>
        <v>0.26319999999999993</v>
      </c>
      <c r="O207" s="1">
        <f t="shared" si="13"/>
        <v>0</v>
      </c>
      <c r="P207" s="4">
        <f t="shared" si="14"/>
        <v>45352</v>
      </c>
      <c r="Q207" s="4">
        <f t="shared" si="15"/>
        <v>45413</v>
      </c>
    </row>
    <row r="208" spans="1:17" x14ac:dyDescent="0.25">
      <c r="A208">
        <v>39198</v>
      </c>
      <c r="B208" t="s">
        <v>107</v>
      </c>
      <c r="C208" t="str">
        <f>_xlfn.XLOOKUP(B208,Multipliers!A:A,Multipliers!C:C)</f>
        <v>Luis Blanco</v>
      </c>
      <c r="D208" s="3">
        <v>45314</v>
      </c>
      <c r="E208" t="s">
        <v>1877</v>
      </c>
      <c r="F208" t="s">
        <v>2024</v>
      </c>
      <c r="G208" t="s">
        <v>1265</v>
      </c>
      <c r="H208">
        <v>0</v>
      </c>
      <c r="I208" s="1">
        <v>0</v>
      </c>
      <c r="J208" s="1">
        <v>0</v>
      </c>
      <c r="K208">
        <v>1</v>
      </c>
      <c r="L208">
        <f>IF(E208="4. Renewal - MRR",IF(I208&lt;=0,0,VLOOKUP(B208,Multipliers!A:L,MATCH(K208,Multipliers!$A$1:$L$1,0),FALSE)),VLOOKUP(B208,Multipliers!A:L,MATCH(K208,Multipliers!$A$1:$L$1,0),FALSE))</f>
        <v>0</v>
      </c>
      <c r="M208">
        <f t="shared" si="12"/>
        <v>0</v>
      </c>
      <c r="N208" s="1">
        <f>_xlfn.XLOOKUP(A208,'Product Detail'!$AG:$AG,'Product Detail'!$AH:$AH,"N/A")</f>
        <v>0.68040000000000023</v>
      </c>
      <c r="O208" s="1">
        <f t="shared" si="13"/>
        <v>0</v>
      </c>
      <c r="P208" s="4">
        <f t="shared" si="14"/>
        <v>45352</v>
      </c>
      <c r="Q208" s="4">
        <f t="shared" si="15"/>
        <v>45413</v>
      </c>
    </row>
    <row r="209" spans="1:17" x14ac:dyDescent="0.25">
      <c r="A209">
        <v>38870</v>
      </c>
      <c r="B209" t="s">
        <v>56</v>
      </c>
      <c r="C209" t="str">
        <f>_xlfn.XLOOKUP(B209,Multipliers!A:A,Multipliers!C:C)</f>
        <v>John Powell</v>
      </c>
      <c r="D209" s="3">
        <v>45307</v>
      </c>
      <c r="E209" t="s">
        <v>1877</v>
      </c>
      <c r="F209" t="s">
        <v>2051</v>
      </c>
      <c r="G209" t="s">
        <v>1179</v>
      </c>
      <c r="H209">
        <v>0</v>
      </c>
      <c r="I209" s="1">
        <v>0</v>
      </c>
      <c r="J209" s="1">
        <v>0</v>
      </c>
      <c r="K209">
        <v>1</v>
      </c>
      <c r="L209">
        <f>IF(E209="4. Renewal - MRR",IF(I209&lt;=0,0,VLOOKUP(B209,Multipliers!A:L,MATCH(K209,Multipliers!$A$1:$L$1,0),FALSE)),VLOOKUP(B209,Multipliers!A:L,MATCH(K209,Multipliers!$A$1:$L$1,0),FALSE))</f>
        <v>0</v>
      </c>
      <c r="M209">
        <f t="shared" si="12"/>
        <v>0</v>
      </c>
      <c r="N209" s="1">
        <f>_xlfn.XLOOKUP(A209,'Product Detail'!$AG:$AG,'Product Detail'!$AH:$AH,"N/A")</f>
        <v>52.94905</v>
      </c>
      <c r="O209" s="1">
        <f t="shared" si="13"/>
        <v>0</v>
      </c>
      <c r="P209" s="4">
        <f t="shared" si="14"/>
        <v>45352</v>
      </c>
      <c r="Q209" s="4">
        <f t="shared" si="15"/>
        <v>45413</v>
      </c>
    </row>
    <row r="210" spans="1:17" x14ac:dyDescent="0.25">
      <c r="A210">
        <v>38872</v>
      </c>
      <c r="B210" t="s">
        <v>61</v>
      </c>
      <c r="C210" t="str">
        <f>_xlfn.XLOOKUP(B210,Multipliers!A:A,Multipliers!C:C)</f>
        <v>John Powell</v>
      </c>
      <c r="D210" s="3">
        <v>45303</v>
      </c>
      <c r="E210" t="s">
        <v>1877</v>
      </c>
      <c r="F210" t="s">
        <v>1987</v>
      </c>
      <c r="G210" t="s">
        <v>1190</v>
      </c>
      <c r="H210">
        <v>0</v>
      </c>
      <c r="I210" s="1">
        <v>0</v>
      </c>
      <c r="J210" s="1">
        <v>0</v>
      </c>
      <c r="K210">
        <v>1</v>
      </c>
      <c r="L210">
        <f>IF(E210="4. Renewal - MRR",IF(I210&lt;=0,0,VLOOKUP(B210,Multipliers!A:L,MATCH(K210,Multipliers!$A$1:$L$1,0),FALSE)),VLOOKUP(B210,Multipliers!A:L,MATCH(K210,Multipliers!$A$1:$L$1,0),FALSE))</f>
        <v>0</v>
      </c>
      <c r="M210">
        <f t="shared" si="12"/>
        <v>0</v>
      </c>
      <c r="N210" s="1">
        <f>_xlfn.XLOOKUP(A210,'Product Detail'!$AG:$AG,'Product Detail'!$AH:$AH,"N/A")</f>
        <v>0</v>
      </c>
      <c r="O210" s="1">
        <f t="shared" si="13"/>
        <v>0</v>
      </c>
      <c r="P210" s="4">
        <f t="shared" si="14"/>
        <v>45352</v>
      </c>
      <c r="Q210" s="4">
        <f t="shared" si="15"/>
        <v>45413</v>
      </c>
    </row>
    <row r="211" spans="1:17" x14ac:dyDescent="0.25">
      <c r="A211">
        <v>39181</v>
      </c>
      <c r="B211" t="s">
        <v>132</v>
      </c>
      <c r="C211" t="str">
        <f>_xlfn.XLOOKUP(B211,Multipliers!A:A,Multipliers!C:C)</f>
        <v>Jeffrey Weight</v>
      </c>
      <c r="D211" s="3">
        <v>45314</v>
      </c>
      <c r="E211" t="s">
        <v>1877</v>
      </c>
      <c r="F211" t="s">
        <v>2025</v>
      </c>
      <c r="G211" t="s">
        <v>1497</v>
      </c>
      <c r="H211">
        <v>0</v>
      </c>
      <c r="I211" s="1">
        <v>0</v>
      </c>
      <c r="J211" s="1">
        <v>0</v>
      </c>
      <c r="K211">
        <v>1</v>
      </c>
      <c r="L211">
        <f>IF(E211="4. Renewal - MRR",IF(I211&lt;=0,0,VLOOKUP(B211,Multipliers!A:L,MATCH(K211,Multipliers!$A$1:$L$1,0),FALSE)),VLOOKUP(B211,Multipliers!A:L,MATCH(K211,Multipliers!$A$1:$L$1,0),FALSE))</f>
        <v>0</v>
      </c>
      <c r="M211">
        <f t="shared" si="12"/>
        <v>0</v>
      </c>
      <c r="N211" s="1">
        <f>_xlfn.XLOOKUP(A211,'Product Detail'!$AG:$AG,'Product Detail'!$AH:$AH,"N/A")</f>
        <v>5.7479999999999993</v>
      </c>
      <c r="O211" s="1">
        <f t="shared" si="13"/>
        <v>0</v>
      </c>
      <c r="P211" s="4">
        <f t="shared" si="14"/>
        <v>45352</v>
      </c>
      <c r="Q211" s="4">
        <f t="shared" si="15"/>
        <v>45413</v>
      </c>
    </row>
    <row r="212" spans="1:17" x14ac:dyDescent="0.25">
      <c r="A212">
        <v>39171</v>
      </c>
      <c r="B212" t="s">
        <v>184</v>
      </c>
      <c r="C212" t="str">
        <f>_xlfn.XLOOKUP(B212,Multipliers!A:A,Multipliers!C:C)</f>
        <v>Jeffrey Weight</v>
      </c>
      <c r="D212" s="3">
        <v>45316</v>
      </c>
      <c r="E212" t="s">
        <v>1877</v>
      </c>
      <c r="F212" t="s">
        <v>2026</v>
      </c>
      <c r="G212" t="s">
        <v>1493</v>
      </c>
      <c r="H212">
        <v>0</v>
      </c>
      <c r="I212" s="1">
        <v>0</v>
      </c>
      <c r="J212" s="1">
        <v>0</v>
      </c>
      <c r="K212">
        <v>1</v>
      </c>
      <c r="L212">
        <f>IF(E212="4. Renewal - MRR",IF(I212&lt;=0,0,VLOOKUP(B212,Multipliers!A:L,MATCH(K212,Multipliers!$A$1:$L$1,0),FALSE)),VLOOKUP(B212,Multipliers!A:L,MATCH(K212,Multipliers!$A$1:$L$1,0),FALSE))</f>
        <v>0</v>
      </c>
      <c r="M212">
        <f t="shared" si="12"/>
        <v>0</v>
      </c>
      <c r="N212" s="1">
        <f>_xlfn.XLOOKUP(A212,'Product Detail'!$AG:$AG,'Product Detail'!$AH:$AH,"N/A")</f>
        <v>0</v>
      </c>
      <c r="O212" s="1">
        <f t="shared" si="13"/>
        <v>0</v>
      </c>
      <c r="P212" s="4">
        <f t="shared" si="14"/>
        <v>45352</v>
      </c>
      <c r="Q212" s="4">
        <f t="shared" si="15"/>
        <v>45413</v>
      </c>
    </row>
    <row r="213" spans="1:17" x14ac:dyDescent="0.25">
      <c r="A213">
        <v>39169</v>
      </c>
      <c r="B213" t="s">
        <v>132</v>
      </c>
      <c r="C213" t="str">
        <f>_xlfn.XLOOKUP(B213,Multipliers!A:A,Multipliers!C:C)</f>
        <v>Jeffrey Weight</v>
      </c>
      <c r="D213" s="3">
        <v>45321</v>
      </c>
      <c r="E213" t="s">
        <v>1877</v>
      </c>
      <c r="F213" t="s">
        <v>2001</v>
      </c>
      <c r="G213" t="s">
        <v>1489</v>
      </c>
      <c r="H213">
        <v>0</v>
      </c>
      <c r="I213" s="1">
        <v>0</v>
      </c>
      <c r="J213" s="1">
        <v>0</v>
      </c>
      <c r="K213">
        <v>1</v>
      </c>
      <c r="L213">
        <f>IF(E213="4. Renewal - MRR",IF(I213&lt;=0,0,VLOOKUP(B213,Multipliers!A:L,MATCH(K213,Multipliers!$A$1:$L$1,0),FALSE)),VLOOKUP(B213,Multipliers!A:L,MATCH(K213,Multipliers!$A$1:$L$1,0),FALSE))</f>
        <v>0</v>
      </c>
      <c r="M213">
        <f t="shared" si="12"/>
        <v>0</v>
      </c>
      <c r="N213" s="1">
        <f>_xlfn.XLOOKUP(A213,'Product Detail'!$AG:$AG,'Product Detail'!$AH:$AH,"N/A")</f>
        <v>116.06720000000001</v>
      </c>
      <c r="O213" s="1">
        <f t="shared" si="13"/>
        <v>0</v>
      </c>
      <c r="P213" s="4">
        <f t="shared" si="14"/>
        <v>45352</v>
      </c>
      <c r="Q213" s="4">
        <f t="shared" si="15"/>
        <v>45413</v>
      </c>
    </row>
    <row r="214" spans="1:17" x14ac:dyDescent="0.25">
      <c r="A214">
        <v>39164</v>
      </c>
      <c r="B214" t="s">
        <v>107</v>
      </c>
      <c r="C214" t="str">
        <f>_xlfn.XLOOKUP(B214,Multipliers!A:A,Multipliers!C:C)</f>
        <v>Luis Blanco</v>
      </c>
      <c r="D214" s="3">
        <v>45313</v>
      </c>
      <c r="E214" t="s">
        <v>1877</v>
      </c>
      <c r="F214" t="s">
        <v>2027</v>
      </c>
      <c r="G214" t="s">
        <v>1067</v>
      </c>
      <c r="H214">
        <v>0</v>
      </c>
      <c r="I214" s="1">
        <v>0</v>
      </c>
      <c r="J214" s="1">
        <v>0</v>
      </c>
      <c r="K214">
        <v>1</v>
      </c>
      <c r="L214">
        <f>IF(E214="4. Renewal - MRR",IF(I214&lt;=0,0,VLOOKUP(B214,Multipliers!A:L,MATCH(K214,Multipliers!$A$1:$L$1,0),FALSE)),VLOOKUP(B214,Multipliers!A:L,MATCH(K214,Multipliers!$A$1:$L$1,0),FALSE))</f>
        <v>0</v>
      </c>
      <c r="M214">
        <f t="shared" si="12"/>
        <v>0</v>
      </c>
      <c r="N214" s="1">
        <f>_xlfn.XLOOKUP(A214,'Product Detail'!$AG:$AG,'Product Detail'!$AH:$AH,"N/A")</f>
        <v>1.5627999999999997</v>
      </c>
      <c r="O214" s="1">
        <f t="shared" si="13"/>
        <v>0</v>
      </c>
      <c r="P214" s="4">
        <f t="shared" si="14"/>
        <v>45352</v>
      </c>
      <c r="Q214" s="4">
        <f t="shared" si="15"/>
        <v>45413</v>
      </c>
    </row>
    <row r="215" spans="1:17" x14ac:dyDescent="0.25">
      <c r="A215">
        <v>39158</v>
      </c>
      <c r="B215" t="s">
        <v>140</v>
      </c>
      <c r="C215" t="str">
        <f>_xlfn.XLOOKUP(B215,Multipliers!A:A,Multipliers!C:C)</f>
        <v>Jeffrey Weight</v>
      </c>
      <c r="D215" s="3">
        <v>45313</v>
      </c>
      <c r="E215" t="s">
        <v>1877</v>
      </c>
      <c r="F215" t="s">
        <v>2028</v>
      </c>
      <c r="G215" t="s">
        <v>1486</v>
      </c>
      <c r="H215">
        <v>0</v>
      </c>
      <c r="I215" s="1">
        <v>0</v>
      </c>
      <c r="J215" s="1">
        <v>0</v>
      </c>
      <c r="K215">
        <v>1</v>
      </c>
      <c r="L215">
        <f>IF(E215="4. Renewal - MRR",IF(I215&lt;=0,0,VLOOKUP(B215,Multipliers!A:L,MATCH(K215,Multipliers!$A$1:$L$1,0),FALSE)),VLOOKUP(B215,Multipliers!A:L,MATCH(K215,Multipliers!$A$1:$L$1,0),FALSE))</f>
        <v>0</v>
      </c>
      <c r="M215">
        <f t="shared" si="12"/>
        <v>0</v>
      </c>
      <c r="N215" s="1">
        <f>_xlfn.XLOOKUP(A215,'Product Detail'!$AG:$AG,'Product Detail'!$AH:$AH,"N/A")</f>
        <v>25.536000000000005</v>
      </c>
      <c r="O215" s="1">
        <f t="shared" si="13"/>
        <v>0</v>
      </c>
      <c r="P215" s="4">
        <f t="shared" si="14"/>
        <v>45352</v>
      </c>
      <c r="Q215" s="4">
        <f t="shared" si="15"/>
        <v>45413</v>
      </c>
    </row>
    <row r="216" spans="1:17" x14ac:dyDescent="0.25">
      <c r="A216">
        <v>38875</v>
      </c>
      <c r="B216" t="s">
        <v>61</v>
      </c>
      <c r="C216" t="str">
        <f>_xlfn.XLOOKUP(B216,Multipliers!A:A,Multipliers!C:C)</f>
        <v>John Powell</v>
      </c>
      <c r="D216" s="3">
        <v>45303</v>
      </c>
      <c r="E216" t="s">
        <v>1877</v>
      </c>
      <c r="F216" t="s">
        <v>1987</v>
      </c>
      <c r="G216" t="s">
        <v>1191</v>
      </c>
      <c r="H216">
        <v>0</v>
      </c>
      <c r="I216" s="1">
        <v>0</v>
      </c>
      <c r="J216" s="1">
        <v>0</v>
      </c>
      <c r="K216">
        <v>1</v>
      </c>
      <c r="L216">
        <f>IF(E216="4. Renewal - MRR",IF(I216&lt;=0,0,VLOOKUP(B216,Multipliers!A:L,MATCH(K216,Multipliers!$A$1:$L$1,0),FALSE)),VLOOKUP(B216,Multipliers!A:L,MATCH(K216,Multipliers!$A$1:$L$1,0),FALSE))</f>
        <v>0</v>
      </c>
      <c r="M216">
        <f t="shared" si="12"/>
        <v>0</v>
      </c>
      <c r="N216" s="1">
        <f>_xlfn.XLOOKUP(A216,'Product Detail'!$AG:$AG,'Product Detail'!$AH:$AH,"N/A")</f>
        <v>0</v>
      </c>
      <c r="O216" s="1">
        <f t="shared" si="13"/>
        <v>0</v>
      </c>
      <c r="P216" s="4">
        <f t="shared" si="14"/>
        <v>45352</v>
      </c>
      <c r="Q216" s="4">
        <f t="shared" si="15"/>
        <v>45413</v>
      </c>
    </row>
    <row r="217" spans="1:17" x14ac:dyDescent="0.25">
      <c r="A217">
        <v>39153</v>
      </c>
      <c r="B217" t="s">
        <v>107</v>
      </c>
      <c r="C217" t="str">
        <f>_xlfn.XLOOKUP(B217,Multipliers!A:A,Multipliers!C:C)</f>
        <v>Luis Blanco</v>
      </c>
      <c r="D217" s="3">
        <v>45317</v>
      </c>
      <c r="E217" t="s">
        <v>1877</v>
      </c>
      <c r="F217" t="s">
        <v>2030</v>
      </c>
      <c r="G217" t="s">
        <v>1265</v>
      </c>
      <c r="H217">
        <v>0</v>
      </c>
      <c r="I217" s="1">
        <v>0</v>
      </c>
      <c r="J217" s="1">
        <v>0</v>
      </c>
      <c r="K217">
        <v>1</v>
      </c>
      <c r="L217">
        <f>IF(E217="4. Renewal - MRR",IF(I217&lt;=0,0,VLOOKUP(B217,Multipliers!A:L,MATCH(K217,Multipliers!$A$1:$L$1,0),FALSE)),VLOOKUP(B217,Multipliers!A:L,MATCH(K217,Multipliers!$A$1:$L$1,0),FALSE))</f>
        <v>0</v>
      </c>
      <c r="M217">
        <f t="shared" si="12"/>
        <v>0</v>
      </c>
      <c r="N217" s="1">
        <f>_xlfn.XLOOKUP(A217,'Product Detail'!$AG:$AG,'Product Detail'!$AH:$AH,"N/A")</f>
        <v>0.60040000000000027</v>
      </c>
      <c r="O217" s="1">
        <f t="shared" si="13"/>
        <v>0</v>
      </c>
      <c r="P217" s="4">
        <f t="shared" si="14"/>
        <v>45352</v>
      </c>
      <c r="Q217" s="4">
        <f t="shared" si="15"/>
        <v>45413</v>
      </c>
    </row>
    <row r="218" spans="1:17" x14ac:dyDescent="0.25">
      <c r="A218">
        <v>38883</v>
      </c>
      <c r="B218" t="s">
        <v>61</v>
      </c>
      <c r="C218" t="str">
        <f>_xlfn.XLOOKUP(B218,Multipliers!A:A,Multipliers!C:C)</f>
        <v>John Powell</v>
      </c>
      <c r="D218" s="3">
        <v>45303</v>
      </c>
      <c r="E218" t="s">
        <v>1877</v>
      </c>
      <c r="F218" t="s">
        <v>1987</v>
      </c>
      <c r="G218" t="s">
        <v>1195</v>
      </c>
      <c r="H218">
        <v>0</v>
      </c>
      <c r="I218" s="1">
        <v>0</v>
      </c>
      <c r="J218" s="1">
        <v>0</v>
      </c>
      <c r="K218">
        <v>1</v>
      </c>
      <c r="L218">
        <f>IF(E218="4. Renewal - MRR",IF(I218&lt;=0,0,VLOOKUP(B218,Multipliers!A:L,MATCH(K218,Multipliers!$A$1:$L$1,0),FALSE)),VLOOKUP(B218,Multipliers!A:L,MATCH(K218,Multipliers!$A$1:$L$1,0),FALSE))</f>
        <v>0</v>
      </c>
      <c r="M218">
        <f t="shared" si="12"/>
        <v>0</v>
      </c>
      <c r="N218" s="1">
        <f>_xlfn.XLOOKUP(A218,'Product Detail'!$AG:$AG,'Product Detail'!$AH:$AH,"N/A")</f>
        <v>0</v>
      </c>
      <c r="O218" s="1">
        <f t="shared" si="13"/>
        <v>0</v>
      </c>
      <c r="P218" s="4">
        <f t="shared" si="14"/>
        <v>45352</v>
      </c>
      <c r="Q218" s="4">
        <f t="shared" si="15"/>
        <v>45413</v>
      </c>
    </row>
    <row r="219" spans="1:17" x14ac:dyDescent="0.25">
      <c r="A219">
        <v>39149</v>
      </c>
      <c r="B219" t="s">
        <v>107</v>
      </c>
      <c r="C219" t="str">
        <f>_xlfn.XLOOKUP(B219,Multipliers!A:A,Multipliers!C:C)</f>
        <v>Luis Blanco</v>
      </c>
      <c r="D219" s="3">
        <v>45316</v>
      </c>
      <c r="E219" t="s">
        <v>1877</v>
      </c>
      <c r="F219" t="s">
        <v>2006</v>
      </c>
      <c r="G219" t="s">
        <v>1471</v>
      </c>
      <c r="H219">
        <v>0</v>
      </c>
      <c r="I219" s="1">
        <v>0</v>
      </c>
      <c r="J219" s="1">
        <v>0</v>
      </c>
      <c r="K219">
        <v>1</v>
      </c>
      <c r="L219">
        <f>IF(E219="4. Renewal - MRR",IF(I219&lt;=0,0,VLOOKUP(B219,Multipliers!A:L,MATCH(K219,Multipliers!$A$1:$L$1,0),FALSE)),VLOOKUP(B219,Multipliers!A:L,MATCH(K219,Multipliers!$A$1:$L$1,0),FALSE))</f>
        <v>0</v>
      </c>
      <c r="M219">
        <f t="shared" si="12"/>
        <v>0</v>
      </c>
      <c r="N219" s="1">
        <f>_xlfn.XLOOKUP(A219,'Product Detail'!$AG:$AG,'Product Detail'!$AH:$AH,"N/A")</f>
        <v>92.456400000000002</v>
      </c>
      <c r="O219" s="1">
        <f t="shared" si="13"/>
        <v>0</v>
      </c>
      <c r="P219" s="4">
        <f t="shared" si="14"/>
        <v>45352</v>
      </c>
      <c r="Q219" s="4">
        <f t="shared" si="15"/>
        <v>45413</v>
      </c>
    </row>
    <row r="220" spans="1:17" x14ac:dyDescent="0.25">
      <c r="A220">
        <v>39147</v>
      </c>
      <c r="B220" t="s">
        <v>107</v>
      </c>
      <c r="C220" t="str">
        <f>_xlfn.XLOOKUP(B220,Multipliers!A:A,Multipliers!C:C)</f>
        <v>Luis Blanco</v>
      </c>
      <c r="D220" s="3">
        <v>45321</v>
      </c>
      <c r="E220" t="s">
        <v>1881</v>
      </c>
      <c r="F220" t="s">
        <v>2031</v>
      </c>
      <c r="G220" t="s">
        <v>1470</v>
      </c>
      <c r="H220">
        <v>0</v>
      </c>
      <c r="I220" s="1">
        <v>0</v>
      </c>
      <c r="J220" s="1">
        <v>0</v>
      </c>
      <c r="K220">
        <v>1</v>
      </c>
      <c r="L220">
        <f>IF(E220="4. Renewal - MRR",IF(I220&lt;=0,0,VLOOKUP(B220,Multipliers!A:L,MATCH(K220,Multipliers!$A$1:$L$1,0),FALSE)),VLOOKUP(B220,Multipliers!A:L,MATCH(K220,Multipliers!$A$1:$L$1,0),FALSE))</f>
        <v>0</v>
      </c>
      <c r="M220">
        <f t="shared" si="12"/>
        <v>0</v>
      </c>
      <c r="N220" s="1">
        <f>_xlfn.XLOOKUP(A220,'Product Detail'!$AG:$AG,'Product Detail'!$AH:$AH,"N/A")</f>
        <v>1.2008000000000005</v>
      </c>
      <c r="O220" s="1">
        <f t="shared" si="13"/>
        <v>0</v>
      </c>
      <c r="P220" s="4">
        <f t="shared" si="14"/>
        <v>45352</v>
      </c>
      <c r="Q220" s="4">
        <f t="shared" si="15"/>
        <v>45413</v>
      </c>
    </row>
    <row r="221" spans="1:17" x14ac:dyDescent="0.25">
      <c r="A221">
        <v>39146</v>
      </c>
      <c r="B221" t="s">
        <v>150</v>
      </c>
      <c r="C221" t="str">
        <f>_xlfn.XLOOKUP(B221,Multipliers!A:A,Multipliers!C:C)</f>
        <v>Jeffrey Weight</v>
      </c>
      <c r="D221" s="3">
        <v>45310</v>
      </c>
      <c r="E221" t="s">
        <v>1881</v>
      </c>
      <c r="F221" t="s">
        <v>2032</v>
      </c>
      <c r="G221" t="s">
        <v>1467</v>
      </c>
      <c r="H221">
        <v>0</v>
      </c>
      <c r="I221" s="1">
        <v>0</v>
      </c>
      <c r="J221" s="1">
        <v>0</v>
      </c>
      <c r="K221">
        <v>1</v>
      </c>
      <c r="L221">
        <f>IF(E221="4. Renewal - MRR",IF(I221&lt;=0,0,VLOOKUP(B221,Multipliers!A:L,MATCH(K221,Multipliers!$A$1:$L$1,0),FALSE)),VLOOKUP(B221,Multipliers!A:L,MATCH(K221,Multipliers!$A$1:$L$1,0),FALSE))</f>
        <v>0</v>
      </c>
      <c r="M221">
        <f t="shared" si="12"/>
        <v>0</v>
      </c>
      <c r="N221" s="1">
        <f>_xlfn.XLOOKUP(A221,'Product Detail'!$AG:$AG,'Product Detail'!$AH:$AH,"N/A")</f>
        <v>15.120000000000001</v>
      </c>
      <c r="O221" s="1">
        <f t="shared" si="13"/>
        <v>0</v>
      </c>
      <c r="P221" s="4">
        <f t="shared" si="14"/>
        <v>45352</v>
      </c>
      <c r="Q221" s="4">
        <f t="shared" si="15"/>
        <v>45413</v>
      </c>
    </row>
    <row r="222" spans="1:17" x14ac:dyDescent="0.25">
      <c r="A222">
        <v>39145</v>
      </c>
      <c r="B222" t="s">
        <v>107</v>
      </c>
      <c r="C222" t="str">
        <f>_xlfn.XLOOKUP(B222,Multipliers!A:A,Multipliers!C:C)</f>
        <v>Luis Blanco</v>
      </c>
      <c r="D222" s="3">
        <v>45314</v>
      </c>
      <c r="E222" t="s">
        <v>1877</v>
      </c>
      <c r="F222" t="s">
        <v>2033</v>
      </c>
      <c r="G222" t="s">
        <v>1463</v>
      </c>
      <c r="H222">
        <v>0</v>
      </c>
      <c r="I222" s="1">
        <v>0</v>
      </c>
      <c r="J222" s="1">
        <v>0</v>
      </c>
      <c r="K222">
        <v>1</v>
      </c>
      <c r="L222">
        <f>IF(E222="4. Renewal - MRR",IF(I222&lt;=0,0,VLOOKUP(B222,Multipliers!A:L,MATCH(K222,Multipliers!$A$1:$L$1,0),FALSE)),VLOOKUP(B222,Multipliers!A:L,MATCH(K222,Multipliers!$A$1:$L$1,0),FALSE))</f>
        <v>0</v>
      </c>
      <c r="M222">
        <f t="shared" si="12"/>
        <v>0</v>
      </c>
      <c r="N222" s="1">
        <f>_xlfn.XLOOKUP(A222,'Product Detail'!$AG:$AG,'Product Detail'!$AH:$AH,"N/A")</f>
        <v>20.907200000000003</v>
      </c>
      <c r="O222" s="1">
        <f t="shared" si="13"/>
        <v>0</v>
      </c>
      <c r="P222" s="4">
        <f t="shared" si="14"/>
        <v>45352</v>
      </c>
      <c r="Q222" s="4">
        <f t="shared" si="15"/>
        <v>45413</v>
      </c>
    </row>
    <row r="223" spans="1:17" x14ac:dyDescent="0.25">
      <c r="A223">
        <v>38886</v>
      </c>
      <c r="B223" t="s">
        <v>61</v>
      </c>
      <c r="C223" t="str">
        <f>_xlfn.XLOOKUP(B223,Multipliers!A:A,Multipliers!C:C)</f>
        <v>John Powell</v>
      </c>
      <c r="D223" s="3">
        <v>45303</v>
      </c>
      <c r="E223" t="s">
        <v>1877</v>
      </c>
      <c r="F223" t="s">
        <v>1987</v>
      </c>
      <c r="G223" t="s">
        <v>1196</v>
      </c>
      <c r="H223">
        <v>0</v>
      </c>
      <c r="I223" s="1">
        <v>0</v>
      </c>
      <c r="J223" s="1">
        <v>0</v>
      </c>
      <c r="K223">
        <v>1</v>
      </c>
      <c r="L223">
        <f>IF(E223="4. Renewal - MRR",IF(I223&lt;=0,0,VLOOKUP(B223,Multipliers!A:L,MATCH(K223,Multipliers!$A$1:$L$1,0),FALSE)),VLOOKUP(B223,Multipliers!A:L,MATCH(K223,Multipliers!$A$1:$L$1,0),FALSE))</f>
        <v>0</v>
      </c>
      <c r="M223">
        <f t="shared" si="12"/>
        <v>0</v>
      </c>
      <c r="N223" s="1">
        <f>_xlfn.XLOOKUP(A223,'Product Detail'!$AG:$AG,'Product Detail'!$AH:$AH,"N/A")</f>
        <v>0</v>
      </c>
      <c r="O223" s="1">
        <f t="shared" si="13"/>
        <v>0</v>
      </c>
      <c r="P223" s="4">
        <f t="shared" si="14"/>
        <v>45352</v>
      </c>
      <c r="Q223" s="4">
        <f t="shared" si="15"/>
        <v>45413</v>
      </c>
    </row>
    <row r="224" spans="1:17" x14ac:dyDescent="0.25">
      <c r="A224">
        <v>39137</v>
      </c>
      <c r="B224" t="s">
        <v>150</v>
      </c>
      <c r="C224" t="str">
        <f>_xlfn.XLOOKUP(B224,Multipliers!A:A,Multipliers!C:C)</f>
        <v>Jeffrey Weight</v>
      </c>
      <c r="D224" s="3">
        <v>45310</v>
      </c>
      <c r="E224" t="s">
        <v>1877</v>
      </c>
      <c r="F224" t="s">
        <v>1898</v>
      </c>
      <c r="G224" t="s">
        <v>1458</v>
      </c>
      <c r="H224">
        <v>0</v>
      </c>
      <c r="I224" s="1">
        <v>0</v>
      </c>
      <c r="J224" s="1">
        <v>0</v>
      </c>
      <c r="K224">
        <v>1</v>
      </c>
      <c r="L224">
        <f>IF(E224="4. Renewal - MRR",IF(I224&lt;=0,0,VLOOKUP(B224,Multipliers!A:L,MATCH(K224,Multipliers!$A$1:$L$1,0),FALSE)),VLOOKUP(B224,Multipliers!A:L,MATCH(K224,Multipliers!$A$1:$L$1,0),FALSE))</f>
        <v>0</v>
      </c>
      <c r="M224">
        <f t="shared" si="12"/>
        <v>0</v>
      </c>
      <c r="N224" s="1">
        <f>_xlfn.XLOOKUP(A224,'Product Detail'!$AG:$AG,'Product Detail'!$AH:$AH,"N/A")</f>
        <v>66.52</v>
      </c>
      <c r="O224" s="1">
        <f t="shared" si="13"/>
        <v>0</v>
      </c>
      <c r="P224" s="4">
        <f t="shared" si="14"/>
        <v>45352</v>
      </c>
      <c r="Q224" s="4">
        <f t="shared" si="15"/>
        <v>45413</v>
      </c>
    </row>
    <row r="225" spans="1:17" x14ac:dyDescent="0.25">
      <c r="A225">
        <v>39136</v>
      </c>
      <c r="B225" t="s">
        <v>1874</v>
      </c>
      <c r="C225" t="str">
        <f>_xlfn.XLOOKUP(B225,Multipliers!A:A,Multipliers!C:C)</f>
        <v>Jeffrey Weight</v>
      </c>
      <c r="D225" s="3">
        <v>45321</v>
      </c>
      <c r="E225" t="s">
        <v>1877</v>
      </c>
      <c r="F225" t="s">
        <v>2035</v>
      </c>
      <c r="G225" t="s">
        <v>1457</v>
      </c>
      <c r="H225">
        <v>0</v>
      </c>
      <c r="I225" s="1">
        <v>0</v>
      </c>
      <c r="J225" s="1">
        <v>0</v>
      </c>
      <c r="K225">
        <v>0</v>
      </c>
      <c r="L225">
        <f>IF(E225="4. Renewal - MRR",IF(I225&lt;=0,0,VLOOKUP(B225,Multipliers!A:L,MATCH(K225,Multipliers!$A$1:$L$1,0),FALSE)),VLOOKUP(B225,Multipliers!A:L,MATCH(K225,Multipliers!$A$1:$L$1,0),FALSE))</f>
        <v>0</v>
      </c>
      <c r="M225">
        <f t="shared" si="12"/>
        <v>0</v>
      </c>
      <c r="N225" s="1">
        <f>_xlfn.XLOOKUP(A225,'Product Detail'!$AG:$AG,'Product Detail'!$AH:$AH,"N/A")</f>
        <v>360</v>
      </c>
      <c r="O225" s="1">
        <f t="shared" si="13"/>
        <v>0</v>
      </c>
      <c r="P225" s="4">
        <f t="shared" si="14"/>
        <v>45352</v>
      </c>
      <c r="Q225" s="4">
        <f t="shared" si="15"/>
        <v>45413</v>
      </c>
    </row>
    <row r="226" spans="1:17" x14ac:dyDescent="0.25">
      <c r="A226">
        <v>38890</v>
      </c>
      <c r="B226" t="s">
        <v>61</v>
      </c>
      <c r="C226" t="str">
        <f>_xlfn.XLOOKUP(B226,Multipliers!A:A,Multipliers!C:C)</f>
        <v>John Powell</v>
      </c>
      <c r="D226" s="3">
        <v>45303</v>
      </c>
      <c r="E226" t="s">
        <v>1877</v>
      </c>
      <c r="F226" t="s">
        <v>1987</v>
      </c>
      <c r="G226" t="s">
        <v>1200</v>
      </c>
      <c r="H226">
        <v>0</v>
      </c>
      <c r="I226" s="1">
        <v>0</v>
      </c>
      <c r="J226" s="1">
        <v>0</v>
      </c>
      <c r="K226">
        <v>1</v>
      </c>
      <c r="L226">
        <f>IF(E226="4. Renewal - MRR",IF(I226&lt;=0,0,VLOOKUP(B226,Multipliers!A:L,MATCH(K226,Multipliers!$A$1:$L$1,0),FALSE)),VLOOKUP(B226,Multipliers!A:L,MATCH(K226,Multipliers!$A$1:$L$1,0),FALSE))</f>
        <v>0</v>
      </c>
      <c r="M226">
        <f t="shared" si="12"/>
        <v>0</v>
      </c>
      <c r="N226" s="1">
        <f>_xlfn.XLOOKUP(A226,'Product Detail'!$AG:$AG,'Product Detail'!$AH:$AH,"N/A")</f>
        <v>0</v>
      </c>
      <c r="O226" s="1">
        <f t="shared" si="13"/>
        <v>0</v>
      </c>
      <c r="P226" s="4">
        <f t="shared" si="14"/>
        <v>45352</v>
      </c>
      <c r="Q226" s="4">
        <f t="shared" si="15"/>
        <v>45413</v>
      </c>
    </row>
    <row r="227" spans="1:17" x14ac:dyDescent="0.25">
      <c r="A227">
        <v>38892</v>
      </c>
      <c r="B227" t="s">
        <v>61</v>
      </c>
      <c r="C227" t="str">
        <f>_xlfn.XLOOKUP(B227,Multipliers!A:A,Multipliers!C:C)</f>
        <v>John Powell</v>
      </c>
      <c r="D227" s="3">
        <v>45303</v>
      </c>
      <c r="E227" t="s">
        <v>1877</v>
      </c>
      <c r="F227" t="s">
        <v>1987</v>
      </c>
      <c r="G227" t="s">
        <v>1201</v>
      </c>
      <c r="H227">
        <v>0</v>
      </c>
      <c r="I227" s="1">
        <v>0</v>
      </c>
      <c r="J227" s="1">
        <v>0</v>
      </c>
      <c r="K227">
        <v>1</v>
      </c>
      <c r="L227">
        <f>IF(E227="4. Renewal - MRR",IF(I227&lt;=0,0,VLOOKUP(B227,Multipliers!A:L,MATCH(K227,Multipliers!$A$1:$L$1,0),FALSE)),VLOOKUP(B227,Multipliers!A:L,MATCH(K227,Multipliers!$A$1:$L$1,0),FALSE))</f>
        <v>0</v>
      </c>
      <c r="M227">
        <f t="shared" si="12"/>
        <v>0</v>
      </c>
      <c r="N227" s="1">
        <f>_xlfn.XLOOKUP(A227,'Product Detail'!$AG:$AG,'Product Detail'!$AH:$AH,"N/A")</f>
        <v>0</v>
      </c>
      <c r="O227" s="1">
        <f t="shared" si="13"/>
        <v>0</v>
      </c>
      <c r="P227" s="4">
        <f t="shared" si="14"/>
        <v>45352</v>
      </c>
      <c r="Q227" s="4">
        <f t="shared" si="15"/>
        <v>45413</v>
      </c>
    </row>
    <row r="228" spans="1:17" x14ac:dyDescent="0.25">
      <c r="A228">
        <v>39133</v>
      </c>
      <c r="B228" t="s">
        <v>140</v>
      </c>
      <c r="C228" t="str">
        <f>_xlfn.XLOOKUP(B228,Multipliers!A:A,Multipliers!C:C)</f>
        <v>Jeffrey Weight</v>
      </c>
      <c r="D228" s="3">
        <v>45320</v>
      </c>
      <c r="E228" t="s">
        <v>1881</v>
      </c>
      <c r="F228" t="s">
        <v>1953</v>
      </c>
      <c r="G228" t="s">
        <v>1450</v>
      </c>
      <c r="H228">
        <v>0</v>
      </c>
      <c r="I228" s="1">
        <v>0</v>
      </c>
      <c r="J228" s="1">
        <v>0</v>
      </c>
      <c r="K228">
        <v>1</v>
      </c>
      <c r="L228">
        <f>IF(E228="4. Renewal - MRR",IF(I228&lt;=0,0,VLOOKUP(B228,Multipliers!A:L,MATCH(K228,Multipliers!$A$1:$L$1,0),FALSE)),VLOOKUP(B228,Multipliers!A:L,MATCH(K228,Multipliers!$A$1:$L$1,0),FALSE))</f>
        <v>0</v>
      </c>
      <c r="M228">
        <f t="shared" si="12"/>
        <v>0</v>
      </c>
      <c r="N228" s="1">
        <f>_xlfn.XLOOKUP(A228,'Product Detail'!$AG:$AG,'Product Detail'!$AH:$AH,"N/A")</f>
        <v>1.3848</v>
      </c>
      <c r="O228" s="1">
        <f t="shared" si="13"/>
        <v>0</v>
      </c>
      <c r="P228" s="4">
        <f t="shared" si="14"/>
        <v>45352</v>
      </c>
      <c r="Q228" s="4">
        <f t="shared" si="15"/>
        <v>45413</v>
      </c>
    </row>
    <row r="229" spans="1:17" x14ac:dyDescent="0.25">
      <c r="A229">
        <v>38895</v>
      </c>
      <c r="B229" t="s">
        <v>61</v>
      </c>
      <c r="C229" t="str">
        <f>_xlfn.XLOOKUP(B229,Multipliers!A:A,Multipliers!C:C)</f>
        <v>John Powell</v>
      </c>
      <c r="D229" s="3">
        <v>45303</v>
      </c>
      <c r="E229" t="s">
        <v>1877</v>
      </c>
      <c r="F229" t="s">
        <v>1987</v>
      </c>
      <c r="G229" t="s">
        <v>1204</v>
      </c>
      <c r="H229">
        <v>0</v>
      </c>
      <c r="I229" s="1">
        <v>0</v>
      </c>
      <c r="J229" s="1">
        <v>0</v>
      </c>
      <c r="K229">
        <v>1</v>
      </c>
      <c r="L229">
        <f>IF(E229="4. Renewal - MRR",IF(I229&lt;=0,0,VLOOKUP(B229,Multipliers!A:L,MATCH(K229,Multipliers!$A$1:$L$1,0),FALSE)),VLOOKUP(B229,Multipliers!A:L,MATCH(K229,Multipliers!$A$1:$L$1,0),FALSE))</f>
        <v>0</v>
      </c>
      <c r="M229">
        <f t="shared" si="12"/>
        <v>0</v>
      </c>
      <c r="N229" s="1">
        <f>_xlfn.XLOOKUP(A229,'Product Detail'!$AG:$AG,'Product Detail'!$AH:$AH,"N/A")</f>
        <v>0</v>
      </c>
      <c r="O229" s="1">
        <f t="shared" si="13"/>
        <v>0</v>
      </c>
      <c r="P229" s="4">
        <f t="shared" si="14"/>
        <v>45352</v>
      </c>
      <c r="Q229" s="4">
        <f t="shared" si="15"/>
        <v>45413</v>
      </c>
    </row>
    <row r="230" spans="1:17" x14ac:dyDescent="0.25">
      <c r="A230">
        <v>38896</v>
      </c>
      <c r="B230" t="s">
        <v>61</v>
      </c>
      <c r="C230" t="str">
        <f>_xlfn.XLOOKUP(B230,Multipliers!A:A,Multipliers!C:C)</f>
        <v>John Powell</v>
      </c>
      <c r="D230" s="3">
        <v>45303</v>
      </c>
      <c r="E230" t="s">
        <v>1877</v>
      </c>
      <c r="F230" t="s">
        <v>1987</v>
      </c>
      <c r="G230" t="s">
        <v>1205</v>
      </c>
      <c r="H230">
        <v>0</v>
      </c>
      <c r="I230" s="1">
        <v>0</v>
      </c>
      <c r="J230" s="1">
        <v>0</v>
      </c>
      <c r="K230">
        <v>1</v>
      </c>
      <c r="L230">
        <f>IF(E230="4. Renewal - MRR",IF(I230&lt;=0,0,VLOOKUP(B230,Multipliers!A:L,MATCH(K230,Multipliers!$A$1:$L$1,0),FALSE)),VLOOKUP(B230,Multipliers!A:L,MATCH(K230,Multipliers!$A$1:$L$1,0),FALSE))</f>
        <v>0</v>
      </c>
      <c r="M230">
        <f t="shared" si="12"/>
        <v>0</v>
      </c>
      <c r="N230" s="1">
        <f>_xlfn.XLOOKUP(A230,'Product Detail'!$AG:$AG,'Product Detail'!$AH:$AH,"N/A")</f>
        <v>0</v>
      </c>
      <c r="O230" s="1">
        <f t="shared" si="13"/>
        <v>0</v>
      </c>
      <c r="P230" s="4">
        <f t="shared" si="14"/>
        <v>45352</v>
      </c>
      <c r="Q230" s="4">
        <f t="shared" si="15"/>
        <v>45413</v>
      </c>
    </row>
    <row r="231" spans="1:17" x14ac:dyDescent="0.25">
      <c r="A231">
        <v>38900</v>
      </c>
      <c r="B231" t="s">
        <v>61</v>
      </c>
      <c r="C231" t="str">
        <f>_xlfn.XLOOKUP(B231,Multipliers!A:A,Multipliers!C:C)</f>
        <v>John Powell</v>
      </c>
      <c r="D231" s="3">
        <v>45303</v>
      </c>
      <c r="E231" t="s">
        <v>1877</v>
      </c>
      <c r="F231" t="s">
        <v>1987</v>
      </c>
      <c r="G231" t="s">
        <v>1211</v>
      </c>
      <c r="H231">
        <v>0</v>
      </c>
      <c r="I231" s="1">
        <v>0</v>
      </c>
      <c r="J231" s="1">
        <v>0</v>
      </c>
      <c r="K231">
        <v>1</v>
      </c>
      <c r="L231">
        <f>IF(E231="4. Renewal - MRR",IF(I231&lt;=0,0,VLOOKUP(B231,Multipliers!A:L,MATCH(K231,Multipliers!$A$1:$L$1,0),FALSE)),VLOOKUP(B231,Multipliers!A:L,MATCH(K231,Multipliers!$A$1:$L$1,0),FALSE))</f>
        <v>0</v>
      </c>
      <c r="M231">
        <f t="shared" si="12"/>
        <v>0</v>
      </c>
      <c r="N231" s="1">
        <f>_xlfn.XLOOKUP(A231,'Product Detail'!$AG:$AG,'Product Detail'!$AH:$AH,"N/A")</f>
        <v>0</v>
      </c>
      <c r="O231" s="1">
        <f t="shared" si="13"/>
        <v>0</v>
      </c>
      <c r="P231" s="4">
        <f t="shared" si="14"/>
        <v>45352</v>
      </c>
      <c r="Q231" s="4">
        <f t="shared" si="15"/>
        <v>45413</v>
      </c>
    </row>
    <row r="232" spans="1:17" x14ac:dyDescent="0.25">
      <c r="A232">
        <v>38903</v>
      </c>
      <c r="B232" t="s">
        <v>61</v>
      </c>
      <c r="C232" t="str">
        <f>_xlfn.XLOOKUP(B232,Multipliers!A:A,Multipliers!C:C)</f>
        <v>John Powell</v>
      </c>
      <c r="D232" s="3">
        <v>45303</v>
      </c>
      <c r="E232" t="s">
        <v>1877</v>
      </c>
      <c r="F232" t="s">
        <v>1987</v>
      </c>
      <c r="G232" t="s">
        <v>1214</v>
      </c>
      <c r="H232">
        <v>0</v>
      </c>
      <c r="I232" s="1">
        <v>0</v>
      </c>
      <c r="J232" s="1">
        <v>0</v>
      </c>
      <c r="K232">
        <v>1</v>
      </c>
      <c r="L232">
        <f>IF(E232="4. Renewal - MRR",IF(I232&lt;=0,0,VLOOKUP(B232,Multipliers!A:L,MATCH(K232,Multipliers!$A$1:$L$1,0),FALSE)),VLOOKUP(B232,Multipliers!A:L,MATCH(K232,Multipliers!$A$1:$L$1,0),FALSE))</f>
        <v>0</v>
      </c>
      <c r="M232">
        <f t="shared" si="12"/>
        <v>0</v>
      </c>
      <c r="N232" s="1">
        <f>_xlfn.XLOOKUP(A232,'Product Detail'!$AG:$AG,'Product Detail'!$AH:$AH,"N/A")</f>
        <v>0</v>
      </c>
      <c r="O232" s="1">
        <f t="shared" si="13"/>
        <v>0</v>
      </c>
      <c r="P232" s="4">
        <f t="shared" si="14"/>
        <v>45352</v>
      </c>
      <c r="Q232" s="4">
        <f t="shared" si="15"/>
        <v>45413</v>
      </c>
    </row>
    <row r="233" spans="1:17" x14ac:dyDescent="0.25">
      <c r="A233">
        <v>38907</v>
      </c>
      <c r="B233" t="s">
        <v>61</v>
      </c>
      <c r="C233" t="str">
        <f>_xlfn.XLOOKUP(B233,Multipliers!A:A,Multipliers!C:C)</f>
        <v>John Powell</v>
      </c>
      <c r="D233" s="3">
        <v>45303</v>
      </c>
      <c r="E233" t="s">
        <v>1877</v>
      </c>
      <c r="F233" t="s">
        <v>1987</v>
      </c>
      <c r="G233" t="s">
        <v>1219</v>
      </c>
      <c r="H233">
        <v>0</v>
      </c>
      <c r="I233" s="1">
        <v>0</v>
      </c>
      <c r="J233" s="1">
        <v>0</v>
      </c>
      <c r="K233">
        <v>1</v>
      </c>
      <c r="L233">
        <f>IF(E233="4. Renewal - MRR",IF(I233&lt;=0,0,VLOOKUP(B233,Multipliers!A:L,MATCH(K233,Multipliers!$A$1:$L$1,0),FALSE)),VLOOKUP(B233,Multipliers!A:L,MATCH(K233,Multipliers!$A$1:$L$1,0),FALSE))</f>
        <v>0</v>
      </c>
      <c r="M233">
        <f t="shared" si="12"/>
        <v>0</v>
      </c>
      <c r="N233" s="1">
        <f>_xlfn.XLOOKUP(A233,'Product Detail'!$AG:$AG,'Product Detail'!$AH:$AH,"N/A")</f>
        <v>0</v>
      </c>
      <c r="O233" s="1">
        <f t="shared" si="13"/>
        <v>0</v>
      </c>
      <c r="P233" s="4">
        <f t="shared" si="14"/>
        <v>45352</v>
      </c>
      <c r="Q233" s="4">
        <f t="shared" si="15"/>
        <v>45413</v>
      </c>
    </row>
    <row r="234" spans="1:17" x14ac:dyDescent="0.25">
      <c r="A234">
        <v>38912</v>
      </c>
      <c r="B234" t="s">
        <v>61</v>
      </c>
      <c r="C234" t="str">
        <f>_xlfn.XLOOKUP(B234,Multipliers!A:A,Multipliers!C:C)</f>
        <v>John Powell</v>
      </c>
      <c r="D234" s="3">
        <v>45303</v>
      </c>
      <c r="E234" t="s">
        <v>1877</v>
      </c>
      <c r="F234" t="s">
        <v>1987</v>
      </c>
      <c r="G234" t="s">
        <v>1232</v>
      </c>
      <c r="H234">
        <v>0</v>
      </c>
      <c r="I234" s="1">
        <v>0</v>
      </c>
      <c r="J234" s="1">
        <v>0</v>
      </c>
      <c r="K234">
        <v>1</v>
      </c>
      <c r="L234">
        <f>IF(E234="4. Renewal - MRR",IF(I234&lt;=0,0,VLOOKUP(B234,Multipliers!A:L,MATCH(K234,Multipliers!$A$1:$L$1,0),FALSE)),VLOOKUP(B234,Multipliers!A:L,MATCH(K234,Multipliers!$A$1:$L$1,0),FALSE))</f>
        <v>0</v>
      </c>
      <c r="M234">
        <f t="shared" si="12"/>
        <v>0</v>
      </c>
      <c r="N234" s="1">
        <f>_xlfn.XLOOKUP(A234,'Product Detail'!$AG:$AG,'Product Detail'!$AH:$AH,"N/A")</f>
        <v>0</v>
      </c>
      <c r="O234" s="1">
        <f t="shared" si="13"/>
        <v>0</v>
      </c>
      <c r="P234" s="4">
        <f t="shared" si="14"/>
        <v>45352</v>
      </c>
      <c r="Q234" s="4">
        <f t="shared" si="15"/>
        <v>45413</v>
      </c>
    </row>
    <row r="235" spans="1:17" x14ac:dyDescent="0.25">
      <c r="A235">
        <v>38915</v>
      </c>
      <c r="B235" t="s">
        <v>61</v>
      </c>
      <c r="C235" t="str">
        <f>_xlfn.XLOOKUP(B235,Multipliers!A:A,Multipliers!C:C)</f>
        <v>John Powell</v>
      </c>
      <c r="D235" s="3">
        <v>45303</v>
      </c>
      <c r="E235" t="s">
        <v>1877</v>
      </c>
      <c r="F235" t="s">
        <v>1987</v>
      </c>
      <c r="G235" t="s">
        <v>1240</v>
      </c>
      <c r="H235">
        <v>0</v>
      </c>
      <c r="I235" s="1">
        <v>0</v>
      </c>
      <c r="J235" s="1">
        <v>0</v>
      </c>
      <c r="K235">
        <v>1</v>
      </c>
      <c r="L235">
        <f>IF(E235="4. Renewal - MRR",IF(I235&lt;=0,0,VLOOKUP(B235,Multipliers!A:L,MATCH(K235,Multipliers!$A$1:$L$1,0),FALSE)),VLOOKUP(B235,Multipliers!A:L,MATCH(K235,Multipliers!$A$1:$L$1,0),FALSE))</f>
        <v>0</v>
      </c>
      <c r="M235">
        <f t="shared" si="12"/>
        <v>0</v>
      </c>
      <c r="N235" s="1">
        <f>_xlfn.XLOOKUP(A235,'Product Detail'!$AG:$AG,'Product Detail'!$AH:$AH,"N/A")</f>
        <v>0</v>
      </c>
      <c r="O235" s="1">
        <f t="shared" si="13"/>
        <v>0</v>
      </c>
      <c r="P235" s="4">
        <f t="shared" si="14"/>
        <v>45352</v>
      </c>
      <c r="Q235" s="4">
        <f t="shared" si="15"/>
        <v>45413</v>
      </c>
    </row>
    <row r="236" spans="1:17" x14ac:dyDescent="0.25">
      <c r="A236">
        <v>38917</v>
      </c>
      <c r="B236" t="s">
        <v>61</v>
      </c>
      <c r="C236" t="str">
        <f>_xlfn.XLOOKUP(B236,Multipliers!A:A,Multipliers!C:C)</f>
        <v>John Powell</v>
      </c>
      <c r="D236" s="3">
        <v>45303</v>
      </c>
      <c r="E236" t="s">
        <v>1877</v>
      </c>
      <c r="F236" t="s">
        <v>1987</v>
      </c>
      <c r="G236" t="s">
        <v>1241</v>
      </c>
      <c r="H236">
        <v>0</v>
      </c>
      <c r="I236" s="1">
        <v>0</v>
      </c>
      <c r="J236" s="1">
        <v>0</v>
      </c>
      <c r="K236">
        <v>1</v>
      </c>
      <c r="L236">
        <f>IF(E236="4. Renewal - MRR",IF(I236&lt;=0,0,VLOOKUP(B236,Multipliers!A:L,MATCH(K236,Multipliers!$A$1:$L$1,0),FALSE)),VLOOKUP(B236,Multipliers!A:L,MATCH(K236,Multipliers!$A$1:$L$1,0),FALSE))</f>
        <v>0</v>
      </c>
      <c r="M236">
        <f t="shared" si="12"/>
        <v>0</v>
      </c>
      <c r="N236" s="1">
        <f>_xlfn.XLOOKUP(A236,'Product Detail'!$AG:$AG,'Product Detail'!$AH:$AH,"N/A")</f>
        <v>0</v>
      </c>
      <c r="O236" s="1">
        <f t="shared" si="13"/>
        <v>0</v>
      </c>
      <c r="P236" s="4">
        <f t="shared" si="14"/>
        <v>45352</v>
      </c>
      <c r="Q236" s="4">
        <f t="shared" si="15"/>
        <v>45413</v>
      </c>
    </row>
    <row r="237" spans="1:17" x14ac:dyDescent="0.25">
      <c r="A237">
        <v>38919</v>
      </c>
      <c r="B237" t="s">
        <v>61</v>
      </c>
      <c r="C237" t="str">
        <f>_xlfn.XLOOKUP(B237,Multipliers!A:A,Multipliers!C:C)</f>
        <v>John Powell</v>
      </c>
      <c r="D237" s="3">
        <v>45303</v>
      </c>
      <c r="E237" t="s">
        <v>1877</v>
      </c>
      <c r="F237" t="s">
        <v>1987</v>
      </c>
      <c r="G237" t="s">
        <v>1243</v>
      </c>
      <c r="H237">
        <v>0</v>
      </c>
      <c r="I237" s="1">
        <v>0</v>
      </c>
      <c r="J237" s="1">
        <v>0</v>
      </c>
      <c r="K237">
        <v>1</v>
      </c>
      <c r="L237">
        <f>IF(E237="4. Renewal - MRR",IF(I237&lt;=0,0,VLOOKUP(B237,Multipliers!A:L,MATCH(K237,Multipliers!$A$1:$L$1,0),FALSE)),VLOOKUP(B237,Multipliers!A:L,MATCH(K237,Multipliers!$A$1:$L$1,0),FALSE))</f>
        <v>0</v>
      </c>
      <c r="M237">
        <f t="shared" si="12"/>
        <v>0</v>
      </c>
      <c r="N237" s="1">
        <f>_xlfn.XLOOKUP(A237,'Product Detail'!$AG:$AG,'Product Detail'!$AH:$AH,"N/A")</f>
        <v>0</v>
      </c>
      <c r="O237" s="1">
        <f t="shared" si="13"/>
        <v>0</v>
      </c>
      <c r="P237" s="4">
        <f t="shared" si="14"/>
        <v>45352</v>
      </c>
      <c r="Q237" s="4">
        <f t="shared" si="15"/>
        <v>45413</v>
      </c>
    </row>
    <row r="238" spans="1:17" x14ac:dyDescent="0.25">
      <c r="A238">
        <v>38968</v>
      </c>
      <c r="B238" t="s">
        <v>47</v>
      </c>
      <c r="C238" t="str">
        <f>_xlfn.XLOOKUP(B238,Multipliers!A:A,Multipliers!C:C)</f>
        <v>John Powell</v>
      </c>
      <c r="D238" s="3">
        <v>45321</v>
      </c>
      <c r="E238" t="s">
        <v>1877</v>
      </c>
      <c r="F238" t="s">
        <v>2054</v>
      </c>
      <c r="G238" t="s">
        <v>1278</v>
      </c>
      <c r="H238">
        <v>0</v>
      </c>
      <c r="I238" s="1">
        <v>0</v>
      </c>
      <c r="J238" s="1">
        <v>0</v>
      </c>
      <c r="K238">
        <v>1</v>
      </c>
      <c r="L238">
        <f>IF(E238="4. Renewal - MRR",IF(I238&lt;=0,0,VLOOKUP(B238,Multipliers!A:L,MATCH(K238,Multipliers!$A$1:$L$1,0),FALSE)),VLOOKUP(B238,Multipliers!A:L,MATCH(K238,Multipliers!$A$1:$L$1,0),FALSE))</f>
        <v>0</v>
      </c>
      <c r="M238">
        <f t="shared" si="12"/>
        <v>0</v>
      </c>
      <c r="N238" s="1">
        <f>_xlfn.XLOOKUP(A238,'Product Detail'!$AG:$AG,'Product Detail'!$AH:$AH,"N/A")</f>
        <v>36</v>
      </c>
      <c r="O238" s="1">
        <f t="shared" si="13"/>
        <v>0</v>
      </c>
      <c r="P238" s="4">
        <f t="shared" si="14"/>
        <v>45352</v>
      </c>
      <c r="Q238" s="4">
        <f t="shared" si="15"/>
        <v>45413</v>
      </c>
    </row>
    <row r="239" spans="1:17" x14ac:dyDescent="0.25">
      <c r="A239" s="2">
        <v>38970</v>
      </c>
      <c r="B239" t="s">
        <v>47</v>
      </c>
      <c r="C239" t="s">
        <v>2441</v>
      </c>
      <c r="D239" s="3">
        <v>45306</v>
      </c>
      <c r="E239" t="s">
        <v>1877</v>
      </c>
      <c r="F239" t="s">
        <v>1911</v>
      </c>
      <c r="G239" t="s">
        <v>2218</v>
      </c>
      <c r="H239">
        <v>0</v>
      </c>
      <c r="I239" s="1">
        <v>10.8</v>
      </c>
      <c r="J239" s="1">
        <v>0</v>
      </c>
      <c r="K239">
        <v>12</v>
      </c>
      <c r="L239">
        <f>IF(E239="4. Renewal - MRR",IF(I239&lt;=0,0,VLOOKUP(B239,Multipliers!A:L,MATCH(K239,Multipliers!$A$1:$L$1,0),FALSE)),VLOOKUP(B239,Multipliers!A:L,MATCH(K239,Multipliers!$A$1:$L$1,0),FALSE))</f>
        <v>0.125</v>
      </c>
      <c r="M239">
        <f t="shared" si="12"/>
        <v>0</v>
      </c>
      <c r="N239" s="1" t="str">
        <f>_xlfn.XLOOKUP(A239,'Product Detail'!$AG:$AG,'Product Detail'!$AH:$AH,"N/A")</f>
        <v>N/A</v>
      </c>
      <c r="O239" s="1">
        <f t="shared" si="13"/>
        <v>1.35</v>
      </c>
      <c r="P239" s="4">
        <f t="shared" si="14"/>
        <v>45352</v>
      </c>
      <c r="Q239" s="4">
        <f t="shared" si="15"/>
        <v>45413</v>
      </c>
    </row>
    <row r="240" spans="1:17" x14ac:dyDescent="0.25">
      <c r="A240">
        <v>39114</v>
      </c>
      <c r="B240" t="s">
        <v>140</v>
      </c>
      <c r="C240" t="str">
        <f>_xlfn.XLOOKUP(B240,Multipliers!A:A,Multipliers!C:C)</f>
        <v>Jeffrey Weight</v>
      </c>
      <c r="D240" s="3">
        <v>45313</v>
      </c>
      <c r="E240" t="s">
        <v>1881</v>
      </c>
      <c r="F240" t="s">
        <v>2037</v>
      </c>
      <c r="G240" t="s">
        <v>1433</v>
      </c>
      <c r="H240">
        <v>0</v>
      </c>
      <c r="I240" s="1">
        <v>0</v>
      </c>
      <c r="J240" s="1">
        <v>0</v>
      </c>
      <c r="K240">
        <v>1</v>
      </c>
      <c r="L240">
        <f>IF(E240="4. Renewal - MRR",IF(I240&lt;=0,0,VLOOKUP(B240,Multipliers!A:L,MATCH(K240,Multipliers!$A$1:$L$1,0),FALSE)),VLOOKUP(B240,Multipliers!A:L,MATCH(K240,Multipliers!$A$1:$L$1,0),FALSE))</f>
        <v>0</v>
      </c>
      <c r="M240">
        <f t="shared" si="12"/>
        <v>0</v>
      </c>
      <c r="N240" s="1">
        <f>_xlfn.XLOOKUP(A240,'Product Detail'!$AG:$AG,'Product Detail'!$AH:$AH,"N/A")</f>
        <v>12.7616</v>
      </c>
      <c r="O240" s="1">
        <f t="shared" si="13"/>
        <v>0</v>
      </c>
      <c r="P240" s="4">
        <f t="shared" si="14"/>
        <v>45352</v>
      </c>
      <c r="Q240" s="4">
        <f t="shared" si="15"/>
        <v>45413</v>
      </c>
    </row>
    <row r="241" spans="1:17" x14ac:dyDescent="0.25">
      <c r="A241">
        <v>38983</v>
      </c>
      <c r="B241" t="s">
        <v>51</v>
      </c>
      <c r="C241" t="str">
        <f>_xlfn.XLOOKUP(B241,Multipliers!A:A,Multipliers!C:C)</f>
        <v>John Powell</v>
      </c>
      <c r="D241" s="3">
        <v>45306</v>
      </c>
      <c r="E241" t="s">
        <v>1881</v>
      </c>
      <c r="F241" t="s">
        <v>2052</v>
      </c>
      <c r="G241" t="s">
        <v>1285</v>
      </c>
      <c r="H241">
        <v>0</v>
      </c>
      <c r="I241" s="1">
        <v>0</v>
      </c>
      <c r="J241" s="1">
        <v>0</v>
      </c>
      <c r="K241">
        <v>1</v>
      </c>
      <c r="L241">
        <f>IF(E241="4. Renewal - MRR",IF(I241&lt;=0,0,VLOOKUP(B241,Multipliers!A:L,MATCH(K241,Multipliers!$A$1:$L$1,0),FALSE)),VLOOKUP(B241,Multipliers!A:L,MATCH(K241,Multipliers!$A$1:$L$1,0),FALSE))</f>
        <v>0</v>
      </c>
      <c r="M241">
        <f t="shared" si="12"/>
        <v>0</v>
      </c>
      <c r="N241" s="1">
        <f>_xlfn.XLOOKUP(A241,'Product Detail'!$AG:$AG,'Product Detail'!$AH:$AH,"N/A")</f>
        <v>11.352600000000034</v>
      </c>
      <c r="O241" s="1">
        <f t="shared" si="13"/>
        <v>0</v>
      </c>
      <c r="P241" s="4">
        <f t="shared" si="14"/>
        <v>45352</v>
      </c>
      <c r="Q241" s="4">
        <f t="shared" si="15"/>
        <v>45413</v>
      </c>
    </row>
    <row r="242" spans="1:17" x14ac:dyDescent="0.25">
      <c r="A242">
        <v>38991</v>
      </c>
      <c r="B242" t="s">
        <v>47</v>
      </c>
      <c r="C242" t="str">
        <f>_xlfn.XLOOKUP(B242,Multipliers!A:A,Multipliers!C:C)</f>
        <v>John Powell</v>
      </c>
      <c r="D242" s="3">
        <v>45307</v>
      </c>
      <c r="E242" t="s">
        <v>1877</v>
      </c>
      <c r="F242" t="s">
        <v>1886</v>
      </c>
      <c r="G242" t="s">
        <v>1287</v>
      </c>
      <c r="H242">
        <v>0</v>
      </c>
      <c r="I242" s="1">
        <v>0</v>
      </c>
      <c r="J242" s="1">
        <v>0</v>
      </c>
      <c r="K242">
        <v>1</v>
      </c>
      <c r="L242">
        <f>IF(E242="4. Renewal - MRR",IF(I242&lt;=0,0,VLOOKUP(B242,Multipliers!A:L,MATCH(K242,Multipliers!$A$1:$L$1,0),FALSE)),VLOOKUP(B242,Multipliers!A:L,MATCH(K242,Multipliers!$A$1:$L$1,0),FALSE))</f>
        <v>0</v>
      </c>
      <c r="M242">
        <f t="shared" si="12"/>
        <v>0</v>
      </c>
      <c r="N242" s="1">
        <f>_xlfn.XLOOKUP(A242,'Product Detail'!$AG:$AG,'Product Detail'!$AH:$AH,"N/A")</f>
        <v>52.999200000000002</v>
      </c>
      <c r="O242" s="1">
        <f t="shared" si="13"/>
        <v>0</v>
      </c>
      <c r="P242" s="4">
        <f t="shared" si="14"/>
        <v>45352</v>
      </c>
      <c r="Q242" s="4">
        <f t="shared" si="15"/>
        <v>45413</v>
      </c>
    </row>
    <row r="243" spans="1:17" x14ac:dyDescent="0.25">
      <c r="A243">
        <v>39001</v>
      </c>
      <c r="B243" t="s">
        <v>47</v>
      </c>
      <c r="C243" t="str">
        <f>_xlfn.XLOOKUP(B243,Multipliers!A:A,Multipliers!C:C)</f>
        <v>John Powell</v>
      </c>
      <c r="D243" s="3">
        <v>45307</v>
      </c>
      <c r="E243" t="s">
        <v>1877</v>
      </c>
      <c r="F243" t="s">
        <v>1886</v>
      </c>
      <c r="G243" t="s">
        <v>1309</v>
      </c>
      <c r="H243">
        <v>0</v>
      </c>
      <c r="I243" s="1">
        <v>0</v>
      </c>
      <c r="J243" s="1">
        <v>0</v>
      </c>
      <c r="K243">
        <v>1</v>
      </c>
      <c r="L243">
        <f>IF(E243="4. Renewal - MRR",IF(I243&lt;=0,0,VLOOKUP(B243,Multipliers!A:L,MATCH(K243,Multipliers!$A$1:$L$1,0),FALSE)),VLOOKUP(B243,Multipliers!A:L,MATCH(K243,Multipliers!$A$1:$L$1,0),FALSE))</f>
        <v>0</v>
      </c>
      <c r="M243">
        <f t="shared" si="12"/>
        <v>0</v>
      </c>
      <c r="N243" s="1">
        <f>_xlfn.XLOOKUP(A243,'Product Detail'!$AG:$AG,'Product Detail'!$AH:$AH,"N/A")</f>
        <v>60.525100000000002</v>
      </c>
      <c r="O243" s="1">
        <f t="shared" si="13"/>
        <v>0</v>
      </c>
      <c r="P243" s="4">
        <f t="shared" si="14"/>
        <v>45352</v>
      </c>
      <c r="Q243" s="4">
        <f t="shared" si="15"/>
        <v>45413</v>
      </c>
    </row>
    <row r="244" spans="1:17" x14ac:dyDescent="0.25">
      <c r="A244">
        <v>39104</v>
      </c>
      <c r="B244" t="s">
        <v>188</v>
      </c>
      <c r="C244">
        <f>_xlfn.XLOOKUP(B244,Multipliers!A:A,Multipliers!C:C)</f>
        <v>0</v>
      </c>
      <c r="D244" s="3">
        <v>45309</v>
      </c>
      <c r="E244" t="s">
        <v>1881</v>
      </c>
      <c r="F244" t="s">
        <v>2038</v>
      </c>
      <c r="G244" t="s">
        <v>1422</v>
      </c>
      <c r="H244">
        <v>0</v>
      </c>
      <c r="I244" s="1">
        <v>0</v>
      </c>
      <c r="J244" s="1">
        <v>0</v>
      </c>
      <c r="K244">
        <v>1</v>
      </c>
      <c r="L244">
        <f>IF(E244="4. Renewal - MRR",IF(I244&lt;=0,0,VLOOKUP(B244,Multipliers!A:L,MATCH(K244,Multipliers!$A$1:$L$1,0),FALSE)),VLOOKUP(B244,Multipliers!A:L,MATCH(K244,Multipliers!$A$1:$L$1,0),FALSE))</f>
        <v>0</v>
      </c>
      <c r="M244">
        <f t="shared" si="12"/>
        <v>0</v>
      </c>
      <c r="N244" s="1">
        <f>_xlfn.XLOOKUP(A244,'Product Detail'!$AG:$AG,'Product Detail'!$AH:$AH,"N/A")</f>
        <v>0</v>
      </c>
      <c r="O244" s="1">
        <f t="shared" si="13"/>
        <v>0</v>
      </c>
      <c r="P244" s="4">
        <f t="shared" si="14"/>
        <v>45352</v>
      </c>
      <c r="Q244" s="4">
        <f t="shared" si="15"/>
        <v>45413</v>
      </c>
    </row>
    <row r="245" spans="1:17" x14ac:dyDescent="0.25">
      <c r="A245">
        <v>39016</v>
      </c>
      <c r="B245" t="s">
        <v>51</v>
      </c>
      <c r="C245" t="str">
        <f>_xlfn.XLOOKUP(B245,Multipliers!A:A,Multipliers!C:C)</f>
        <v>John Powell</v>
      </c>
      <c r="D245" s="3">
        <v>45307</v>
      </c>
      <c r="E245" t="s">
        <v>1881</v>
      </c>
      <c r="F245" t="s">
        <v>1929</v>
      </c>
      <c r="G245" t="s">
        <v>1324</v>
      </c>
      <c r="H245">
        <v>0</v>
      </c>
      <c r="I245" s="1">
        <v>0</v>
      </c>
      <c r="J245" s="1">
        <v>0</v>
      </c>
      <c r="K245">
        <v>1</v>
      </c>
      <c r="L245">
        <f>IF(E245="4. Renewal - MRR",IF(I245&lt;=0,0,VLOOKUP(B245,Multipliers!A:L,MATCH(K245,Multipliers!$A$1:$L$1,0),FALSE)),VLOOKUP(B245,Multipliers!A:L,MATCH(K245,Multipliers!$A$1:$L$1,0),FALSE))</f>
        <v>0</v>
      </c>
      <c r="M245">
        <f t="shared" si="12"/>
        <v>0</v>
      </c>
      <c r="N245" s="1">
        <f>_xlfn.XLOOKUP(A245,'Product Detail'!$AG:$AG,'Product Detail'!$AH:$AH,"N/A")</f>
        <v>5.7162500000000005</v>
      </c>
      <c r="O245" s="1">
        <f t="shared" si="13"/>
        <v>0</v>
      </c>
      <c r="P245" s="4">
        <f t="shared" si="14"/>
        <v>45352</v>
      </c>
      <c r="Q245" s="4">
        <f t="shared" si="15"/>
        <v>45413</v>
      </c>
    </row>
    <row r="246" spans="1:17" x14ac:dyDescent="0.25">
      <c r="A246">
        <v>39088</v>
      </c>
      <c r="B246" t="s">
        <v>140</v>
      </c>
      <c r="C246" t="str">
        <f>_xlfn.XLOOKUP(B246,Multipliers!A:A,Multipliers!C:C)</f>
        <v>Jeffrey Weight</v>
      </c>
      <c r="D246" s="3">
        <v>45310</v>
      </c>
      <c r="E246" t="s">
        <v>1877</v>
      </c>
      <c r="F246" t="s">
        <v>2039</v>
      </c>
      <c r="G246" t="s">
        <v>1410</v>
      </c>
      <c r="H246">
        <v>0</v>
      </c>
      <c r="I246" s="1">
        <v>0</v>
      </c>
      <c r="J246" s="1">
        <v>0</v>
      </c>
      <c r="K246">
        <v>0</v>
      </c>
      <c r="L246">
        <f>IF(E246="4. Renewal - MRR",IF(I246&lt;=0,0,VLOOKUP(B246,Multipliers!A:L,MATCH(K246,Multipliers!$A$1:$L$1,0),FALSE)),VLOOKUP(B246,Multipliers!A:L,MATCH(K246,Multipliers!$A$1:$L$1,0),FALSE))</f>
        <v>0</v>
      </c>
      <c r="M246">
        <f t="shared" si="12"/>
        <v>0</v>
      </c>
      <c r="N246" s="1">
        <f>_xlfn.XLOOKUP(A246,'Product Detail'!$AG:$AG,'Product Detail'!$AH:$AH,"N/A")</f>
        <v>25.759999999999998</v>
      </c>
      <c r="O246" s="1">
        <f t="shared" si="13"/>
        <v>0</v>
      </c>
      <c r="P246" s="4">
        <f t="shared" si="14"/>
        <v>45352</v>
      </c>
      <c r="Q246" s="4">
        <f t="shared" si="15"/>
        <v>45413</v>
      </c>
    </row>
    <row r="247" spans="1:17" x14ac:dyDescent="0.25">
      <c r="A247">
        <v>39084</v>
      </c>
      <c r="B247" t="s">
        <v>1874</v>
      </c>
      <c r="C247" t="str">
        <f>_xlfn.XLOOKUP(B247,Multipliers!A:A,Multipliers!C:C)</f>
        <v>Jeffrey Weight</v>
      </c>
      <c r="D247" s="3">
        <v>45314</v>
      </c>
      <c r="E247" t="s">
        <v>1877</v>
      </c>
      <c r="F247" t="s">
        <v>2040</v>
      </c>
      <c r="G247" t="s">
        <v>1405</v>
      </c>
      <c r="H247">
        <v>0</v>
      </c>
      <c r="I247" s="1">
        <v>0</v>
      </c>
      <c r="J247" s="1">
        <v>0</v>
      </c>
      <c r="K247">
        <v>1</v>
      </c>
      <c r="L247">
        <f>IF(E247="4. Renewal - MRR",IF(I247&lt;=0,0,VLOOKUP(B247,Multipliers!A:L,MATCH(K247,Multipliers!$A$1:$L$1,0),FALSE)),VLOOKUP(B247,Multipliers!A:L,MATCH(K247,Multipliers!$A$1:$L$1,0),FALSE))</f>
        <v>0</v>
      </c>
      <c r="M247">
        <f t="shared" si="12"/>
        <v>0</v>
      </c>
      <c r="N247" s="1">
        <f>_xlfn.XLOOKUP(A247,'Product Detail'!$AG:$AG,'Product Detail'!$AH:$AH,"N/A")</f>
        <v>17.159200000000002</v>
      </c>
      <c r="O247" s="1">
        <f t="shared" si="13"/>
        <v>0</v>
      </c>
      <c r="P247" s="4">
        <f t="shared" si="14"/>
        <v>45352</v>
      </c>
      <c r="Q247" s="4">
        <f t="shared" si="15"/>
        <v>45413</v>
      </c>
    </row>
    <row r="248" spans="1:17" x14ac:dyDescent="0.25">
      <c r="A248">
        <v>39058</v>
      </c>
      <c r="B248" t="s">
        <v>56</v>
      </c>
      <c r="C248" t="str">
        <f>_xlfn.XLOOKUP(B248,Multipliers!A:A,Multipliers!C:C)</f>
        <v>John Powell</v>
      </c>
      <c r="D248" s="3">
        <v>45317</v>
      </c>
      <c r="E248" t="s">
        <v>1881</v>
      </c>
      <c r="F248" t="s">
        <v>2044</v>
      </c>
      <c r="G248" t="s">
        <v>1379</v>
      </c>
      <c r="H248">
        <v>0</v>
      </c>
      <c r="I248" s="1">
        <v>0</v>
      </c>
      <c r="J248" s="1">
        <v>0</v>
      </c>
      <c r="K248">
        <v>1</v>
      </c>
      <c r="L248">
        <f>IF(E248="4. Renewal - MRR",IF(I248&lt;=0,0,VLOOKUP(B248,Multipliers!A:L,MATCH(K248,Multipliers!$A$1:$L$1,0),FALSE)),VLOOKUP(B248,Multipliers!A:L,MATCH(K248,Multipliers!$A$1:$L$1,0),FALSE))</f>
        <v>0</v>
      </c>
      <c r="M248">
        <f t="shared" si="12"/>
        <v>0</v>
      </c>
      <c r="N248" s="1">
        <f>_xlfn.XLOOKUP(A248,'Product Detail'!$AG:$AG,'Product Detail'!$AH:$AH,"N/A")</f>
        <v>95.426099999999991</v>
      </c>
      <c r="O248" s="1">
        <f t="shared" si="13"/>
        <v>0</v>
      </c>
      <c r="P248" s="4">
        <f t="shared" si="14"/>
        <v>45352</v>
      </c>
      <c r="Q248" s="4">
        <f t="shared" si="15"/>
        <v>45413</v>
      </c>
    </row>
    <row r="249" spans="1:17" x14ac:dyDescent="0.25">
      <c r="A249">
        <v>39072</v>
      </c>
      <c r="B249" t="s">
        <v>1874</v>
      </c>
      <c r="C249" t="str">
        <f>_xlfn.XLOOKUP(B249,Multipliers!A:A,Multipliers!C:C)</f>
        <v>Jeffrey Weight</v>
      </c>
      <c r="D249" s="3">
        <v>45309</v>
      </c>
      <c r="E249" t="s">
        <v>1877</v>
      </c>
      <c r="F249" t="s">
        <v>1947</v>
      </c>
      <c r="G249" t="s">
        <v>905</v>
      </c>
      <c r="H249">
        <v>0</v>
      </c>
      <c r="I249" s="1">
        <v>0</v>
      </c>
      <c r="J249" s="1">
        <v>0</v>
      </c>
      <c r="K249">
        <v>0</v>
      </c>
      <c r="L249">
        <f>IF(E249="4. Renewal - MRR",IF(I249&lt;=0,0,VLOOKUP(B249,Multipliers!A:L,MATCH(K249,Multipliers!$A$1:$L$1,0),FALSE)),VLOOKUP(B249,Multipliers!A:L,MATCH(K249,Multipliers!$A$1:$L$1,0),FALSE))</f>
        <v>0</v>
      </c>
      <c r="M249">
        <f t="shared" si="12"/>
        <v>0</v>
      </c>
      <c r="N249" s="1">
        <f>_xlfn.XLOOKUP(A249,'Product Detail'!$AG:$AG,'Product Detail'!$AH:$AH,"N/A")</f>
        <v>88</v>
      </c>
      <c r="O249" s="1">
        <f t="shared" si="13"/>
        <v>0</v>
      </c>
      <c r="P249" s="4">
        <f t="shared" si="14"/>
        <v>45352</v>
      </c>
      <c r="Q249" s="4">
        <f t="shared" si="15"/>
        <v>45413</v>
      </c>
    </row>
    <row r="250" spans="1:17" x14ac:dyDescent="0.25">
      <c r="A250">
        <v>39060</v>
      </c>
      <c r="B250" t="s">
        <v>61</v>
      </c>
      <c r="C250" t="str">
        <f>_xlfn.XLOOKUP(B250,Multipliers!A:A,Multipliers!C:C)</f>
        <v>John Powell</v>
      </c>
      <c r="D250" s="3">
        <v>45308</v>
      </c>
      <c r="E250" t="s">
        <v>1877</v>
      </c>
      <c r="F250" t="s">
        <v>1987</v>
      </c>
      <c r="G250" t="s">
        <v>1382</v>
      </c>
      <c r="H250">
        <v>0</v>
      </c>
      <c r="I250" s="1">
        <v>0</v>
      </c>
      <c r="J250" s="1">
        <v>0</v>
      </c>
      <c r="K250">
        <v>1</v>
      </c>
      <c r="L250">
        <f>IF(E250="4. Renewal - MRR",IF(I250&lt;=0,0,VLOOKUP(B250,Multipliers!A:L,MATCH(K250,Multipliers!$A$1:$L$1,0),FALSE)),VLOOKUP(B250,Multipliers!A:L,MATCH(K250,Multipliers!$A$1:$L$1,0),FALSE))</f>
        <v>0</v>
      </c>
      <c r="M250">
        <f t="shared" si="12"/>
        <v>0</v>
      </c>
      <c r="N250" s="1">
        <f>_xlfn.XLOOKUP(A250,'Product Detail'!$AG:$AG,'Product Detail'!$AH:$AH,"N/A")</f>
        <v>0</v>
      </c>
      <c r="O250" s="1">
        <f t="shared" si="13"/>
        <v>0</v>
      </c>
      <c r="P250" s="4">
        <f t="shared" si="14"/>
        <v>45352</v>
      </c>
      <c r="Q250" s="4">
        <f t="shared" si="15"/>
        <v>45413</v>
      </c>
    </row>
    <row r="251" spans="1:17" x14ac:dyDescent="0.25">
      <c r="A251">
        <v>39063</v>
      </c>
      <c r="B251" t="s">
        <v>43</v>
      </c>
      <c r="C251" t="str">
        <f>_xlfn.XLOOKUP(B251,Multipliers!A:A,Multipliers!C:C)</f>
        <v>John Powell</v>
      </c>
      <c r="D251" s="3">
        <v>45309</v>
      </c>
      <c r="E251" t="s">
        <v>1877</v>
      </c>
      <c r="F251" t="s">
        <v>2042</v>
      </c>
      <c r="G251" t="s">
        <v>1386</v>
      </c>
      <c r="H251">
        <v>0</v>
      </c>
      <c r="I251" s="1">
        <v>0</v>
      </c>
      <c r="J251" s="1">
        <v>0</v>
      </c>
      <c r="K251">
        <v>1</v>
      </c>
      <c r="L251">
        <f>IF(E251="4. Renewal - MRR",IF(I251&lt;=0,0,VLOOKUP(B251,Multipliers!A:L,MATCH(K251,Multipliers!$A$1:$L$1,0),FALSE)),VLOOKUP(B251,Multipliers!A:L,MATCH(K251,Multipliers!$A$1:$L$1,0),FALSE))</f>
        <v>0</v>
      </c>
      <c r="M251">
        <f t="shared" si="12"/>
        <v>0</v>
      </c>
      <c r="N251" s="1">
        <f>_xlfn.XLOOKUP(A251,'Product Detail'!$AG:$AG,'Product Detail'!$AH:$AH,"N/A")</f>
        <v>472.16839999999996</v>
      </c>
      <c r="O251" s="1">
        <f t="shared" si="13"/>
        <v>0</v>
      </c>
      <c r="P251" s="4">
        <f t="shared" si="14"/>
        <v>45352</v>
      </c>
      <c r="Q251" s="4">
        <f t="shared" si="15"/>
        <v>45413</v>
      </c>
    </row>
    <row r="252" spans="1:17" x14ac:dyDescent="0.25">
      <c r="A252">
        <v>39064</v>
      </c>
      <c r="B252" t="s">
        <v>61</v>
      </c>
      <c r="C252" t="str">
        <f>_xlfn.XLOOKUP(B252,Multipliers!A:A,Multipliers!C:C)</f>
        <v>John Powell</v>
      </c>
      <c r="D252" s="3">
        <v>45308</v>
      </c>
      <c r="E252" t="s">
        <v>1877</v>
      </c>
      <c r="F252" t="s">
        <v>1987</v>
      </c>
      <c r="G252" t="s">
        <v>1397</v>
      </c>
      <c r="H252">
        <v>0</v>
      </c>
      <c r="I252" s="1">
        <v>0</v>
      </c>
      <c r="J252" s="1">
        <v>0</v>
      </c>
      <c r="K252">
        <v>1</v>
      </c>
      <c r="L252">
        <f>IF(E252="4. Renewal - MRR",IF(I252&lt;=0,0,VLOOKUP(B252,Multipliers!A:L,MATCH(K252,Multipliers!$A$1:$L$1,0),FALSE)),VLOOKUP(B252,Multipliers!A:L,MATCH(K252,Multipliers!$A$1:$L$1,0),FALSE))</f>
        <v>0</v>
      </c>
      <c r="M252">
        <f t="shared" si="12"/>
        <v>0</v>
      </c>
      <c r="N252" s="1">
        <f>_xlfn.XLOOKUP(A252,'Product Detail'!$AG:$AG,'Product Detail'!$AH:$AH,"N/A")</f>
        <v>0</v>
      </c>
      <c r="O252" s="1">
        <f t="shared" si="13"/>
        <v>0</v>
      </c>
      <c r="P252" s="4">
        <f t="shared" si="14"/>
        <v>45352</v>
      </c>
      <c r="Q252" s="4">
        <f t="shared" si="15"/>
        <v>45413</v>
      </c>
    </row>
    <row r="253" spans="1:17" x14ac:dyDescent="0.25">
      <c r="A253">
        <v>39066</v>
      </c>
      <c r="B253" t="s">
        <v>61</v>
      </c>
      <c r="C253" t="str">
        <f>_xlfn.XLOOKUP(B253,Multipliers!A:A,Multipliers!C:C)</f>
        <v>John Powell</v>
      </c>
      <c r="D253" s="3">
        <v>45308</v>
      </c>
      <c r="E253" t="s">
        <v>1877</v>
      </c>
      <c r="F253" t="s">
        <v>1987</v>
      </c>
      <c r="G253" t="s">
        <v>1398</v>
      </c>
      <c r="H253">
        <v>0</v>
      </c>
      <c r="I253" s="1">
        <v>0</v>
      </c>
      <c r="J253" s="1">
        <v>0</v>
      </c>
      <c r="K253">
        <v>1</v>
      </c>
      <c r="L253">
        <f>IF(E253="4. Renewal - MRR",IF(I253&lt;=0,0,VLOOKUP(B253,Multipliers!A:L,MATCH(K253,Multipliers!$A$1:$L$1,0),FALSE)),VLOOKUP(B253,Multipliers!A:L,MATCH(K253,Multipliers!$A$1:$L$1,0),FALSE))</f>
        <v>0</v>
      </c>
      <c r="M253">
        <f t="shared" si="12"/>
        <v>0</v>
      </c>
      <c r="N253" s="1">
        <f>_xlfn.XLOOKUP(A253,'Product Detail'!$AG:$AG,'Product Detail'!$AH:$AH,"N/A")</f>
        <v>0</v>
      </c>
      <c r="O253" s="1">
        <f t="shared" si="13"/>
        <v>0</v>
      </c>
      <c r="P253" s="4">
        <f t="shared" si="14"/>
        <v>45352</v>
      </c>
      <c r="Q253" s="4">
        <f t="shared" si="15"/>
        <v>45413</v>
      </c>
    </row>
    <row r="254" spans="1:17" x14ac:dyDescent="0.25">
      <c r="A254">
        <v>39061</v>
      </c>
      <c r="B254" t="s">
        <v>132</v>
      </c>
      <c r="C254" t="str">
        <f>_xlfn.XLOOKUP(B254,Multipliers!A:A,Multipliers!C:C)</f>
        <v>Jeffrey Weight</v>
      </c>
      <c r="D254" s="3">
        <v>45320</v>
      </c>
      <c r="E254" t="s">
        <v>1877</v>
      </c>
      <c r="F254" t="s">
        <v>2043</v>
      </c>
      <c r="G254" t="s">
        <v>1383</v>
      </c>
      <c r="H254">
        <v>0</v>
      </c>
      <c r="I254" s="1">
        <v>0</v>
      </c>
      <c r="J254" s="1">
        <v>0</v>
      </c>
      <c r="K254">
        <v>1</v>
      </c>
      <c r="L254">
        <f>IF(E254="4. Renewal - MRR",IF(I254&lt;=0,0,VLOOKUP(B254,Multipliers!A:L,MATCH(K254,Multipliers!$A$1:$L$1,0),FALSE)),VLOOKUP(B254,Multipliers!A:L,MATCH(K254,Multipliers!$A$1:$L$1,0),FALSE))</f>
        <v>0</v>
      </c>
      <c r="M254">
        <f t="shared" si="12"/>
        <v>0</v>
      </c>
      <c r="N254" s="1">
        <f>_xlfn.XLOOKUP(A254,'Product Detail'!$AG:$AG,'Product Detail'!$AH:$AH,"N/A")</f>
        <v>26.074399999999997</v>
      </c>
      <c r="O254" s="1">
        <f t="shared" si="13"/>
        <v>0</v>
      </c>
      <c r="P254" s="4">
        <f t="shared" si="14"/>
        <v>45352</v>
      </c>
      <c r="Q254" s="4">
        <f t="shared" si="15"/>
        <v>45413</v>
      </c>
    </row>
    <row r="255" spans="1:17" x14ac:dyDescent="0.25">
      <c r="A255">
        <v>39069</v>
      </c>
      <c r="B255" t="s">
        <v>61</v>
      </c>
      <c r="C255" t="str">
        <f>_xlfn.XLOOKUP(B255,Multipliers!A:A,Multipliers!C:C)</f>
        <v>John Powell</v>
      </c>
      <c r="D255" s="3">
        <v>45308</v>
      </c>
      <c r="E255" t="s">
        <v>1877</v>
      </c>
      <c r="F255" t="s">
        <v>1987</v>
      </c>
      <c r="G255" t="s">
        <v>1401</v>
      </c>
      <c r="H255">
        <v>0</v>
      </c>
      <c r="I255" s="1">
        <v>0</v>
      </c>
      <c r="J255" s="1">
        <v>0</v>
      </c>
      <c r="K255">
        <v>1</v>
      </c>
      <c r="L255">
        <f>IF(E255="4. Renewal - MRR",IF(I255&lt;=0,0,VLOOKUP(B255,Multipliers!A:L,MATCH(K255,Multipliers!$A$1:$L$1,0),FALSE)),VLOOKUP(B255,Multipliers!A:L,MATCH(K255,Multipliers!$A$1:$L$1,0),FALSE))</f>
        <v>0</v>
      </c>
      <c r="M255">
        <f t="shared" si="12"/>
        <v>0</v>
      </c>
      <c r="N255" s="1">
        <f>_xlfn.XLOOKUP(A255,'Product Detail'!$AG:$AG,'Product Detail'!$AH:$AH,"N/A")</f>
        <v>0</v>
      </c>
      <c r="O255" s="1">
        <f t="shared" si="13"/>
        <v>0</v>
      </c>
      <c r="P255" s="4">
        <f t="shared" si="14"/>
        <v>45352</v>
      </c>
      <c r="Q255" s="4">
        <f t="shared" si="15"/>
        <v>45413</v>
      </c>
    </row>
    <row r="256" spans="1:17" x14ac:dyDescent="0.25">
      <c r="A256">
        <v>39083</v>
      </c>
      <c r="B256" t="s">
        <v>56</v>
      </c>
      <c r="C256" t="str">
        <f>_xlfn.XLOOKUP(B256,Multipliers!A:A,Multipliers!C:C)</f>
        <v>John Powell</v>
      </c>
      <c r="D256" s="3">
        <v>45317</v>
      </c>
      <c r="E256" t="s">
        <v>1877</v>
      </c>
      <c r="F256" t="s">
        <v>2041</v>
      </c>
      <c r="G256" t="s">
        <v>1402</v>
      </c>
      <c r="H256">
        <v>0</v>
      </c>
      <c r="I256" s="1">
        <v>0</v>
      </c>
      <c r="J256" s="1">
        <v>0</v>
      </c>
      <c r="K256">
        <v>1</v>
      </c>
      <c r="L256">
        <f>IF(E256="4. Renewal - MRR",IF(I256&lt;=0,0,VLOOKUP(B256,Multipliers!A:L,MATCH(K256,Multipliers!$A$1:$L$1,0),FALSE)),VLOOKUP(B256,Multipliers!A:L,MATCH(K256,Multipliers!$A$1:$L$1,0),FALSE))</f>
        <v>0</v>
      </c>
      <c r="M256">
        <f t="shared" si="12"/>
        <v>0</v>
      </c>
      <c r="N256" s="1">
        <f>_xlfn.XLOOKUP(A256,'Product Detail'!$AG:$AG,'Product Detail'!$AH:$AH,"N/A")</f>
        <v>6.3987999999999987</v>
      </c>
      <c r="O256" s="1">
        <f t="shared" si="13"/>
        <v>0</v>
      </c>
      <c r="P256" s="4">
        <f t="shared" si="14"/>
        <v>45352</v>
      </c>
      <c r="Q256" s="4">
        <f t="shared" si="15"/>
        <v>45413</v>
      </c>
    </row>
    <row r="257" spans="1:17" x14ac:dyDescent="0.25">
      <c r="A257">
        <v>39054</v>
      </c>
      <c r="B257" t="s">
        <v>132</v>
      </c>
      <c r="C257" t="str">
        <f>_xlfn.XLOOKUP(B257,Multipliers!A:A,Multipliers!C:C)</f>
        <v>Jeffrey Weight</v>
      </c>
      <c r="D257" s="3">
        <v>45308</v>
      </c>
      <c r="E257" t="s">
        <v>1877</v>
      </c>
      <c r="F257" t="s">
        <v>2045</v>
      </c>
      <c r="G257" t="s">
        <v>1378</v>
      </c>
      <c r="H257">
        <v>0</v>
      </c>
      <c r="I257" s="1">
        <v>0</v>
      </c>
      <c r="J257" s="1">
        <v>0</v>
      </c>
      <c r="K257">
        <v>1</v>
      </c>
      <c r="L257">
        <f>IF(E257="4. Renewal - MRR",IF(I257&lt;=0,0,VLOOKUP(B257,Multipliers!A:L,MATCH(K257,Multipliers!$A$1:$L$1,0),FALSE)),VLOOKUP(B257,Multipliers!A:L,MATCH(K257,Multipliers!$A$1:$L$1,0),FALSE))</f>
        <v>0</v>
      </c>
      <c r="M257">
        <f t="shared" si="12"/>
        <v>0</v>
      </c>
      <c r="N257" s="1">
        <f>_xlfn.XLOOKUP(A257,'Product Detail'!$AG:$AG,'Product Detail'!$AH:$AH,"N/A")</f>
        <v>5.9551999999999996</v>
      </c>
      <c r="O257" s="1">
        <f t="shared" si="13"/>
        <v>0</v>
      </c>
      <c r="P257" s="4">
        <f t="shared" si="14"/>
        <v>45352</v>
      </c>
      <c r="Q257" s="4">
        <f t="shared" si="15"/>
        <v>45413</v>
      </c>
    </row>
    <row r="258" spans="1:17" x14ac:dyDescent="0.25">
      <c r="A258">
        <v>39048</v>
      </c>
      <c r="B258" t="s">
        <v>132</v>
      </c>
      <c r="C258" t="str">
        <f>_xlfn.XLOOKUP(B258,Multipliers!A:A,Multipliers!C:C)</f>
        <v>Jeffrey Weight</v>
      </c>
      <c r="D258" s="3">
        <v>45317</v>
      </c>
      <c r="E258" t="s">
        <v>1877</v>
      </c>
      <c r="F258" t="s">
        <v>2046</v>
      </c>
      <c r="G258" t="s">
        <v>1372</v>
      </c>
      <c r="H258">
        <v>0</v>
      </c>
      <c r="I258" s="1">
        <v>0</v>
      </c>
      <c r="J258" s="1">
        <v>0</v>
      </c>
      <c r="K258">
        <v>1</v>
      </c>
      <c r="L258">
        <f>IF(E258="4. Renewal - MRR",IF(I258&lt;=0,0,VLOOKUP(B258,Multipliers!A:L,MATCH(K258,Multipliers!$A$1:$L$1,0),FALSE)),VLOOKUP(B258,Multipliers!A:L,MATCH(K258,Multipliers!$A$1:$L$1,0),FALSE))</f>
        <v>0</v>
      </c>
      <c r="M258">
        <f t="shared" ref="M258:M321" si="16">IF(E258="4. Renewal - MRR",IF(K258&gt;24,0.25,0),0)</f>
        <v>0</v>
      </c>
      <c r="N258" s="1">
        <f>_xlfn.XLOOKUP(A258,'Product Detail'!$AG:$AG,'Product Detail'!$AH:$AH,"N/A")</f>
        <v>28.713600000000007</v>
      </c>
      <c r="O258" s="1">
        <f t="shared" ref="O258:O321" si="17">I258*L258+J258*M258</f>
        <v>0</v>
      </c>
      <c r="P258" s="4">
        <f t="shared" ref="P258:P321" si="18">EOMONTH(D258,1)+1</f>
        <v>45352</v>
      </c>
      <c r="Q258" s="4">
        <f t="shared" ref="Q258:Q321" si="19">EOMONTH(D258,3)+1</f>
        <v>45413</v>
      </c>
    </row>
    <row r="259" spans="1:17" x14ac:dyDescent="0.25">
      <c r="A259">
        <v>39044</v>
      </c>
      <c r="B259" t="s">
        <v>132</v>
      </c>
      <c r="C259" t="str">
        <f>_xlfn.XLOOKUP(B259,Multipliers!A:A,Multipliers!C:C)</f>
        <v>Jeffrey Weight</v>
      </c>
      <c r="D259" s="3">
        <v>45308</v>
      </c>
      <c r="E259" t="s">
        <v>1877</v>
      </c>
      <c r="F259" t="s">
        <v>1992</v>
      </c>
      <c r="G259" t="s">
        <v>1369</v>
      </c>
      <c r="H259">
        <v>0</v>
      </c>
      <c r="I259" s="1">
        <v>0</v>
      </c>
      <c r="J259" s="1">
        <v>0</v>
      </c>
      <c r="K259">
        <v>1</v>
      </c>
      <c r="L259">
        <f>IF(E259="4. Renewal - MRR",IF(I259&lt;=0,0,VLOOKUP(B259,Multipliers!A:L,MATCH(K259,Multipliers!$A$1:$L$1,0),FALSE)),VLOOKUP(B259,Multipliers!A:L,MATCH(K259,Multipliers!$A$1:$L$1,0),FALSE))</f>
        <v>0</v>
      </c>
      <c r="M259">
        <f t="shared" si="16"/>
        <v>0</v>
      </c>
      <c r="N259" s="1">
        <f>_xlfn.XLOOKUP(A259,'Product Detail'!$AG:$AG,'Product Detail'!$AH:$AH,"N/A")</f>
        <v>36.692800000000005</v>
      </c>
      <c r="O259" s="1">
        <f t="shared" si="17"/>
        <v>0</v>
      </c>
      <c r="P259" s="4">
        <f t="shared" si="18"/>
        <v>45352</v>
      </c>
      <c r="Q259" s="4">
        <f t="shared" si="19"/>
        <v>45413</v>
      </c>
    </row>
    <row r="260" spans="1:17" x14ac:dyDescent="0.25">
      <c r="A260">
        <v>39040</v>
      </c>
      <c r="B260" t="s">
        <v>132</v>
      </c>
      <c r="C260" t="str">
        <f>_xlfn.XLOOKUP(B260,Multipliers!A:A,Multipliers!C:C)</f>
        <v>Jeffrey Weight</v>
      </c>
      <c r="D260" s="3">
        <v>45313</v>
      </c>
      <c r="E260" t="s">
        <v>1877</v>
      </c>
      <c r="F260" t="s">
        <v>1899</v>
      </c>
      <c r="G260" t="s">
        <v>1365</v>
      </c>
      <c r="H260">
        <v>0</v>
      </c>
      <c r="I260" s="1">
        <v>0</v>
      </c>
      <c r="J260" s="1">
        <v>0</v>
      </c>
      <c r="K260">
        <v>1</v>
      </c>
      <c r="L260">
        <f>IF(E260="4. Renewal - MRR",IF(I260&lt;=0,0,VLOOKUP(B260,Multipliers!A:L,MATCH(K260,Multipliers!$A$1:$L$1,0),FALSE)),VLOOKUP(B260,Multipliers!A:L,MATCH(K260,Multipliers!$A$1:$L$1,0),FALSE))</f>
        <v>0</v>
      </c>
      <c r="M260">
        <f t="shared" si="16"/>
        <v>0</v>
      </c>
      <c r="N260" s="1">
        <f>_xlfn.XLOOKUP(A260,'Product Detail'!$AG:$AG,'Product Detail'!$AH:$AH,"N/A")</f>
        <v>43.112799999999993</v>
      </c>
      <c r="O260" s="1">
        <f t="shared" si="17"/>
        <v>0</v>
      </c>
      <c r="P260" s="4">
        <f t="shared" si="18"/>
        <v>45352</v>
      </c>
      <c r="Q260" s="4">
        <f t="shared" si="19"/>
        <v>45413</v>
      </c>
    </row>
    <row r="261" spans="1:17" x14ac:dyDescent="0.25">
      <c r="A261">
        <v>39039</v>
      </c>
      <c r="B261" t="s">
        <v>140</v>
      </c>
      <c r="C261" t="str">
        <f>_xlfn.XLOOKUP(B261,Multipliers!A:A,Multipliers!C:C)</f>
        <v>Jeffrey Weight</v>
      </c>
      <c r="D261" s="3">
        <v>45310</v>
      </c>
      <c r="E261" t="s">
        <v>1877</v>
      </c>
      <c r="F261" t="s">
        <v>2047</v>
      </c>
      <c r="G261" t="s">
        <v>1351</v>
      </c>
      <c r="H261">
        <v>0</v>
      </c>
      <c r="I261" s="1">
        <v>0</v>
      </c>
      <c r="J261" s="1">
        <v>0</v>
      </c>
      <c r="K261">
        <v>1</v>
      </c>
      <c r="L261">
        <f>IF(E261="4. Renewal - MRR",IF(I261&lt;=0,0,VLOOKUP(B261,Multipliers!A:L,MATCH(K261,Multipliers!$A$1:$L$1,0),FALSE)),VLOOKUP(B261,Multipliers!A:L,MATCH(K261,Multipliers!$A$1:$L$1,0),FALSE))</f>
        <v>0</v>
      </c>
      <c r="M261">
        <f t="shared" si="16"/>
        <v>0</v>
      </c>
      <c r="N261" s="1">
        <f>_xlfn.XLOOKUP(A261,'Product Detail'!$AG:$AG,'Product Detail'!$AH:$AH,"N/A")</f>
        <v>82.492800000000017</v>
      </c>
      <c r="O261" s="1">
        <f t="shared" si="17"/>
        <v>0</v>
      </c>
      <c r="P261" s="4">
        <f t="shared" si="18"/>
        <v>45352</v>
      </c>
      <c r="Q261" s="4">
        <f t="shared" si="19"/>
        <v>45413</v>
      </c>
    </row>
    <row r="262" spans="1:17" x14ac:dyDescent="0.25">
      <c r="A262">
        <v>39033</v>
      </c>
      <c r="B262" t="s">
        <v>132</v>
      </c>
      <c r="C262" t="str">
        <f>_xlfn.XLOOKUP(B262,Multipliers!A:A,Multipliers!C:C)</f>
        <v>Jeffrey Weight</v>
      </c>
      <c r="D262" s="3">
        <v>45322</v>
      </c>
      <c r="E262" t="s">
        <v>1877</v>
      </c>
      <c r="F262" t="s">
        <v>1921</v>
      </c>
      <c r="G262" t="s">
        <v>1342</v>
      </c>
      <c r="H262">
        <v>0</v>
      </c>
      <c r="I262" s="1">
        <v>0</v>
      </c>
      <c r="J262" s="1">
        <v>0</v>
      </c>
      <c r="K262">
        <v>1</v>
      </c>
      <c r="L262">
        <f>IF(E262="4. Renewal - MRR",IF(I262&lt;=0,0,VLOOKUP(B262,Multipliers!A:L,MATCH(K262,Multipliers!$A$1:$L$1,0),FALSE)),VLOOKUP(B262,Multipliers!A:L,MATCH(K262,Multipliers!$A$1:$L$1,0),FALSE))</f>
        <v>0</v>
      </c>
      <c r="M262">
        <f t="shared" si="16"/>
        <v>0</v>
      </c>
      <c r="N262" s="1">
        <f>_xlfn.XLOOKUP(A262,'Product Detail'!$AG:$AG,'Product Detail'!$AH:$AH,"N/A")</f>
        <v>44.705600000000004</v>
      </c>
      <c r="O262" s="1">
        <f t="shared" si="17"/>
        <v>0</v>
      </c>
      <c r="P262" s="4">
        <f t="shared" si="18"/>
        <v>45352</v>
      </c>
      <c r="Q262" s="4">
        <f t="shared" si="19"/>
        <v>45413</v>
      </c>
    </row>
    <row r="263" spans="1:17" x14ac:dyDescent="0.25">
      <c r="A263">
        <v>39026</v>
      </c>
      <c r="B263" t="s">
        <v>132</v>
      </c>
      <c r="C263" t="str">
        <f>_xlfn.XLOOKUP(B263,Multipliers!A:A,Multipliers!C:C)</f>
        <v>Jeffrey Weight</v>
      </c>
      <c r="D263" s="3">
        <v>45311</v>
      </c>
      <c r="E263" t="s">
        <v>1881</v>
      </c>
      <c r="F263" t="s">
        <v>2048</v>
      </c>
      <c r="G263" t="s">
        <v>1334</v>
      </c>
      <c r="H263">
        <v>0</v>
      </c>
      <c r="I263" s="1">
        <v>0</v>
      </c>
      <c r="J263" s="1">
        <v>0</v>
      </c>
      <c r="K263">
        <v>1</v>
      </c>
      <c r="L263">
        <f>IF(E263="4. Renewal - MRR",IF(I263&lt;=0,0,VLOOKUP(B263,Multipliers!A:L,MATCH(K263,Multipliers!$A$1:$L$1,0),FALSE)),VLOOKUP(B263,Multipliers!A:L,MATCH(K263,Multipliers!$A$1:$L$1,0),FALSE))</f>
        <v>0</v>
      </c>
      <c r="M263">
        <f t="shared" si="16"/>
        <v>0</v>
      </c>
      <c r="N263" s="1">
        <f>_xlfn.XLOOKUP(A263,'Product Detail'!$AG:$AG,'Product Detail'!$AH:$AH,"N/A")</f>
        <v>7.1608000000000001</v>
      </c>
      <c r="O263" s="1">
        <f t="shared" si="17"/>
        <v>0</v>
      </c>
      <c r="P263" s="4">
        <f t="shared" si="18"/>
        <v>45352</v>
      </c>
      <c r="Q263" s="4">
        <f t="shared" si="19"/>
        <v>45413</v>
      </c>
    </row>
    <row r="264" spans="1:17" x14ac:dyDescent="0.25">
      <c r="A264">
        <v>39017</v>
      </c>
      <c r="B264" t="s">
        <v>132</v>
      </c>
      <c r="C264" t="str">
        <f>_xlfn.XLOOKUP(B264,Multipliers!A:A,Multipliers!C:C)</f>
        <v>Jeffrey Weight</v>
      </c>
      <c r="D264" s="3">
        <v>45309</v>
      </c>
      <c r="E264" t="s">
        <v>1877</v>
      </c>
      <c r="F264" t="s">
        <v>2049</v>
      </c>
      <c r="G264" t="s">
        <v>1327</v>
      </c>
      <c r="H264">
        <v>0</v>
      </c>
      <c r="I264" s="1">
        <v>0</v>
      </c>
      <c r="J264" s="1">
        <v>0</v>
      </c>
      <c r="K264">
        <v>1</v>
      </c>
      <c r="L264">
        <f>IF(E264="4. Renewal - MRR",IF(I264&lt;=0,0,VLOOKUP(B264,Multipliers!A:L,MATCH(K264,Multipliers!$A$1:$L$1,0),FALSE)),VLOOKUP(B264,Multipliers!A:L,MATCH(K264,Multipliers!$A$1:$L$1,0),FALSE))</f>
        <v>0</v>
      </c>
      <c r="M264">
        <f t="shared" si="16"/>
        <v>0</v>
      </c>
      <c r="N264" s="1">
        <f>_xlfn.XLOOKUP(A264,'Product Detail'!$AG:$AG,'Product Detail'!$AH:$AH,"N/A")</f>
        <v>540.74239999999986</v>
      </c>
      <c r="O264" s="1">
        <f t="shared" si="17"/>
        <v>0</v>
      </c>
      <c r="P264" s="4">
        <f t="shared" si="18"/>
        <v>45352</v>
      </c>
      <c r="Q264" s="4">
        <f t="shared" si="19"/>
        <v>45413</v>
      </c>
    </row>
    <row r="265" spans="1:17" x14ac:dyDescent="0.25">
      <c r="A265">
        <v>39092</v>
      </c>
      <c r="B265" t="s">
        <v>43</v>
      </c>
      <c r="C265" t="str">
        <f>_xlfn.XLOOKUP(B265,Multipliers!A:A,Multipliers!C:C)</f>
        <v>John Powell</v>
      </c>
      <c r="D265" s="3">
        <v>45309</v>
      </c>
      <c r="E265" t="s">
        <v>1877</v>
      </c>
      <c r="F265" t="s">
        <v>1936</v>
      </c>
      <c r="G265" t="s">
        <v>1418</v>
      </c>
      <c r="H265">
        <v>0</v>
      </c>
      <c r="I265" s="1">
        <v>0</v>
      </c>
      <c r="J265" s="1">
        <v>0</v>
      </c>
      <c r="K265">
        <v>1</v>
      </c>
      <c r="L265">
        <f>IF(E265="4. Renewal - MRR",IF(I265&lt;=0,0,VLOOKUP(B265,Multipliers!A:L,MATCH(K265,Multipliers!$A$1:$L$1,0),FALSE)),VLOOKUP(B265,Multipliers!A:L,MATCH(K265,Multipliers!$A$1:$L$1,0),FALSE))</f>
        <v>0</v>
      </c>
      <c r="M265">
        <f t="shared" si="16"/>
        <v>0</v>
      </c>
      <c r="N265" s="1">
        <f>_xlfn.XLOOKUP(A265,'Product Detail'!$AG:$AG,'Product Detail'!$AH:$AH,"N/A")</f>
        <v>4.6537500000000005</v>
      </c>
      <c r="O265" s="1">
        <f t="shared" si="17"/>
        <v>0</v>
      </c>
      <c r="P265" s="4">
        <f t="shared" si="18"/>
        <v>45352</v>
      </c>
      <c r="Q265" s="4">
        <f t="shared" si="19"/>
        <v>45413</v>
      </c>
    </row>
    <row r="266" spans="1:17" x14ac:dyDescent="0.25">
      <c r="A266">
        <v>39011</v>
      </c>
      <c r="B266" t="s">
        <v>107</v>
      </c>
      <c r="C266" t="str">
        <f>_xlfn.XLOOKUP(B266,Multipliers!A:A,Multipliers!C:C)</f>
        <v>Luis Blanco</v>
      </c>
      <c r="D266" s="3">
        <v>45313</v>
      </c>
      <c r="E266" t="s">
        <v>1878</v>
      </c>
      <c r="F266" t="s">
        <v>2050</v>
      </c>
      <c r="G266" t="s">
        <v>1320</v>
      </c>
      <c r="H266">
        <v>0</v>
      </c>
      <c r="I266" s="1">
        <v>0</v>
      </c>
      <c r="J266" s="1">
        <v>0</v>
      </c>
      <c r="K266">
        <v>1</v>
      </c>
      <c r="L266">
        <f>IF(E266="4. Renewal - MRR",IF(I266&lt;=0,0,VLOOKUP(B266,Multipliers!A:L,MATCH(K266,Multipliers!$A$1:$L$1,0),FALSE)),VLOOKUP(B266,Multipliers!A:L,MATCH(K266,Multipliers!$A$1:$L$1,0),FALSE))</f>
        <v>0</v>
      </c>
      <c r="M266">
        <f t="shared" si="16"/>
        <v>0</v>
      </c>
      <c r="N266" s="1">
        <f>_xlfn.XLOOKUP(A266,'Product Detail'!$AG:$AG,'Product Detail'!$AH:$AH,"N/A")</f>
        <v>-0.64879999999999249</v>
      </c>
      <c r="O266" s="1">
        <f t="shared" si="17"/>
        <v>0</v>
      </c>
      <c r="P266" s="4">
        <f t="shared" si="18"/>
        <v>45352</v>
      </c>
      <c r="Q266" s="4">
        <f t="shared" si="19"/>
        <v>45413</v>
      </c>
    </row>
    <row r="267" spans="1:17" x14ac:dyDescent="0.25">
      <c r="A267">
        <v>39003</v>
      </c>
      <c r="B267" t="s">
        <v>132</v>
      </c>
      <c r="C267" t="str">
        <f>_xlfn.XLOOKUP(B267,Multipliers!A:A,Multipliers!C:C)</f>
        <v>Jeffrey Weight</v>
      </c>
      <c r="D267" s="3">
        <v>45316</v>
      </c>
      <c r="E267" t="s">
        <v>1877</v>
      </c>
      <c r="F267" t="s">
        <v>2014</v>
      </c>
      <c r="G267" t="s">
        <v>1312</v>
      </c>
      <c r="H267">
        <v>0</v>
      </c>
      <c r="I267" s="1">
        <v>0</v>
      </c>
      <c r="J267" s="1">
        <v>0</v>
      </c>
      <c r="K267">
        <v>1</v>
      </c>
      <c r="L267">
        <f>IF(E267="4. Renewal - MRR",IF(I267&lt;=0,0,VLOOKUP(B267,Multipliers!A:L,MATCH(K267,Multipliers!$A$1:$L$1,0),FALSE)),VLOOKUP(B267,Multipliers!A:L,MATCH(K267,Multipliers!$A$1:$L$1,0),FALSE))</f>
        <v>0</v>
      </c>
      <c r="M267">
        <f t="shared" si="16"/>
        <v>0</v>
      </c>
      <c r="N267" s="1">
        <f>_xlfn.XLOOKUP(A267,'Product Detail'!$AG:$AG,'Product Detail'!$AH:$AH,"N/A")</f>
        <v>101.10959999999999</v>
      </c>
      <c r="O267" s="1">
        <f t="shared" si="17"/>
        <v>0</v>
      </c>
      <c r="P267" s="4">
        <f t="shared" si="18"/>
        <v>45352</v>
      </c>
      <c r="Q267" s="4">
        <f t="shared" si="19"/>
        <v>45413</v>
      </c>
    </row>
    <row r="268" spans="1:17" x14ac:dyDescent="0.25">
      <c r="A268">
        <v>39098</v>
      </c>
      <c r="B268" t="s">
        <v>51</v>
      </c>
      <c r="C268" t="str">
        <f>_xlfn.XLOOKUP(B268,Multipliers!A:A,Multipliers!C:C)</f>
        <v>John Powell</v>
      </c>
      <c r="D268" s="3">
        <v>45309</v>
      </c>
      <c r="E268" t="s">
        <v>1877</v>
      </c>
      <c r="F268" t="s">
        <v>2163</v>
      </c>
      <c r="G268" t="s">
        <v>1421</v>
      </c>
      <c r="H268">
        <v>0</v>
      </c>
      <c r="I268" s="1">
        <v>0</v>
      </c>
      <c r="J268" s="1">
        <v>0</v>
      </c>
      <c r="K268">
        <v>0</v>
      </c>
      <c r="L268">
        <f>IF(E268="4. Renewal - MRR",IF(I268&lt;=0,0,VLOOKUP(B268,Multipliers!A:L,MATCH(K268,Multipliers!$A$1:$L$1,0),FALSE)),VLOOKUP(B268,Multipliers!A:L,MATCH(K268,Multipliers!$A$1:$L$1,0),FALSE))</f>
        <v>0</v>
      </c>
      <c r="M268">
        <f t="shared" si="16"/>
        <v>0</v>
      </c>
      <c r="N268" s="1">
        <f>_xlfn.XLOOKUP(A268,'Product Detail'!$AG:$AG,'Product Detail'!$AH:$AH,"N/A")</f>
        <v>34.200000000000003</v>
      </c>
      <c r="O268" s="1">
        <f t="shared" si="17"/>
        <v>0</v>
      </c>
      <c r="P268" s="4">
        <f t="shared" si="18"/>
        <v>45352</v>
      </c>
      <c r="Q268" s="4">
        <f t="shared" si="19"/>
        <v>45413</v>
      </c>
    </row>
    <row r="269" spans="1:17" x14ac:dyDescent="0.25">
      <c r="A269">
        <v>38999</v>
      </c>
      <c r="B269" t="s">
        <v>140</v>
      </c>
      <c r="C269" t="str">
        <f>_xlfn.XLOOKUP(B269,Multipliers!A:A,Multipliers!C:C)</f>
        <v>Jeffrey Weight</v>
      </c>
      <c r="D269" s="3">
        <v>45307</v>
      </c>
      <c r="E269" t="s">
        <v>1881</v>
      </c>
      <c r="F269" t="s">
        <v>2051</v>
      </c>
      <c r="G269" t="s">
        <v>1294</v>
      </c>
      <c r="H269">
        <v>0</v>
      </c>
      <c r="I269" s="1">
        <v>0</v>
      </c>
      <c r="J269" s="1">
        <v>0</v>
      </c>
      <c r="K269">
        <v>1</v>
      </c>
      <c r="L269">
        <f>IF(E269="4. Renewal - MRR",IF(I269&lt;=0,0,VLOOKUP(B269,Multipliers!A:L,MATCH(K269,Multipliers!$A$1:$L$1,0),FALSE)),VLOOKUP(B269,Multipliers!A:L,MATCH(K269,Multipliers!$A$1:$L$1,0),FALSE))</f>
        <v>0</v>
      </c>
      <c r="M269">
        <f t="shared" si="16"/>
        <v>0</v>
      </c>
      <c r="N269" s="1">
        <f>_xlfn.XLOOKUP(A269,'Product Detail'!$AG:$AG,'Product Detail'!$AH:$AH,"N/A")</f>
        <v>150.64400000000003</v>
      </c>
      <c r="O269" s="1">
        <f t="shared" si="17"/>
        <v>0</v>
      </c>
      <c r="P269" s="4">
        <f t="shared" si="18"/>
        <v>45352</v>
      </c>
      <c r="Q269" s="4">
        <f t="shared" si="19"/>
        <v>45413</v>
      </c>
    </row>
    <row r="270" spans="1:17" x14ac:dyDescent="0.25">
      <c r="A270">
        <v>38993</v>
      </c>
      <c r="B270" t="s">
        <v>184</v>
      </c>
      <c r="C270" t="str">
        <f>_xlfn.XLOOKUP(B270,Multipliers!A:A,Multipliers!C:C)</f>
        <v>Jeffrey Weight</v>
      </c>
      <c r="D270" s="3">
        <v>45313</v>
      </c>
      <c r="E270" t="s">
        <v>1877</v>
      </c>
      <c r="F270" t="s">
        <v>2010</v>
      </c>
      <c r="G270" t="s">
        <v>1290</v>
      </c>
      <c r="H270">
        <v>0</v>
      </c>
      <c r="I270" s="1">
        <v>0</v>
      </c>
      <c r="J270" s="1">
        <v>0</v>
      </c>
      <c r="K270">
        <v>1</v>
      </c>
      <c r="L270">
        <f>IF(E270="4. Renewal - MRR",IF(I270&lt;=0,0,VLOOKUP(B270,Multipliers!A:L,MATCH(K270,Multipliers!$A$1:$L$1,0),FALSE)),VLOOKUP(B270,Multipliers!A:L,MATCH(K270,Multipliers!$A$1:$L$1,0),FALSE))</f>
        <v>0</v>
      </c>
      <c r="M270">
        <f t="shared" si="16"/>
        <v>0</v>
      </c>
      <c r="N270" s="1">
        <f>_xlfn.XLOOKUP(A270,'Product Detail'!$AG:$AG,'Product Detail'!$AH:$AH,"N/A")</f>
        <v>0</v>
      </c>
      <c r="O270" s="1">
        <f t="shared" si="17"/>
        <v>0</v>
      </c>
      <c r="P270" s="4">
        <f t="shared" si="18"/>
        <v>45352</v>
      </c>
      <c r="Q270" s="4">
        <f t="shared" si="19"/>
        <v>45413</v>
      </c>
    </row>
    <row r="271" spans="1:17" x14ac:dyDescent="0.25">
      <c r="A271" s="2">
        <v>39099</v>
      </c>
      <c r="B271" t="s">
        <v>51</v>
      </c>
      <c r="C271" t="s">
        <v>2441</v>
      </c>
      <c r="D271" s="3">
        <v>45309</v>
      </c>
      <c r="E271" t="s">
        <v>1877</v>
      </c>
      <c r="F271" t="s">
        <v>1912</v>
      </c>
      <c r="G271" t="s">
        <v>2210</v>
      </c>
      <c r="H271">
        <v>0</v>
      </c>
      <c r="I271" s="1">
        <v>10</v>
      </c>
      <c r="J271" s="1">
        <v>0</v>
      </c>
      <c r="K271">
        <v>36</v>
      </c>
      <c r="L271">
        <f>IF(E271="4. Renewal - MRR",IF(I271&lt;=0,0,VLOOKUP(B271,Multipliers!A:L,MATCH(K271,Multipliers!$A$1:$L$1,0),FALSE)),VLOOKUP(B271,Multipliers!A:L,MATCH(K271,Multipliers!$A$1:$L$1,0),FALSE))</f>
        <v>0</v>
      </c>
      <c r="M271">
        <f t="shared" si="16"/>
        <v>0</v>
      </c>
      <c r="N271" s="1" t="str">
        <f>_xlfn.XLOOKUP(A271,'Product Detail'!$AG:$AG,'Product Detail'!$AH:$AH,"N/A")</f>
        <v>N/A</v>
      </c>
      <c r="O271" s="1">
        <f t="shared" si="17"/>
        <v>0</v>
      </c>
      <c r="P271" s="4">
        <f t="shared" si="18"/>
        <v>45352</v>
      </c>
      <c r="Q271" s="4">
        <f t="shared" si="19"/>
        <v>45413</v>
      </c>
    </row>
    <row r="272" spans="1:17" x14ac:dyDescent="0.25">
      <c r="A272" s="2">
        <v>39100</v>
      </c>
      <c r="B272" t="s">
        <v>51</v>
      </c>
      <c r="C272" t="s">
        <v>2441</v>
      </c>
      <c r="D272" s="3">
        <v>45316</v>
      </c>
      <c r="E272" t="s">
        <v>1877</v>
      </c>
      <c r="F272" t="s">
        <v>1912</v>
      </c>
      <c r="G272" t="s">
        <v>2209</v>
      </c>
      <c r="H272">
        <v>0</v>
      </c>
      <c r="I272" s="1">
        <v>10</v>
      </c>
      <c r="J272" s="1">
        <v>0</v>
      </c>
      <c r="K272">
        <v>36</v>
      </c>
      <c r="L272">
        <f>IF(E272="4. Renewal - MRR",IF(I272&lt;=0,0,VLOOKUP(B272,Multipliers!A:L,MATCH(K272,Multipliers!$A$1:$L$1,0),FALSE)),VLOOKUP(B272,Multipliers!A:L,MATCH(K272,Multipliers!$A$1:$L$1,0),FALSE))</f>
        <v>0</v>
      </c>
      <c r="M272">
        <f t="shared" si="16"/>
        <v>0</v>
      </c>
      <c r="N272" s="1" t="str">
        <f>_xlfn.XLOOKUP(A272,'Product Detail'!$AG:$AG,'Product Detail'!$AH:$AH,"N/A")</f>
        <v>N/A</v>
      </c>
      <c r="O272" s="1">
        <f t="shared" si="17"/>
        <v>0</v>
      </c>
      <c r="P272" s="4">
        <f t="shared" si="18"/>
        <v>45352</v>
      </c>
      <c r="Q272" s="4">
        <f t="shared" si="19"/>
        <v>45413</v>
      </c>
    </row>
    <row r="273" spans="1:17" x14ac:dyDescent="0.25">
      <c r="A273">
        <v>38978</v>
      </c>
      <c r="B273" t="s">
        <v>1874</v>
      </c>
      <c r="C273" t="str">
        <f>_xlfn.XLOOKUP(B273,Multipliers!A:A,Multipliers!C:C)</f>
        <v>Jeffrey Weight</v>
      </c>
      <c r="D273" s="3">
        <v>45306</v>
      </c>
      <c r="E273" t="s">
        <v>1878</v>
      </c>
      <c r="F273" t="s">
        <v>1986</v>
      </c>
      <c r="G273" t="s">
        <v>1282</v>
      </c>
      <c r="H273">
        <v>0</v>
      </c>
      <c r="I273" s="1">
        <v>0</v>
      </c>
      <c r="J273" s="1">
        <v>0</v>
      </c>
      <c r="K273">
        <v>1</v>
      </c>
      <c r="L273">
        <f>IF(E273="4. Renewal - MRR",IF(I273&lt;=0,0,VLOOKUP(B273,Multipliers!A:L,MATCH(K273,Multipliers!$A$1:$L$1,0),FALSE)),VLOOKUP(B273,Multipliers!A:L,MATCH(K273,Multipliers!$A$1:$L$1,0),FALSE))</f>
        <v>0</v>
      </c>
      <c r="M273">
        <f t="shared" si="16"/>
        <v>0</v>
      </c>
      <c r="N273" s="1">
        <f>_xlfn.XLOOKUP(A273,'Product Detail'!$AG:$AG,'Product Detail'!$AH:$AH,"N/A")</f>
        <v>-9.1192000000000206</v>
      </c>
      <c r="O273" s="1">
        <f t="shared" si="17"/>
        <v>0</v>
      </c>
      <c r="P273" s="4">
        <f t="shared" si="18"/>
        <v>45352</v>
      </c>
      <c r="Q273" s="4">
        <f t="shared" si="19"/>
        <v>45413</v>
      </c>
    </row>
    <row r="274" spans="1:17" x14ac:dyDescent="0.25">
      <c r="A274">
        <v>38975</v>
      </c>
      <c r="B274" t="s">
        <v>107</v>
      </c>
      <c r="C274" t="str">
        <f>_xlfn.XLOOKUP(B274,Multipliers!A:A,Multipliers!C:C)</f>
        <v>Luis Blanco</v>
      </c>
      <c r="D274" s="3">
        <v>45307</v>
      </c>
      <c r="E274" t="s">
        <v>1881</v>
      </c>
      <c r="F274" t="s">
        <v>2053</v>
      </c>
      <c r="G274" t="s">
        <v>1279</v>
      </c>
      <c r="H274">
        <v>0</v>
      </c>
      <c r="I274" s="1">
        <v>0</v>
      </c>
      <c r="J274" s="1">
        <v>0</v>
      </c>
      <c r="K274">
        <v>1</v>
      </c>
      <c r="L274">
        <f>IF(E274="4. Renewal - MRR",IF(I274&lt;=0,0,VLOOKUP(B274,Multipliers!A:L,MATCH(K274,Multipliers!$A$1:$L$1,0),FALSE)),VLOOKUP(B274,Multipliers!A:L,MATCH(K274,Multipliers!$A$1:$L$1,0),FALSE))</f>
        <v>0</v>
      </c>
      <c r="M274">
        <f t="shared" si="16"/>
        <v>0</v>
      </c>
      <c r="N274" s="1">
        <f>_xlfn.XLOOKUP(A274,'Product Detail'!$AG:$AG,'Product Detail'!$AH:$AH,"N/A")</f>
        <v>12</v>
      </c>
      <c r="O274" s="1">
        <f t="shared" si="17"/>
        <v>0</v>
      </c>
      <c r="P274" s="4">
        <f t="shared" si="18"/>
        <v>45352</v>
      </c>
      <c r="Q274" s="4">
        <f t="shared" si="19"/>
        <v>45413</v>
      </c>
    </row>
    <row r="275" spans="1:17" x14ac:dyDescent="0.25">
      <c r="A275">
        <v>39107</v>
      </c>
      <c r="B275" t="s">
        <v>61</v>
      </c>
      <c r="C275" t="str">
        <f>_xlfn.XLOOKUP(B275,Multipliers!A:A,Multipliers!C:C)</f>
        <v>John Powell</v>
      </c>
      <c r="D275" s="3">
        <v>45309</v>
      </c>
      <c r="E275" t="s">
        <v>1877</v>
      </c>
      <c r="F275" t="s">
        <v>1987</v>
      </c>
      <c r="G275" t="s">
        <v>1425</v>
      </c>
      <c r="H275">
        <v>0</v>
      </c>
      <c r="I275" s="1">
        <v>0</v>
      </c>
      <c r="J275" s="1">
        <v>0</v>
      </c>
      <c r="K275">
        <v>1</v>
      </c>
      <c r="L275">
        <f>IF(E275="4. Renewal - MRR",IF(I275&lt;=0,0,VLOOKUP(B275,Multipliers!A:L,MATCH(K275,Multipliers!$A$1:$L$1,0),FALSE)),VLOOKUP(B275,Multipliers!A:L,MATCH(K275,Multipliers!$A$1:$L$1,0),FALSE))</f>
        <v>0</v>
      </c>
      <c r="M275">
        <f t="shared" si="16"/>
        <v>0</v>
      </c>
      <c r="N275" s="1">
        <f>_xlfn.XLOOKUP(A275,'Product Detail'!$AG:$AG,'Product Detail'!$AH:$AH,"N/A")</f>
        <v>0</v>
      </c>
      <c r="O275" s="1">
        <f t="shared" si="17"/>
        <v>0</v>
      </c>
      <c r="P275" s="4">
        <f t="shared" si="18"/>
        <v>45352</v>
      </c>
      <c r="Q275" s="4">
        <f t="shared" si="19"/>
        <v>45413</v>
      </c>
    </row>
    <row r="276" spans="1:17" x14ac:dyDescent="0.25">
      <c r="A276">
        <v>38962</v>
      </c>
      <c r="B276" t="s">
        <v>107</v>
      </c>
      <c r="C276" t="str">
        <f>_xlfn.XLOOKUP(B276,Multipliers!A:A,Multipliers!C:C)</f>
        <v>Luis Blanco</v>
      </c>
      <c r="D276" s="3">
        <v>45313</v>
      </c>
      <c r="E276" t="s">
        <v>1877</v>
      </c>
      <c r="F276" t="s">
        <v>2055</v>
      </c>
      <c r="G276" t="s">
        <v>1277</v>
      </c>
      <c r="H276">
        <v>0</v>
      </c>
      <c r="I276" s="1">
        <v>0</v>
      </c>
      <c r="J276" s="1">
        <v>0</v>
      </c>
      <c r="K276">
        <v>1</v>
      </c>
      <c r="L276">
        <f>IF(E276="4. Renewal - MRR",IF(I276&lt;=0,0,VLOOKUP(B276,Multipliers!A:L,MATCH(K276,Multipliers!$A$1:$L$1,0),FALSE)),VLOOKUP(B276,Multipliers!A:L,MATCH(K276,Multipliers!$A$1:$L$1,0),FALSE))</f>
        <v>0</v>
      </c>
      <c r="M276">
        <f t="shared" si="16"/>
        <v>0</v>
      </c>
      <c r="N276" s="1">
        <f>_xlfn.XLOOKUP(A276,'Product Detail'!$AG:$AG,'Product Detail'!$AH:$AH,"N/A")</f>
        <v>1.4003999999999999</v>
      </c>
      <c r="O276" s="1">
        <f t="shared" si="17"/>
        <v>0</v>
      </c>
      <c r="P276" s="4">
        <f t="shared" si="18"/>
        <v>45352</v>
      </c>
      <c r="Q276" s="4">
        <f t="shared" si="19"/>
        <v>45413</v>
      </c>
    </row>
    <row r="277" spans="1:17" x14ac:dyDescent="0.25">
      <c r="A277">
        <v>38961</v>
      </c>
      <c r="B277" t="s">
        <v>107</v>
      </c>
      <c r="C277" t="str">
        <f>_xlfn.XLOOKUP(B277,Multipliers!A:A,Multipliers!C:C)</f>
        <v>Luis Blanco</v>
      </c>
      <c r="D277" s="3">
        <v>45313</v>
      </c>
      <c r="E277" t="s">
        <v>1877</v>
      </c>
      <c r="F277" t="s">
        <v>2056</v>
      </c>
      <c r="G277" t="s">
        <v>1277</v>
      </c>
      <c r="H277">
        <v>0</v>
      </c>
      <c r="I277" s="1">
        <v>0</v>
      </c>
      <c r="J277" s="1">
        <v>0</v>
      </c>
      <c r="K277">
        <v>1</v>
      </c>
      <c r="L277">
        <f>IF(E277="4. Renewal - MRR",IF(I277&lt;=0,0,VLOOKUP(B277,Multipliers!A:L,MATCH(K277,Multipliers!$A$1:$L$1,0),FALSE)),VLOOKUP(B277,Multipliers!A:L,MATCH(K277,Multipliers!$A$1:$L$1,0),FALSE))</f>
        <v>0</v>
      </c>
      <c r="M277">
        <f t="shared" si="16"/>
        <v>0</v>
      </c>
      <c r="N277" s="1">
        <f>_xlfn.XLOOKUP(A277,'Product Detail'!$AG:$AG,'Product Detail'!$AH:$AH,"N/A")</f>
        <v>1.4003999999999999</v>
      </c>
      <c r="O277" s="1">
        <f t="shared" si="17"/>
        <v>0</v>
      </c>
      <c r="P277" s="4">
        <f t="shared" si="18"/>
        <v>45352</v>
      </c>
      <c r="Q277" s="4">
        <f t="shared" si="19"/>
        <v>45413</v>
      </c>
    </row>
    <row r="278" spans="1:17" x14ac:dyDescent="0.25">
      <c r="A278">
        <v>38957</v>
      </c>
      <c r="B278" t="s">
        <v>188</v>
      </c>
      <c r="C278">
        <f>_xlfn.XLOOKUP(B278,Multipliers!A:A,Multipliers!C:C)</f>
        <v>0</v>
      </c>
      <c r="D278" s="3">
        <v>45306</v>
      </c>
      <c r="E278" t="s">
        <v>1881</v>
      </c>
      <c r="F278" t="s">
        <v>2038</v>
      </c>
      <c r="G278" t="s">
        <v>1266</v>
      </c>
      <c r="H278">
        <v>0</v>
      </c>
      <c r="I278" s="1">
        <v>0</v>
      </c>
      <c r="J278" s="1">
        <v>0</v>
      </c>
      <c r="K278">
        <v>1</v>
      </c>
      <c r="L278">
        <f>IF(E278="4. Renewal - MRR",IF(I278&lt;=0,0,VLOOKUP(B278,Multipliers!A:L,MATCH(K278,Multipliers!$A$1:$L$1,0),FALSE)),VLOOKUP(B278,Multipliers!A:L,MATCH(K278,Multipliers!$A$1:$L$1,0),FALSE))</f>
        <v>0</v>
      </c>
      <c r="M278">
        <f t="shared" si="16"/>
        <v>0</v>
      </c>
      <c r="N278" s="1">
        <f>_xlfn.XLOOKUP(A278,'Product Detail'!$AG:$AG,'Product Detail'!$AH:$AH,"N/A")</f>
        <v>0</v>
      </c>
      <c r="O278" s="1">
        <f t="shared" si="17"/>
        <v>0</v>
      </c>
      <c r="P278" s="4">
        <f t="shared" si="18"/>
        <v>45352</v>
      </c>
      <c r="Q278" s="4">
        <f t="shared" si="19"/>
        <v>45413</v>
      </c>
    </row>
    <row r="279" spans="1:17" x14ac:dyDescent="0.25">
      <c r="A279">
        <v>38956</v>
      </c>
      <c r="B279" t="s">
        <v>107</v>
      </c>
      <c r="C279" t="str">
        <f>_xlfn.XLOOKUP(B279,Multipliers!A:A,Multipliers!C:C)</f>
        <v>Luis Blanco</v>
      </c>
      <c r="D279" s="3">
        <v>45307</v>
      </c>
      <c r="E279" t="s">
        <v>1881</v>
      </c>
      <c r="F279" t="s">
        <v>2057</v>
      </c>
      <c r="G279" t="s">
        <v>1067</v>
      </c>
      <c r="H279">
        <v>0</v>
      </c>
      <c r="I279" s="1">
        <v>0</v>
      </c>
      <c r="J279" s="1">
        <v>0</v>
      </c>
      <c r="K279">
        <v>1</v>
      </c>
      <c r="L279">
        <f>IF(E279="4. Renewal - MRR",IF(I279&lt;=0,0,VLOOKUP(B279,Multipliers!A:L,MATCH(K279,Multipliers!$A$1:$L$1,0),FALSE)),VLOOKUP(B279,Multipliers!A:L,MATCH(K279,Multipliers!$A$1:$L$1,0),FALSE))</f>
        <v>0</v>
      </c>
      <c r="M279">
        <f t="shared" si="16"/>
        <v>0</v>
      </c>
      <c r="N279" s="1">
        <f>_xlfn.XLOOKUP(A279,'Product Detail'!$AG:$AG,'Product Detail'!$AH:$AH,"N/A")</f>
        <v>0.31279999999999997</v>
      </c>
      <c r="O279" s="1">
        <f t="shared" si="17"/>
        <v>0</v>
      </c>
      <c r="P279" s="4">
        <f t="shared" si="18"/>
        <v>45352</v>
      </c>
      <c r="Q279" s="4">
        <f t="shared" si="19"/>
        <v>45413</v>
      </c>
    </row>
    <row r="280" spans="1:17" x14ac:dyDescent="0.25">
      <c r="A280">
        <v>38955</v>
      </c>
      <c r="B280" t="s">
        <v>107</v>
      </c>
      <c r="C280" t="str">
        <f>_xlfn.XLOOKUP(B280,Multipliers!A:A,Multipliers!C:C)</f>
        <v>Luis Blanco</v>
      </c>
      <c r="D280" s="3">
        <v>45310</v>
      </c>
      <c r="E280" t="s">
        <v>1877</v>
      </c>
      <c r="F280" t="s">
        <v>2058</v>
      </c>
      <c r="G280" t="s">
        <v>1265</v>
      </c>
      <c r="H280">
        <v>0</v>
      </c>
      <c r="I280" s="1">
        <v>0</v>
      </c>
      <c r="J280" s="1">
        <v>0</v>
      </c>
      <c r="K280">
        <v>1</v>
      </c>
      <c r="L280">
        <f>IF(E280="4. Renewal - MRR",IF(I280&lt;=0,0,VLOOKUP(B280,Multipliers!A:L,MATCH(K280,Multipliers!$A$1:$L$1,0),FALSE)),VLOOKUP(B280,Multipliers!A:L,MATCH(K280,Multipliers!$A$1:$L$1,0),FALSE))</f>
        <v>0</v>
      </c>
      <c r="M280">
        <f t="shared" si="16"/>
        <v>0</v>
      </c>
      <c r="N280" s="1">
        <f>_xlfn.XLOOKUP(A280,'Product Detail'!$AG:$AG,'Product Detail'!$AH:$AH,"N/A")</f>
        <v>0.60040000000000027</v>
      </c>
      <c r="O280" s="1">
        <f t="shared" si="17"/>
        <v>0</v>
      </c>
      <c r="P280" s="4">
        <f t="shared" si="18"/>
        <v>45352</v>
      </c>
      <c r="Q280" s="4">
        <f t="shared" si="19"/>
        <v>45413</v>
      </c>
    </row>
    <row r="281" spans="1:17" x14ac:dyDescent="0.25">
      <c r="A281">
        <v>38953</v>
      </c>
      <c r="B281" t="s">
        <v>107</v>
      </c>
      <c r="C281" t="str">
        <f>_xlfn.XLOOKUP(B281,Multipliers!A:A,Multipliers!C:C)</f>
        <v>Luis Blanco</v>
      </c>
      <c r="D281" s="3">
        <v>45309</v>
      </c>
      <c r="E281" t="s">
        <v>1881</v>
      </c>
      <c r="F281" t="s">
        <v>2059</v>
      </c>
      <c r="G281" t="s">
        <v>1067</v>
      </c>
      <c r="H281">
        <v>0</v>
      </c>
      <c r="I281" s="1">
        <v>0</v>
      </c>
      <c r="J281" s="1">
        <v>0</v>
      </c>
      <c r="K281">
        <v>1</v>
      </c>
      <c r="L281">
        <f>IF(E281="4. Renewal - MRR",IF(I281&lt;=0,0,VLOOKUP(B281,Multipliers!A:L,MATCH(K281,Multipliers!$A$1:$L$1,0),FALSE)),VLOOKUP(B281,Multipliers!A:L,MATCH(K281,Multipliers!$A$1:$L$1,0),FALSE))</f>
        <v>0</v>
      </c>
      <c r="M281">
        <f t="shared" si="16"/>
        <v>0</v>
      </c>
      <c r="N281" s="1">
        <f>_xlfn.XLOOKUP(A281,'Product Detail'!$AG:$AG,'Product Detail'!$AH:$AH,"N/A")</f>
        <v>0.82440000000000002</v>
      </c>
      <c r="O281" s="1">
        <f t="shared" si="17"/>
        <v>0</v>
      </c>
      <c r="P281" s="4">
        <f t="shared" si="18"/>
        <v>45352</v>
      </c>
      <c r="Q281" s="4">
        <f t="shared" si="19"/>
        <v>45413</v>
      </c>
    </row>
    <row r="282" spans="1:17" x14ac:dyDescent="0.25">
      <c r="A282">
        <v>38951</v>
      </c>
      <c r="B282" t="s">
        <v>184</v>
      </c>
      <c r="C282" t="str">
        <f>_xlfn.XLOOKUP(B282,Multipliers!A:A,Multipliers!C:C)</f>
        <v>Jeffrey Weight</v>
      </c>
      <c r="D282" s="3">
        <v>45313</v>
      </c>
      <c r="E282" t="s">
        <v>1877</v>
      </c>
      <c r="F282" t="s">
        <v>2010</v>
      </c>
      <c r="G282" t="s">
        <v>1263</v>
      </c>
      <c r="H282">
        <v>0</v>
      </c>
      <c r="I282" s="1">
        <v>0</v>
      </c>
      <c r="J282" s="1">
        <v>0</v>
      </c>
      <c r="K282">
        <v>1</v>
      </c>
      <c r="L282">
        <f>IF(E282="4. Renewal - MRR",IF(I282&lt;=0,0,VLOOKUP(B282,Multipliers!A:L,MATCH(K282,Multipliers!$A$1:$L$1,0),FALSE)),VLOOKUP(B282,Multipliers!A:L,MATCH(K282,Multipliers!$A$1:$L$1,0),FALSE))</f>
        <v>0</v>
      </c>
      <c r="M282">
        <f t="shared" si="16"/>
        <v>0</v>
      </c>
      <c r="N282" s="1">
        <f>_xlfn.XLOOKUP(A282,'Product Detail'!$AG:$AG,'Product Detail'!$AH:$AH,"N/A")</f>
        <v>0</v>
      </c>
      <c r="O282" s="1">
        <f t="shared" si="17"/>
        <v>0</v>
      </c>
      <c r="P282" s="4">
        <f t="shared" si="18"/>
        <v>45352</v>
      </c>
      <c r="Q282" s="4">
        <f t="shared" si="19"/>
        <v>45413</v>
      </c>
    </row>
    <row r="283" spans="1:17" x14ac:dyDescent="0.25">
      <c r="A283">
        <v>38941</v>
      </c>
      <c r="B283" t="s">
        <v>132</v>
      </c>
      <c r="C283" t="str">
        <f>_xlfn.XLOOKUP(B283,Multipliers!A:A,Multipliers!C:C)</f>
        <v>Jeffrey Weight</v>
      </c>
      <c r="D283" s="3">
        <v>45310</v>
      </c>
      <c r="E283" t="s">
        <v>1877</v>
      </c>
      <c r="F283" t="s">
        <v>2060</v>
      </c>
      <c r="G283" t="s">
        <v>1260</v>
      </c>
      <c r="H283">
        <v>0</v>
      </c>
      <c r="I283" s="1">
        <v>0</v>
      </c>
      <c r="J283" s="1">
        <v>0</v>
      </c>
      <c r="K283">
        <v>1</v>
      </c>
      <c r="L283">
        <f>IF(E283="4. Renewal - MRR",IF(I283&lt;=0,0,VLOOKUP(B283,Multipliers!A:L,MATCH(K283,Multipliers!$A$1:$L$1,0),FALSE)),VLOOKUP(B283,Multipliers!A:L,MATCH(K283,Multipliers!$A$1:$L$1,0),FALSE))</f>
        <v>0</v>
      </c>
      <c r="M283">
        <f t="shared" si="16"/>
        <v>0</v>
      </c>
      <c r="N283" s="1">
        <f>_xlfn.XLOOKUP(A283,'Product Detail'!$AG:$AG,'Product Detail'!$AH:$AH,"N/A")</f>
        <v>8.1119999999999983</v>
      </c>
      <c r="O283" s="1">
        <f t="shared" si="17"/>
        <v>0</v>
      </c>
      <c r="P283" s="4">
        <f t="shared" si="18"/>
        <v>45352</v>
      </c>
      <c r="Q283" s="4">
        <f t="shared" si="19"/>
        <v>45413</v>
      </c>
    </row>
    <row r="284" spans="1:17" x14ac:dyDescent="0.25">
      <c r="A284">
        <v>38938</v>
      </c>
      <c r="B284" t="s">
        <v>184</v>
      </c>
      <c r="C284" t="str">
        <f>_xlfn.XLOOKUP(B284,Multipliers!A:A,Multipliers!C:C)</f>
        <v>Jeffrey Weight</v>
      </c>
      <c r="D284" s="3">
        <v>45306</v>
      </c>
      <c r="E284" t="s">
        <v>1877</v>
      </c>
      <c r="F284" t="s">
        <v>2061</v>
      </c>
      <c r="G284" t="s">
        <v>1257</v>
      </c>
      <c r="H284">
        <v>0</v>
      </c>
      <c r="I284" s="1">
        <v>0</v>
      </c>
      <c r="J284" s="1">
        <v>0</v>
      </c>
      <c r="K284">
        <v>1</v>
      </c>
      <c r="L284">
        <f>IF(E284="4. Renewal - MRR",IF(I284&lt;=0,0,VLOOKUP(B284,Multipliers!A:L,MATCH(K284,Multipliers!$A$1:$L$1,0),FALSE)),VLOOKUP(B284,Multipliers!A:L,MATCH(K284,Multipliers!$A$1:$L$1,0),FALSE))</f>
        <v>0</v>
      </c>
      <c r="M284">
        <f t="shared" si="16"/>
        <v>0</v>
      </c>
      <c r="N284" s="1">
        <f>_xlfn.XLOOKUP(A284,'Product Detail'!$AG:$AG,'Product Detail'!$AH:$AH,"N/A")</f>
        <v>0</v>
      </c>
      <c r="O284" s="1">
        <f t="shared" si="17"/>
        <v>0</v>
      </c>
      <c r="P284" s="4">
        <f t="shared" si="18"/>
        <v>45352</v>
      </c>
      <c r="Q284" s="4">
        <f t="shared" si="19"/>
        <v>45413</v>
      </c>
    </row>
    <row r="285" spans="1:17" x14ac:dyDescent="0.25">
      <c r="A285">
        <v>38936</v>
      </c>
      <c r="B285" t="s">
        <v>132</v>
      </c>
      <c r="C285" t="str">
        <f>_xlfn.XLOOKUP(B285,Multipliers!A:A,Multipliers!C:C)</f>
        <v>Jeffrey Weight</v>
      </c>
      <c r="D285" s="3">
        <v>45307</v>
      </c>
      <c r="E285" t="s">
        <v>1877</v>
      </c>
      <c r="F285" t="s">
        <v>1924</v>
      </c>
      <c r="G285" t="s">
        <v>1253</v>
      </c>
      <c r="H285">
        <v>0</v>
      </c>
      <c r="I285" s="1">
        <v>0</v>
      </c>
      <c r="J285" s="1">
        <v>0</v>
      </c>
      <c r="K285">
        <v>1</v>
      </c>
      <c r="L285">
        <f>IF(E285="4. Renewal - MRR",IF(I285&lt;=0,0,VLOOKUP(B285,Multipliers!A:L,MATCH(K285,Multipliers!$A$1:$L$1,0),FALSE)),VLOOKUP(B285,Multipliers!A:L,MATCH(K285,Multipliers!$A$1:$L$1,0),FALSE))</f>
        <v>0</v>
      </c>
      <c r="M285">
        <f t="shared" si="16"/>
        <v>0</v>
      </c>
      <c r="N285" s="1">
        <f>_xlfn.XLOOKUP(A285,'Product Detail'!$AG:$AG,'Product Detail'!$AH:$AH,"N/A")</f>
        <v>24.458400000000008</v>
      </c>
      <c r="O285" s="1">
        <f t="shared" si="17"/>
        <v>0</v>
      </c>
      <c r="P285" s="4">
        <f t="shared" si="18"/>
        <v>45352</v>
      </c>
      <c r="Q285" s="4">
        <f t="shared" si="19"/>
        <v>45413</v>
      </c>
    </row>
    <row r="286" spans="1:17" x14ac:dyDescent="0.25">
      <c r="A286">
        <v>38935</v>
      </c>
      <c r="B286" t="s">
        <v>132</v>
      </c>
      <c r="C286" t="str">
        <f>_xlfn.XLOOKUP(B286,Multipliers!A:A,Multipliers!C:C)</f>
        <v>Jeffrey Weight</v>
      </c>
      <c r="D286" s="3">
        <v>45307</v>
      </c>
      <c r="E286" t="s">
        <v>1877</v>
      </c>
      <c r="F286" t="s">
        <v>1902</v>
      </c>
      <c r="G286" t="s">
        <v>1250</v>
      </c>
      <c r="H286">
        <v>0</v>
      </c>
      <c r="I286" s="1">
        <v>0</v>
      </c>
      <c r="J286" s="1">
        <v>0</v>
      </c>
      <c r="K286">
        <v>1</v>
      </c>
      <c r="L286">
        <f>IF(E286="4. Renewal - MRR",IF(I286&lt;=0,0,VLOOKUP(B286,Multipliers!A:L,MATCH(K286,Multipliers!$A$1:$L$1,0),FALSE)),VLOOKUP(B286,Multipliers!A:L,MATCH(K286,Multipliers!$A$1:$L$1,0),FALSE))</f>
        <v>0</v>
      </c>
      <c r="M286">
        <f t="shared" si="16"/>
        <v>0</v>
      </c>
      <c r="N286" s="1">
        <f>_xlfn.XLOOKUP(A286,'Product Detail'!$AG:$AG,'Product Detail'!$AH:$AH,"N/A")</f>
        <v>29.572800000000008</v>
      </c>
      <c r="O286" s="1">
        <f t="shared" si="17"/>
        <v>0</v>
      </c>
      <c r="P286" s="4">
        <f t="shared" si="18"/>
        <v>45352</v>
      </c>
      <c r="Q286" s="4">
        <f t="shared" si="19"/>
        <v>45413</v>
      </c>
    </row>
    <row r="287" spans="1:17" x14ac:dyDescent="0.25">
      <c r="A287">
        <v>38930</v>
      </c>
      <c r="B287" t="s">
        <v>184</v>
      </c>
      <c r="C287" t="str">
        <f>_xlfn.XLOOKUP(B287,Multipliers!A:A,Multipliers!C:C)</f>
        <v>Jeffrey Weight</v>
      </c>
      <c r="D287" s="3">
        <v>45307</v>
      </c>
      <c r="E287" t="s">
        <v>1877</v>
      </c>
      <c r="F287" t="s">
        <v>2062</v>
      </c>
      <c r="G287" t="s">
        <v>1248</v>
      </c>
      <c r="H287">
        <v>0</v>
      </c>
      <c r="I287" s="1">
        <v>0</v>
      </c>
      <c r="J287" s="1">
        <v>0</v>
      </c>
      <c r="K287">
        <v>1</v>
      </c>
      <c r="L287">
        <f>IF(E287="4. Renewal - MRR",IF(I287&lt;=0,0,VLOOKUP(B287,Multipliers!A:L,MATCH(K287,Multipliers!$A$1:$L$1,0),FALSE)),VLOOKUP(B287,Multipliers!A:L,MATCH(K287,Multipliers!$A$1:$L$1,0),FALSE))</f>
        <v>0</v>
      </c>
      <c r="M287">
        <f t="shared" si="16"/>
        <v>0</v>
      </c>
      <c r="N287" s="1">
        <f>_xlfn.XLOOKUP(A287,'Product Detail'!$AG:$AG,'Product Detail'!$AH:$AH,"N/A")</f>
        <v>0</v>
      </c>
      <c r="O287" s="1">
        <f t="shared" si="17"/>
        <v>0</v>
      </c>
      <c r="P287" s="4">
        <f t="shared" si="18"/>
        <v>45352</v>
      </c>
      <c r="Q287" s="4">
        <f t="shared" si="19"/>
        <v>45413</v>
      </c>
    </row>
    <row r="288" spans="1:17" x14ac:dyDescent="0.25">
      <c r="A288">
        <v>38926</v>
      </c>
      <c r="B288" t="s">
        <v>107</v>
      </c>
      <c r="C288" t="str">
        <f>_xlfn.XLOOKUP(B288,Multipliers!A:A,Multipliers!C:C)</f>
        <v>Luis Blanco</v>
      </c>
      <c r="D288" s="3">
        <v>45313</v>
      </c>
      <c r="E288" t="s">
        <v>1877</v>
      </c>
      <c r="F288" t="s">
        <v>2063</v>
      </c>
      <c r="G288" t="s">
        <v>1245</v>
      </c>
      <c r="H288">
        <v>0</v>
      </c>
      <c r="I288" s="1">
        <v>0</v>
      </c>
      <c r="J288" s="1">
        <v>0</v>
      </c>
      <c r="K288">
        <v>1</v>
      </c>
      <c r="L288">
        <f>IF(E288="4. Renewal - MRR",IF(I288&lt;=0,0,VLOOKUP(B288,Multipliers!A:L,MATCH(K288,Multipliers!$A$1:$L$1,0),FALSE)),VLOOKUP(B288,Multipliers!A:L,MATCH(K288,Multipliers!$A$1:$L$1,0),FALSE))</f>
        <v>0</v>
      </c>
      <c r="M288">
        <f t="shared" si="16"/>
        <v>0</v>
      </c>
      <c r="N288" s="1">
        <f>_xlfn.XLOOKUP(A288,'Product Detail'!$AG:$AG,'Product Detail'!$AH:$AH,"N/A")</f>
        <v>1.4003999999999999</v>
      </c>
      <c r="O288" s="1">
        <f t="shared" si="17"/>
        <v>0</v>
      </c>
      <c r="P288" s="4">
        <f t="shared" si="18"/>
        <v>45352</v>
      </c>
      <c r="Q288" s="4">
        <f t="shared" si="19"/>
        <v>45413</v>
      </c>
    </row>
    <row r="289" spans="1:17" x14ac:dyDescent="0.25">
      <c r="A289">
        <v>38922</v>
      </c>
      <c r="B289" t="s">
        <v>132</v>
      </c>
      <c r="C289" t="str">
        <f>_xlfn.XLOOKUP(B289,Multipliers!A:A,Multipliers!C:C)</f>
        <v>Jeffrey Weight</v>
      </c>
      <c r="D289" s="3">
        <v>45317</v>
      </c>
      <c r="E289" t="s">
        <v>1881</v>
      </c>
      <c r="F289" t="s">
        <v>2064</v>
      </c>
      <c r="G289" t="s">
        <v>1244</v>
      </c>
      <c r="H289">
        <v>0</v>
      </c>
      <c r="I289" s="1">
        <v>0</v>
      </c>
      <c r="J289" s="1">
        <v>0</v>
      </c>
      <c r="K289">
        <v>1</v>
      </c>
      <c r="L289">
        <f>IF(E289="4. Renewal - MRR",IF(I289&lt;=0,0,VLOOKUP(B289,Multipliers!A:L,MATCH(K289,Multipliers!$A$1:$L$1,0),FALSE)),VLOOKUP(B289,Multipliers!A:L,MATCH(K289,Multipliers!$A$1:$L$1,0),FALSE))</f>
        <v>0</v>
      </c>
      <c r="M289">
        <f t="shared" si="16"/>
        <v>0</v>
      </c>
      <c r="N289" s="1">
        <f>_xlfn.XLOOKUP(A289,'Product Detail'!$AG:$AG,'Product Detail'!$AH:$AH,"N/A")</f>
        <v>7.1608000000000001</v>
      </c>
      <c r="O289" s="1">
        <f t="shared" si="17"/>
        <v>0</v>
      </c>
      <c r="P289" s="4">
        <f t="shared" si="18"/>
        <v>45352</v>
      </c>
      <c r="Q289" s="4">
        <f t="shared" si="19"/>
        <v>45413</v>
      </c>
    </row>
    <row r="290" spans="1:17" x14ac:dyDescent="0.25">
      <c r="A290">
        <v>39110</v>
      </c>
      <c r="B290" t="s">
        <v>61</v>
      </c>
      <c r="C290" t="str">
        <f>_xlfn.XLOOKUP(B290,Multipliers!A:A,Multipliers!C:C)</f>
        <v>John Powell</v>
      </c>
      <c r="D290" s="3">
        <v>45309</v>
      </c>
      <c r="E290" t="s">
        <v>1877</v>
      </c>
      <c r="F290" t="s">
        <v>1987</v>
      </c>
      <c r="G290" t="s">
        <v>1428</v>
      </c>
      <c r="H290">
        <v>0</v>
      </c>
      <c r="I290" s="1">
        <v>0</v>
      </c>
      <c r="J290" s="1">
        <v>0</v>
      </c>
      <c r="K290">
        <v>1</v>
      </c>
      <c r="L290">
        <f>IF(E290="4. Renewal - MRR",IF(I290&lt;=0,0,VLOOKUP(B290,Multipliers!A:L,MATCH(K290,Multipliers!$A$1:$L$1,0),FALSE)),VLOOKUP(B290,Multipliers!A:L,MATCH(K290,Multipliers!$A$1:$L$1,0),FALSE))</f>
        <v>0</v>
      </c>
      <c r="M290">
        <f t="shared" si="16"/>
        <v>0</v>
      </c>
      <c r="N290" s="1">
        <f>_xlfn.XLOOKUP(A290,'Product Detail'!$AG:$AG,'Product Detail'!$AH:$AH,"N/A")</f>
        <v>0</v>
      </c>
      <c r="O290" s="1">
        <f t="shared" si="17"/>
        <v>0</v>
      </c>
      <c r="P290" s="4">
        <f t="shared" si="18"/>
        <v>45352</v>
      </c>
      <c r="Q290" s="4">
        <f t="shared" si="19"/>
        <v>45413</v>
      </c>
    </row>
    <row r="291" spans="1:17" x14ac:dyDescent="0.25">
      <c r="A291">
        <v>38918</v>
      </c>
      <c r="B291" t="s">
        <v>132</v>
      </c>
      <c r="C291" t="str">
        <f>_xlfn.XLOOKUP(B291,Multipliers!A:A,Multipliers!C:C)</f>
        <v>Jeffrey Weight</v>
      </c>
      <c r="D291" s="3">
        <v>45316</v>
      </c>
      <c r="E291" t="s">
        <v>1881</v>
      </c>
      <c r="F291" t="s">
        <v>2065</v>
      </c>
      <c r="G291" t="s">
        <v>1242</v>
      </c>
      <c r="H291">
        <v>0</v>
      </c>
      <c r="I291" s="1">
        <v>0</v>
      </c>
      <c r="J291" s="1">
        <v>0</v>
      </c>
      <c r="K291">
        <v>1</v>
      </c>
      <c r="L291">
        <f>IF(E291="4. Renewal - MRR",IF(I291&lt;=0,0,VLOOKUP(B291,Multipliers!A:L,MATCH(K291,Multipliers!$A$1:$L$1,0),FALSE)),VLOOKUP(B291,Multipliers!A:L,MATCH(K291,Multipliers!$A$1:$L$1,0),FALSE))</f>
        <v>0</v>
      </c>
      <c r="M291">
        <f t="shared" si="16"/>
        <v>0</v>
      </c>
      <c r="N291" s="1">
        <f>_xlfn.XLOOKUP(A291,'Product Detail'!$AG:$AG,'Product Detail'!$AH:$AH,"N/A")</f>
        <v>7.1608000000000001</v>
      </c>
      <c r="O291" s="1">
        <f t="shared" si="17"/>
        <v>0</v>
      </c>
      <c r="P291" s="4">
        <f t="shared" si="18"/>
        <v>45352</v>
      </c>
      <c r="Q291" s="4">
        <f t="shared" si="19"/>
        <v>45413</v>
      </c>
    </row>
    <row r="292" spans="1:17" x14ac:dyDescent="0.25">
      <c r="A292">
        <v>39111</v>
      </c>
      <c r="B292" t="s">
        <v>61</v>
      </c>
      <c r="C292" t="str">
        <f>_xlfn.XLOOKUP(B292,Multipliers!A:A,Multipliers!C:C)</f>
        <v>John Powell</v>
      </c>
      <c r="D292" s="3">
        <v>45309</v>
      </c>
      <c r="E292" t="s">
        <v>1877</v>
      </c>
      <c r="F292" t="s">
        <v>1987</v>
      </c>
      <c r="G292" t="s">
        <v>1429</v>
      </c>
      <c r="H292">
        <v>0</v>
      </c>
      <c r="I292" s="1">
        <v>0</v>
      </c>
      <c r="J292" s="1">
        <v>0</v>
      </c>
      <c r="K292">
        <v>1</v>
      </c>
      <c r="L292">
        <f>IF(E292="4. Renewal - MRR",IF(I292&lt;=0,0,VLOOKUP(B292,Multipliers!A:L,MATCH(K292,Multipliers!$A$1:$L$1,0),FALSE)),VLOOKUP(B292,Multipliers!A:L,MATCH(K292,Multipliers!$A$1:$L$1,0),FALSE))</f>
        <v>0</v>
      </c>
      <c r="M292">
        <f t="shared" si="16"/>
        <v>0</v>
      </c>
      <c r="N292" s="1">
        <f>_xlfn.XLOOKUP(A292,'Product Detail'!$AG:$AG,'Product Detail'!$AH:$AH,"N/A")</f>
        <v>0</v>
      </c>
      <c r="O292" s="1">
        <f t="shared" si="17"/>
        <v>0</v>
      </c>
      <c r="P292" s="4">
        <f t="shared" si="18"/>
        <v>45352</v>
      </c>
      <c r="Q292" s="4">
        <f t="shared" si="19"/>
        <v>45413</v>
      </c>
    </row>
    <row r="293" spans="1:17" x14ac:dyDescent="0.25">
      <c r="A293">
        <v>39112</v>
      </c>
      <c r="B293" t="s">
        <v>61</v>
      </c>
      <c r="C293" t="str">
        <f>_xlfn.XLOOKUP(B293,Multipliers!A:A,Multipliers!C:C)</f>
        <v>John Powell</v>
      </c>
      <c r="D293" s="3">
        <v>45309</v>
      </c>
      <c r="E293" t="s">
        <v>1877</v>
      </c>
      <c r="F293" t="s">
        <v>1987</v>
      </c>
      <c r="G293" t="s">
        <v>1432</v>
      </c>
      <c r="H293">
        <v>0</v>
      </c>
      <c r="I293" s="1">
        <v>0</v>
      </c>
      <c r="J293" s="1">
        <v>0</v>
      </c>
      <c r="K293">
        <v>0</v>
      </c>
      <c r="L293">
        <f>IF(E293="4. Renewal - MRR",IF(I293&lt;=0,0,VLOOKUP(B293,Multipliers!A:L,MATCH(K293,Multipliers!$A$1:$L$1,0),FALSE)),VLOOKUP(B293,Multipliers!A:L,MATCH(K293,Multipliers!$A$1:$L$1,0),FALSE))</f>
        <v>0</v>
      </c>
      <c r="M293">
        <f t="shared" si="16"/>
        <v>0</v>
      </c>
      <c r="N293" s="1">
        <f>_xlfn.XLOOKUP(A293,'Product Detail'!$AG:$AG,'Product Detail'!$AH:$AH,"N/A")</f>
        <v>0</v>
      </c>
      <c r="O293" s="1">
        <f t="shared" si="17"/>
        <v>0</v>
      </c>
      <c r="P293" s="4">
        <f t="shared" si="18"/>
        <v>45352</v>
      </c>
      <c r="Q293" s="4">
        <f t="shared" si="19"/>
        <v>45413</v>
      </c>
    </row>
    <row r="294" spans="1:17" x14ac:dyDescent="0.25">
      <c r="A294">
        <v>38914</v>
      </c>
      <c r="B294" t="s">
        <v>1874</v>
      </c>
      <c r="C294" t="str">
        <f>_xlfn.XLOOKUP(B294,Multipliers!A:A,Multipliers!C:C)</f>
        <v>Jeffrey Weight</v>
      </c>
      <c r="D294" s="3">
        <v>45306</v>
      </c>
      <c r="E294" t="s">
        <v>1881</v>
      </c>
      <c r="F294" t="s">
        <v>2066</v>
      </c>
      <c r="G294" t="s">
        <v>1236</v>
      </c>
      <c r="H294">
        <v>0</v>
      </c>
      <c r="I294" s="1">
        <v>0</v>
      </c>
      <c r="J294" s="1">
        <v>0</v>
      </c>
      <c r="K294">
        <v>1</v>
      </c>
      <c r="L294">
        <f>IF(E294="4. Renewal - MRR",IF(I294&lt;=0,0,VLOOKUP(B294,Multipliers!A:L,MATCH(K294,Multipliers!$A$1:$L$1,0),FALSE)),VLOOKUP(B294,Multipliers!A:L,MATCH(K294,Multipliers!$A$1:$L$1,0),FALSE))</f>
        <v>0</v>
      </c>
      <c r="M294">
        <f t="shared" si="16"/>
        <v>0</v>
      </c>
      <c r="N294" s="1">
        <f>_xlfn.XLOOKUP(A294,'Product Detail'!$AG:$AG,'Product Detail'!$AH:$AH,"N/A")</f>
        <v>6.1327999999999978</v>
      </c>
      <c r="O294" s="1">
        <f t="shared" si="17"/>
        <v>0</v>
      </c>
      <c r="P294" s="4">
        <f t="shared" si="18"/>
        <v>45352</v>
      </c>
      <c r="Q294" s="4">
        <f t="shared" si="19"/>
        <v>45413</v>
      </c>
    </row>
    <row r="295" spans="1:17" x14ac:dyDescent="0.25">
      <c r="A295">
        <v>38913</v>
      </c>
      <c r="B295" t="s">
        <v>1874</v>
      </c>
      <c r="C295" t="str">
        <f>_xlfn.XLOOKUP(B295,Multipliers!A:A,Multipliers!C:C)</f>
        <v>Jeffrey Weight</v>
      </c>
      <c r="D295" s="3">
        <v>45303</v>
      </c>
      <c r="E295" t="s">
        <v>1877</v>
      </c>
      <c r="F295" t="s">
        <v>2067</v>
      </c>
      <c r="G295" t="s">
        <v>1233</v>
      </c>
      <c r="H295">
        <v>0</v>
      </c>
      <c r="I295" s="1">
        <v>0</v>
      </c>
      <c r="J295" s="1">
        <v>0</v>
      </c>
      <c r="K295">
        <v>1</v>
      </c>
      <c r="L295">
        <f>IF(E295="4. Renewal - MRR",IF(I295&lt;=0,0,VLOOKUP(B295,Multipliers!A:L,MATCH(K295,Multipliers!$A$1:$L$1,0),FALSE)),VLOOKUP(B295,Multipliers!A:L,MATCH(K295,Multipliers!$A$1:$L$1,0),FALSE))</f>
        <v>0</v>
      </c>
      <c r="M295">
        <f t="shared" si="16"/>
        <v>0</v>
      </c>
      <c r="N295" s="1">
        <f>_xlfn.XLOOKUP(A295,'Product Detail'!$AG:$AG,'Product Detail'!$AH:$AH,"N/A")</f>
        <v>45.676800000000007</v>
      </c>
      <c r="O295" s="1">
        <f t="shared" si="17"/>
        <v>0</v>
      </c>
      <c r="P295" s="4">
        <f t="shared" si="18"/>
        <v>45352</v>
      </c>
      <c r="Q295" s="4">
        <f t="shared" si="19"/>
        <v>45413</v>
      </c>
    </row>
    <row r="296" spans="1:17" x14ac:dyDescent="0.25">
      <c r="A296">
        <v>39116</v>
      </c>
      <c r="B296" t="s">
        <v>61</v>
      </c>
      <c r="C296" t="str">
        <f>_xlfn.XLOOKUP(B296,Multipliers!A:A,Multipliers!C:C)</f>
        <v>John Powell</v>
      </c>
      <c r="D296" s="3">
        <v>45309</v>
      </c>
      <c r="E296" t="s">
        <v>1877</v>
      </c>
      <c r="F296" t="s">
        <v>1987</v>
      </c>
      <c r="G296" t="s">
        <v>1436</v>
      </c>
      <c r="H296">
        <v>0</v>
      </c>
      <c r="I296" s="1">
        <v>0</v>
      </c>
      <c r="J296" s="1">
        <v>0</v>
      </c>
      <c r="K296">
        <v>1</v>
      </c>
      <c r="L296">
        <f>IF(E296="4. Renewal - MRR",IF(I296&lt;=0,0,VLOOKUP(B296,Multipliers!A:L,MATCH(K296,Multipliers!$A$1:$L$1,0),FALSE)),VLOOKUP(B296,Multipliers!A:L,MATCH(K296,Multipliers!$A$1:$L$1,0),FALSE))</f>
        <v>0</v>
      </c>
      <c r="M296">
        <f t="shared" si="16"/>
        <v>0</v>
      </c>
      <c r="N296" s="1">
        <f>_xlfn.XLOOKUP(A296,'Product Detail'!$AG:$AG,'Product Detail'!$AH:$AH,"N/A")</f>
        <v>0</v>
      </c>
      <c r="O296" s="1">
        <f t="shared" si="17"/>
        <v>0</v>
      </c>
      <c r="P296" s="4">
        <f t="shared" si="18"/>
        <v>45352</v>
      </c>
      <c r="Q296" s="4">
        <f t="shared" si="19"/>
        <v>45413</v>
      </c>
    </row>
    <row r="297" spans="1:17" x14ac:dyDescent="0.25">
      <c r="A297">
        <v>38911</v>
      </c>
      <c r="B297" t="s">
        <v>107</v>
      </c>
      <c r="C297" t="str">
        <f>_xlfn.XLOOKUP(B297,Multipliers!A:A,Multipliers!C:C)</f>
        <v>Luis Blanco</v>
      </c>
      <c r="D297" s="3">
        <v>45310</v>
      </c>
      <c r="E297" t="s">
        <v>1877</v>
      </c>
      <c r="F297" t="s">
        <v>2058</v>
      </c>
      <c r="G297" t="s">
        <v>1229</v>
      </c>
      <c r="H297">
        <v>0</v>
      </c>
      <c r="I297" s="1">
        <v>0</v>
      </c>
      <c r="J297" s="1">
        <v>0</v>
      </c>
      <c r="K297">
        <v>1</v>
      </c>
      <c r="L297">
        <f>IF(E297="4. Renewal - MRR",IF(I297&lt;=0,0,VLOOKUP(B297,Multipliers!A:L,MATCH(K297,Multipliers!$A$1:$L$1,0),FALSE)),VLOOKUP(B297,Multipliers!A:L,MATCH(K297,Multipliers!$A$1:$L$1,0),FALSE))</f>
        <v>0</v>
      </c>
      <c r="M297">
        <f t="shared" si="16"/>
        <v>0</v>
      </c>
      <c r="N297" s="1">
        <f>_xlfn.XLOOKUP(A297,'Product Detail'!$AG:$AG,'Product Detail'!$AH:$AH,"N/A")</f>
        <v>9.6688000000000009</v>
      </c>
      <c r="O297" s="1">
        <f t="shared" si="17"/>
        <v>0</v>
      </c>
      <c r="P297" s="4">
        <f t="shared" si="18"/>
        <v>45352</v>
      </c>
      <c r="Q297" s="4">
        <f t="shared" si="19"/>
        <v>45413</v>
      </c>
    </row>
    <row r="298" spans="1:17" x14ac:dyDescent="0.25">
      <c r="A298">
        <v>38910</v>
      </c>
      <c r="B298" t="s">
        <v>107</v>
      </c>
      <c r="C298" t="str">
        <f>_xlfn.XLOOKUP(B298,Multipliers!A:A,Multipliers!C:C)</f>
        <v>Luis Blanco</v>
      </c>
      <c r="D298" s="3">
        <v>45309</v>
      </c>
      <c r="E298" t="s">
        <v>1881</v>
      </c>
      <c r="F298" t="s">
        <v>1923</v>
      </c>
      <c r="G298" t="s">
        <v>1222</v>
      </c>
      <c r="H298">
        <v>0</v>
      </c>
      <c r="I298" s="1">
        <v>0</v>
      </c>
      <c r="J298" s="1">
        <v>0</v>
      </c>
      <c r="K298">
        <v>1</v>
      </c>
      <c r="L298">
        <f>IF(E298="4. Renewal - MRR",IF(I298&lt;=0,0,VLOOKUP(B298,Multipliers!A:L,MATCH(K298,Multipliers!$A$1:$L$1,0),FALSE)),VLOOKUP(B298,Multipliers!A:L,MATCH(K298,Multipliers!$A$1:$L$1,0),FALSE))</f>
        <v>0</v>
      </c>
      <c r="M298">
        <f t="shared" si="16"/>
        <v>0</v>
      </c>
      <c r="N298" s="1">
        <f>_xlfn.XLOOKUP(A298,'Product Detail'!$AG:$AG,'Product Detail'!$AH:$AH,"N/A")</f>
        <v>7.120000000000001</v>
      </c>
      <c r="O298" s="1">
        <f t="shared" si="17"/>
        <v>0</v>
      </c>
      <c r="P298" s="4">
        <f t="shared" si="18"/>
        <v>45352</v>
      </c>
      <c r="Q298" s="4">
        <f t="shared" si="19"/>
        <v>45413</v>
      </c>
    </row>
    <row r="299" spans="1:17" x14ac:dyDescent="0.25">
      <c r="A299">
        <v>38908</v>
      </c>
      <c r="B299" t="s">
        <v>1874</v>
      </c>
      <c r="C299" t="str">
        <f>_xlfn.XLOOKUP(B299,Multipliers!A:A,Multipliers!C:C)</f>
        <v>Jeffrey Weight</v>
      </c>
      <c r="D299" s="3">
        <v>45313</v>
      </c>
      <c r="E299" t="s">
        <v>1881</v>
      </c>
      <c r="F299" t="s">
        <v>1927</v>
      </c>
      <c r="G299" t="s">
        <v>1220</v>
      </c>
      <c r="H299">
        <v>0</v>
      </c>
      <c r="I299" s="1">
        <v>0</v>
      </c>
      <c r="J299" s="1">
        <v>0</v>
      </c>
      <c r="K299">
        <v>1</v>
      </c>
      <c r="L299">
        <f>IF(E299="4. Renewal - MRR",IF(I299&lt;=0,0,VLOOKUP(B299,Multipliers!A:L,MATCH(K299,Multipliers!$A$1:$L$1,0),FALSE)),VLOOKUP(B299,Multipliers!A:L,MATCH(K299,Multipliers!$A$1:$L$1,0),FALSE))</f>
        <v>0</v>
      </c>
      <c r="M299">
        <f t="shared" si="16"/>
        <v>0</v>
      </c>
      <c r="N299" s="1">
        <f>_xlfn.XLOOKUP(A299,'Product Detail'!$AG:$AG,'Product Detail'!$AH:$AH,"N/A")</f>
        <v>8.64</v>
      </c>
      <c r="O299" s="1">
        <f t="shared" si="17"/>
        <v>0</v>
      </c>
      <c r="P299" s="4">
        <f t="shared" si="18"/>
        <v>45352</v>
      </c>
      <c r="Q299" s="4">
        <f t="shared" si="19"/>
        <v>45413</v>
      </c>
    </row>
    <row r="300" spans="1:17" x14ac:dyDescent="0.25">
      <c r="A300">
        <v>39117</v>
      </c>
      <c r="B300" t="s">
        <v>61</v>
      </c>
      <c r="C300" t="str">
        <f>_xlfn.XLOOKUP(B300,Multipliers!A:A,Multipliers!C:C)</f>
        <v>John Powell</v>
      </c>
      <c r="D300" s="3">
        <v>45309</v>
      </c>
      <c r="E300" t="s">
        <v>1877</v>
      </c>
      <c r="F300" t="s">
        <v>1987</v>
      </c>
      <c r="G300" t="s">
        <v>1437</v>
      </c>
      <c r="H300">
        <v>0</v>
      </c>
      <c r="I300" s="1">
        <v>0</v>
      </c>
      <c r="J300" s="1">
        <v>0</v>
      </c>
      <c r="K300">
        <v>1</v>
      </c>
      <c r="L300">
        <f>IF(E300="4. Renewal - MRR",IF(I300&lt;=0,0,VLOOKUP(B300,Multipliers!A:L,MATCH(K300,Multipliers!$A$1:$L$1,0),FALSE)),VLOOKUP(B300,Multipliers!A:L,MATCH(K300,Multipliers!$A$1:$L$1,0),FALSE))</f>
        <v>0</v>
      </c>
      <c r="M300">
        <f t="shared" si="16"/>
        <v>0</v>
      </c>
      <c r="N300" s="1">
        <f>_xlfn.XLOOKUP(A300,'Product Detail'!$AG:$AG,'Product Detail'!$AH:$AH,"N/A")</f>
        <v>0</v>
      </c>
      <c r="O300" s="1">
        <f t="shared" si="17"/>
        <v>0</v>
      </c>
      <c r="P300" s="4">
        <f t="shared" si="18"/>
        <v>45352</v>
      </c>
      <c r="Q300" s="4">
        <f t="shared" si="19"/>
        <v>45413</v>
      </c>
    </row>
    <row r="301" spans="1:17" x14ac:dyDescent="0.25">
      <c r="A301">
        <v>39118</v>
      </c>
      <c r="B301" t="s">
        <v>61</v>
      </c>
      <c r="C301" t="str">
        <f>_xlfn.XLOOKUP(B301,Multipliers!A:A,Multipliers!C:C)</f>
        <v>John Powell</v>
      </c>
      <c r="D301" s="3">
        <v>45309</v>
      </c>
      <c r="E301" t="s">
        <v>1877</v>
      </c>
      <c r="F301" t="s">
        <v>1987</v>
      </c>
      <c r="G301" t="s">
        <v>1438</v>
      </c>
      <c r="H301">
        <v>0</v>
      </c>
      <c r="I301" s="1">
        <v>0</v>
      </c>
      <c r="J301" s="1">
        <v>0</v>
      </c>
      <c r="K301">
        <v>1</v>
      </c>
      <c r="L301">
        <f>IF(E301="4. Renewal - MRR",IF(I301&lt;=0,0,VLOOKUP(B301,Multipliers!A:L,MATCH(K301,Multipliers!$A$1:$L$1,0),FALSE)),VLOOKUP(B301,Multipliers!A:L,MATCH(K301,Multipliers!$A$1:$L$1,0),FALSE))</f>
        <v>0</v>
      </c>
      <c r="M301">
        <f t="shared" si="16"/>
        <v>0</v>
      </c>
      <c r="N301" s="1">
        <f>_xlfn.XLOOKUP(A301,'Product Detail'!$AG:$AG,'Product Detail'!$AH:$AH,"N/A")</f>
        <v>0</v>
      </c>
      <c r="O301" s="1">
        <f t="shared" si="17"/>
        <v>0</v>
      </c>
      <c r="P301" s="4">
        <f t="shared" si="18"/>
        <v>45352</v>
      </c>
      <c r="Q301" s="4">
        <f t="shared" si="19"/>
        <v>45413</v>
      </c>
    </row>
    <row r="302" spans="1:17" x14ac:dyDescent="0.25">
      <c r="A302">
        <v>39120</v>
      </c>
      <c r="B302" t="s">
        <v>61</v>
      </c>
      <c r="C302" t="str">
        <f>_xlfn.XLOOKUP(B302,Multipliers!A:A,Multipliers!C:C)</f>
        <v>John Powell</v>
      </c>
      <c r="D302" s="3">
        <v>45309</v>
      </c>
      <c r="E302" t="s">
        <v>1877</v>
      </c>
      <c r="F302" t="s">
        <v>1987</v>
      </c>
      <c r="G302" t="s">
        <v>1439</v>
      </c>
      <c r="H302">
        <v>0</v>
      </c>
      <c r="I302" s="1">
        <v>0</v>
      </c>
      <c r="J302" s="1">
        <v>0</v>
      </c>
      <c r="K302">
        <v>1</v>
      </c>
      <c r="L302">
        <f>IF(E302="4. Renewal - MRR",IF(I302&lt;=0,0,VLOOKUP(B302,Multipliers!A:L,MATCH(K302,Multipliers!$A$1:$L$1,0),FALSE)),VLOOKUP(B302,Multipliers!A:L,MATCH(K302,Multipliers!$A$1:$L$1,0),FALSE))</f>
        <v>0</v>
      </c>
      <c r="M302">
        <f t="shared" si="16"/>
        <v>0</v>
      </c>
      <c r="N302" s="1">
        <f>_xlfn.XLOOKUP(A302,'Product Detail'!$AG:$AG,'Product Detail'!$AH:$AH,"N/A")</f>
        <v>0</v>
      </c>
      <c r="O302" s="1">
        <f t="shared" si="17"/>
        <v>0</v>
      </c>
      <c r="P302" s="4">
        <f t="shared" si="18"/>
        <v>45352</v>
      </c>
      <c r="Q302" s="4">
        <f t="shared" si="19"/>
        <v>45413</v>
      </c>
    </row>
    <row r="303" spans="1:17" x14ac:dyDescent="0.25">
      <c r="A303">
        <v>38899</v>
      </c>
      <c r="B303" t="s">
        <v>1874</v>
      </c>
      <c r="C303" t="str">
        <f>_xlfn.XLOOKUP(B303,Multipliers!A:A,Multipliers!C:C)</f>
        <v>Jeffrey Weight</v>
      </c>
      <c r="D303" s="3">
        <v>45310</v>
      </c>
      <c r="E303" t="s">
        <v>1877</v>
      </c>
      <c r="F303" t="s">
        <v>2068</v>
      </c>
      <c r="G303" t="s">
        <v>1206</v>
      </c>
      <c r="H303">
        <v>0</v>
      </c>
      <c r="I303" s="1">
        <v>0</v>
      </c>
      <c r="J303" s="1">
        <v>0</v>
      </c>
      <c r="K303">
        <v>1</v>
      </c>
      <c r="L303">
        <f>IF(E303="4. Renewal - MRR",IF(I303&lt;=0,0,VLOOKUP(B303,Multipliers!A:L,MATCH(K303,Multipliers!$A$1:$L$1,0),FALSE)),VLOOKUP(B303,Multipliers!A:L,MATCH(K303,Multipliers!$A$1:$L$1,0),FALSE))</f>
        <v>0</v>
      </c>
      <c r="M303">
        <f t="shared" si="16"/>
        <v>0</v>
      </c>
      <c r="N303" s="1">
        <f>_xlfn.XLOOKUP(A303,'Product Detail'!$AG:$AG,'Product Detail'!$AH:$AH,"N/A")</f>
        <v>8.9079999999999995</v>
      </c>
      <c r="O303" s="1">
        <f t="shared" si="17"/>
        <v>0</v>
      </c>
      <c r="P303" s="4">
        <f t="shared" si="18"/>
        <v>45352</v>
      </c>
      <c r="Q303" s="4">
        <f t="shared" si="19"/>
        <v>45413</v>
      </c>
    </row>
    <row r="304" spans="1:17" x14ac:dyDescent="0.25">
      <c r="A304">
        <v>39121</v>
      </c>
      <c r="B304" t="s">
        <v>61</v>
      </c>
      <c r="C304" t="str">
        <f>_xlfn.XLOOKUP(B304,Multipliers!A:A,Multipliers!C:C)</f>
        <v>John Powell</v>
      </c>
      <c r="D304" s="3">
        <v>45309</v>
      </c>
      <c r="E304" t="s">
        <v>1877</v>
      </c>
      <c r="F304" t="s">
        <v>1987</v>
      </c>
      <c r="G304" t="s">
        <v>1440</v>
      </c>
      <c r="H304">
        <v>0</v>
      </c>
      <c r="I304" s="1">
        <v>0</v>
      </c>
      <c r="J304" s="1">
        <v>0</v>
      </c>
      <c r="K304">
        <v>1</v>
      </c>
      <c r="L304">
        <f>IF(E304="4. Renewal - MRR",IF(I304&lt;=0,0,VLOOKUP(B304,Multipliers!A:L,MATCH(K304,Multipliers!$A$1:$L$1,0),FALSE)),VLOOKUP(B304,Multipliers!A:L,MATCH(K304,Multipliers!$A$1:$L$1,0),FALSE))</f>
        <v>0</v>
      </c>
      <c r="M304">
        <f t="shared" si="16"/>
        <v>0</v>
      </c>
      <c r="N304" s="1">
        <f>_xlfn.XLOOKUP(A304,'Product Detail'!$AG:$AG,'Product Detail'!$AH:$AH,"N/A")</f>
        <v>0</v>
      </c>
      <c r="O304" s="1">
        <f t="shared" si="17"/>
        <v>0</v>
      </c>
      <c r="P304" s="4">
        <f t="shared" si="18"/>
        <v>45352</v>
      </c>
      <c r="Q304" s="4">
        <f t="shared" si="19"/>
        <v>45413</v>
      </c>
    </row>
    <row r="305" spans="1:17" x14ac:dyDescent="0.25">
      <c r="A305">
        <v>39122</v>
      </c>
      <c r="B305" t="s">
        <v>51</v>
      </c>
      <c r="C305" t="str">
        <f>_xlfn.XLOOKUP(B305,Multipliers!A:A,Multipliers!C:C)</f>
        <v>John Powell</v>
      </c>
      <c r="D305" s="3">
        <v>45310</v>
      </c>
      <c r="E305" t="s">
        <v>1877</v>
      </c>
      <c r="F305" t="s">
        <v>2152</v>
      </c>
      <c r="G305" t="s">
        <v>1441</v>
      </c>
      <c r="H305">
        <v>0</v>
      </c>
      <c r="I305" s="1">
        <v>0</v>
      </c>
      <c r="J305" s="1">
        <v>0</v>
      </c>
      <c r="K305">
        <v>1</v>
      </c>
      <c r="L305">
        <f>IF(E305="4. Renewal - MRR",IF(I305&lt;=0,0,VLOOKUP(B305,Multipliers!A:L,MATCH(K305,Multipliers!$A$1:$L$1,0),FALSE)),VLOOKUP(B305,Multipliers!A:L,MATCH(K305,Multipliers!$A$1:$L$1,0),FALSE))</f>
        <v>0</v>
      </c>
      <c r="M305">
        <f t="shared" si="16"/>
        <v>0</v>
      </c>
      <c r="N305" s="1">
        <f>_xlfn.XLOOKUP(A305,'Product Detail'!$AG:$AG,'Product Detail'!$AH:$AH,"N/A")</f>
        <v>25.835750000000004</v>
      </c>
      <c r="O305" s="1">
        <f t="shared" si="17"/>
        <v>0</v>
      </c>
      <c r="P305" s="4">
        <f t="shared" si="18"/>
        <v>45352</v>
      </c>
      <c r="Q305" s="4">
        <f t="shared" si="19"/>
        <v>45413</v>
      </c>
    </row>
    <row r="306" spans="1:17" x14ac:dyDescent="0.25">
      <c r="A306">
        <v>38894</v>
      </c>
      <c r="B306" t="s">
        <v>1874</v>
      </c>
      <c r="C306" t="str">
        <f>_xlfn.XLOOKUP(B306,Multipliers!A:A,Multipliers!C:C)</f>
        <v>Jeffrey Weight</v>
      </c>
      <c r="D306" s="3">
        <v>45321</v>
      </c>
      <c r="E306" t="s">
        <v>1881</v>
      </c>
      <c r="F306" t="s">
        <v>2068</v>
      </c>
      <c r="G306" t="s">
        <v>1202</v>
      </c>
      <c r="H306">
        <v>0</v>
      </c>
      <c r="I306" s="1">
        <v>0</v>
      </c>
      <c r="J306" s="1">
        <v>0</v>
      </c>
      <c r="K306">
        <v>1</v>
      </c>
      <c r="L306">
        <f>IF(E306="4. Renewal - MRR",IF(I306&lt;=0,0,VLOOKUP(B306,Multipliers!A:L,MATCH(K306,Multipliers!$A$1:$L$1,0),FALSE)),VLOOKUP(B306,Multipliers!A:L,MATCH(K306,Multipliers!$A$1:$L$1,0),FALSE))</f>
        <v>0</v>
      </c>
      <c r="M306">
        <f t="shared" si="16"/>
        <v>0</v>
      </c>
      <c r="N306" s="1">
        <f>_xlfn.XLOOKUP(A306,'Product Detail'!$AG:$AG,'Product Detail'!$AH:$AH,"N/A")</f>
        <v>95.451200000000028</v>
      </c>
      <c r="O306" s="1">
        <f t="shared" si="17"/>
        <v>0</v>
      </c>
      <c r="P306" s="4">
        <f t="shared" si="18"/>
        <v>45352</v>
      </c>
      <c r="Q306" s="4">
        <f t="shared" si="19"/>
        <v>45413</v>
      </c>
    </row>
    <row r="307" spans="1:17" x14ac:dyDescent="0.25">
      <c r="A307">
        <v>39124</v>
      </c>
      <c r="B307" t="s">
        <v>61</v>
      </c>
      <c r="C307" t="str">
        <f>_xlfn.XLOOKUP(B307,Multipliers!A:A,Multipliers!C:C)</f>
        <v>John Powell</v>
      </c>
      <c r="D307" s="3">
        <v>45309</v>
      </c>
      <c r="E307" t="s">
        <v>1877</v>
      </c>
      <c r="F307" t="s">
        <v>1987</v>
      </c>
      <c r="G307" t="s">
        <v>1444</v>
      </c>
      <c r="H307">
        <v>0</v>
      </c>
      <c r="I307" s="1">
        <v>0</v>
      </c>
      <c r="J307" s="1">
        <v>0</v>
      </c>
      <c r="K307">
        <v>1</v>
      </c>
      <c r="L307">
        <f>IF(E307="4. Renewal - MRR",IF(I307&lt;=0,0,VLOOKUP(B307,Multipliers!A:L,MATCH(K307,Multipliers!$A$1:$L$1,0),FALSE)),VLOOKUP(B307,Multipliers!A:L,MATCH(K307,Multipliers!$A$1:$L$1,0),FALSE))</f>
        <v>0</v>
      </c>
      <c r="M307">
        <f t="shared" si="16"/>
        <v>0</v>
      </c>
      <c r="N307" s="1">
        <f>_xlfn.XLOOKUP(A307,'Product Detail'!$AG:$AG,'Product Detail'!$AH:$AH,"N/A")</f>
        <v>0</v>
      </c>
      <c r="O307" s="1">
        <f t="shared" si="17"/>
        <v>0</v>
      </c>
      <c r="P307" s="4">
        <f t="shared" si="18"/>
        <v>45352</v>
      </c>
      <c r="Q307" s="4">
        <f t="shared" si="19"/>
        <v>45413</v>
      </c>
    </row>
    <row r="308" spans="1:17" x14ac:dyDescent="0.25">
      <c r="A308">
        <v>39126</v>
      </c>
      <c r="B308" t="s">
        <v>61</v>
      </c>
      <c r="C308" t="str">
        <f>_xlfn.XLOOKUP(B308,Multipliers!A:A,Multipliers!C:C)</f>
        <v>John Powell</v>
      </c>
      <c r="D308" s="3">
        <v>45309</v>
      </c>
      <c r="E308" t="s">
        <v>1877</v>
      </c>
      <c r="F308" t="s">
        <v>1987</v>
      </c>
      <c r="G308" t="s">
        <v>1445</v>
      </c>
      <c r="H308">
        <v>0</v>
      </c>
      <c r="I308" s="1">
        <v>0</v>
      </c>
      <c r="J308" s="1">
        <v>0</v>
      </c>
      <c r="K308">
        <v>1</v>
      </c>
      <c r="L308">
        <f>IF(E308="4. Renewal - MRR",IF(I308&lt;=0,0,VLOOKUP(B308,Multipliers!A:L,MATCH(K308,Multipliers!$A$1:$L$1,0),FALSE)),VLOOKUP(B308,Multipliers!A:L,MATCH(K308,Multipliers!$A$1:$L$1,0),FALSE))</f>
        <v>0</v>
      </c>
      <c r="M308">
        <f t="shared" si="16"/>
        <v>0</v>
      </c>
      <c r="N308" s="1">
        <f>_xlfn.XLOOKUP(A308,'Product Detail'!$AG:$AG,'Product Detail'!$AH:$AH,"N/A")</f>
        <v>0</v>
      </c>
      <c r="O308" s="1">
        <f t="shared" si="17"/>
        <v>0</v>
      </c>
      <c r="P308" s="4">
        <f t="shared" si="18"/>
        <v>45352</v>
      </c>
      <c r="Q308" s="4">
        <f t="shared" si="19"/>
        <v>45413</v>
      </c>
    </row>
    <row r="309" spans="1:17" x14ac:dyDescent="0.25">
      <c r="A309">
        <v>38888</v>
      </c>
      <c r="B309" t="s">
        <v>1874</v>
      </c>
      <c r="C309" t="str">
        <f>_xlfn.XLOOKUP(B309,Multipliers!A:A,Multipliers!C:C)</f>
        <v>Jeffrey Weight</v>
      </c>
      <c r="D309" s="3">
        <v>45303</v>
      </c>
      <c r="E309" t="s">
        <v>1881</v>
      </c>
      <c r="F309" t="s">
        <v>2068</v>
      </c>
      <c r="G309" t="s">
        <v>1199</v>
      </c>
      <c r="H309">
        <v>0</v>
      </c>
      <c r="I309" s="1">
        <v>0</v>
      </c>
      <c r="J309" s="1">
        <v>0</v>
      </c>
      <c r="K309">
        <v>1</v>
      </c>
      <c r="L309">
        <f>IF(E309="4. Renewal - MRR",IF(I309&lt;=0,0,VLOOKUP(B309,Multipliers!A:L,MATCH(K309,Multipliers!$A$1:$L$1,0),FALSE)),VLOOKUP(B309,Multipliers!A:L,MATCH(K309,Multipliers!$A$1:$L$1,0),FALSE))</f>
        <v>0</v>
      </c>
      <c r="M309">
        <f t="shared" si="16"/>
        <v>0</v>
      </c>
      <c r="N309" s="1">
        <f>_xlfn.XLOOKUP(A309,'Product Detail'!$AG:$AG,'Product Detail'!$AH:$AH,"N/A")</f>
        <v>7.1608000000000001</v>
      </c>
      <c r="O309" s="1">
        <f t="shared" si="17"/>
        <v>0</v>
      </c>
      <c r="P309" s="4">
        <f t="shared" si="18"/>
        <v>45352</v>
      </c>
      <c r="Q309" s="4">
        <f t="shared" si="19"/>
        <v>45413</v>
      </c>
    </row>
    <row r="310" spans="1:17" x14ac:dyDescent="0.25">
      <c r="A310">
        <v>39127</v>
      </c>
      <c r="B310" t="s">
        <v>61</v>
      </c>
      <c r="C310" t="str">
        <f>_xlfn.XLOOKUP(B310,Multipliers!A:A,Multipliers!C:C)</f>
        <v>John Powell</v>
      </c>
      <c r="D310" s="3">
        <v>45309</v>
      </c>
      <c r="E310" t="s">
        <v>1877</v>
      </c>
      <c r="F310" t="s">
        <v>1987</v>
      </c>
      <c r="G310" t="s">
        <v>1446</v>
      </c>
      <c r="H310">
        <v>0</v>
      </c>
      <c r="I310" s="1">
        <v>0</v>
      </c>
      <c r="J310" s="1">
        <v>0</v>
      </c>
      <c r="K310">
        <v>1</v>
      </c>
      <c r="L310">
        <f>IF(E310="4. Renewal - MRR",IF(I310&lt;=0,0,VLOOKUP(B310,Multipliers!A:L,MATCH(K310,Multipliers!$A$1:$L$1,0),FALSE)),VLOOKUP(B310,Multipliers!A:L,MATCH(K310,Multipliers!$A$1:$L$1,0),FALSE))</f>
        <v>0</v>
      </c>
      <c r="M310">
        <f t="shared" si="16"/>
        <v>0</v>
      </c>
      <c r="N310" s="1">
        <f>_xlfn.XLOOKUP(A310,'Product Detail'!$AG:$AG,'Product Detail'!$AH:$AH,"N/A")</f>
        <v>0</v>
      </c>
      <c r="O310" s="1">
        <f t="shared" si="17"/>
        <v>0</v>
      </c>
      <c r="P310" s="4">
        <f t="shared" si="18"/>
        <v>45352</v>
      </c>
      <c r="Q310" s="4">
        <f t="shared" si="19"/>
        <v>45413</v>
      </c>
    </row>
    <row r="311" spans="1:17" x14ac:dyDescent="0.25">
      <c r="A311">
        <v>39129</v>
      </c>
      <c r="B311" t="s">
        <v>51</v>
      </c>
      <c r="C311" t="str">
        <f>_xlfn.XLOOKUP(B311,Multipliers!A:A,Multipliers!C:C)</f>
        <v>John Powell</v>
      </c>
      <c r="D311" s="3">
        <v>45309</v>
      </c>
      <c r="E311" t="s">
        <v>1877</v>
      </c>
      <c r="F311" t="s">
        <v>2036</v>
      </c>
      <c r="G311" t="s">
        <v>1447</v>
      </c>
      <c r="H311">
        <v>0</v>
      </c>
      <c r="I311" s="1">
        <v>0</v>
      </c>
      <c r="J311" s="1">
        <v>0</v>
      </c>
      <c r="K311">
        <v>1</v>
      </c>
      <c r="L311">
        <f>IF(E311="4. Renewal - MRR",IF(I311&lt;=0,0,VLOOKUP(B311,Multipliers!A:L,MATCH(K311,Multipliers!$A$1:$L$1,0),FALSE)),VLOOKUP(B311,Multipliers!A:L,MATCH(K311,Multipliers!$A$1:$L$1,0),FALSE))</f>
        <v>0</v>
      </c>
      <c r="M311">
        <f t="shared" si="16"/>
        <v>0</v>
      </c>
      <c r="N311" s="1">
        <f>_xlfn.XLOOKUP(A311,'Product Detail'!$AG:$AG,'Product Detail'!$AH:$AH,"N/A")</f>
        <v>25.245000000000001</v>
      </c>
      <c r="O311" s="1">
        <f t="shared" si="17"/>
        <v>0</v>
      </c>
      <c r="P311" s="4">
        <f t="shared" si="18"/>
        <v>45352</v>
      </c>
      <c r="Q311" s="4">
        <f t="shared" si="19"/>
        <v>45413</v>
      </c>
    </row>
    <row r="312" spans="1:17" x14ac:dyDescent="0.25">
      <c r="A312">
        <v>38881</v>
      </c>
      <c r="B312" t="s">
        <v>1874</v>
      </c>
      <c r="C312" t="str">
        <f>_xlfn.XLOOKUP(B312,Multipliers!A:A,Multipliers!C:C)</f>
        <v>Jeffrey Weight</v>
      </c>
      <c r="D312" s="3">
        <v>45321</v>
      </c>
      <c r="E312" t="s">
        <v>1881</v>
      </c>
      <c r="F312" t="s">
        <v>2069</v>
      </c>
      <c r="G312" t="s">
        <v>1194</v>
      </c>
      <c r="H312">
        <v>0</v>
      </c>
      <c r="I312" s="1">
        <v>0</v>
      </c>
      <c r="J312" s="1">
        <v>0</v>
      </c>
      <c r="K312">
        <v>1</v>
      </c>
      <c r="L312">
        <f>IF(E312="4. Renewal - MRR",IF(I312&lt;=0,0,VLOOKUP(B312,Multipliers!A:L,MATCH(K312,Multipliers!$A$1:$L$1,0),FALSE)),VLOOKUP(B312,Multipliers!A:L,MATCH(K312,Multipliers!$A$1:$L$1,0),FALSE))</f>
        <v>0</v>
      </c>
      <c r="M312">
        <f t="shared" si="16"/>
        <v>0</v>
      </c>
      <c r="N312" s="1">
        <f>_xlfn.XLOOKUP(A312,'Product Detail'!$AG:$AG,'Product Detail'!$AH:$AH,"N/A")</f>
        <v>7.7208000000000006</v>
      </c>
      <c r="O312" s="1">
        <f t="shared" si="17"/>
        <v>0</v>
      </c>
      <c r="P312" s="4">
        <f t="shared" si="18"/>
        <v>45352</v>
      </c>
      <c r="Q312" s="4">
        <f t="shared" si="19"/>
        <v>45413</v>
      </c>
    </row>
    <row r="313" spans="1:17" x14ac:dyDescent="0.25">
      <c r="A313">
        <v>39130</v>
      </c>
      <c r="B313" t="s">
        <v>61</v>
      </c>
      <c r="C313" t="str">
        <f>_xlfn.XLOOKUP(B313,Multipliers!A:A,Multipliers!C:C)</f>
        <v>John Powell</v>
      </c>
      <c r="D313" s="3">
        <v>45309</v>
      </c>
      <c r="E313" t="s">
        <v>1877</v>
      </c>
      <c r="F313" t="s">
        <v>1987</v>
      </c>
      <c r="G313" t="s">
        <v>1448</v>
      </c>
      <c r="H313">
        <v>0</v>
      </c>
      <c r="I313" s="1">
        <v>0</v>
      </c>
      <c r="J313" s="1">
        <v>0</v>
      </c>
      <c r="K313">
        <v>1</v>
      </c>
      <c r="L313">
        <f>IF(E313="4. Renewal - MRR",IF(I313&lt;=0,0,VLOOKUP(B313,Multipliers!A:L,MATCH(K313,Multipliers!$A$1:$L$1,0),FALSE)),VLOOKUP(B313,Multipliers!A:L,MATCH(K313,Multipliers!$A$1:$L$1,0),FALSE))</f>
        <v>0</v>
      </c>
      <c r="M313">
        <f t="shared" si="16"/>
        <v>0</v>
      </c>
      <c r="N313" s="1">
        <f>_xlfn.XLOOKUP(A313,'Product Detail'!$AG:$AG,'Product Detail'!$AH:$AH,"N/A")</f>
        <v>0</v>
      </c>
      <c r="O313" s="1">
        <f t="shared" si="17"/>
        <v>0</v>
      </c>
      <c r="P313" s="4">
        <f t="shared" si="18"/>
        <v>45352</v>
      </c>
      <c r="Q313" s="4">
        <f t="shared" si="19"/>
        <v>45413</v>
      </c>
    </row>
    <row r="314" spans="1:17" x14ac:dyDescent="0.25">
      <c r="A314">
        <v>39132</v>
      </c>
      <c r="B314" t="s">
        <v>61</v>
      </c>
      <c r="C314" t="str">
        <f>_xlfn.XLOOKUP(B314,Multipliers!A:A,Multipliers!C:C)</f>
        <v>John Powell</v>
      </c>
      <c r="D314" s="3">
        <v>45309</v>
      </c>
      <c r="E314" t="s">
        <v>1877</v>
      </c>
      <c r="F314" t="s">
        <v>1987</v>
      </c>
      <c r="G314" t="s">
        <v>1449</v>
      </c>
      <c r="H314">
        <v>0</v>
      </c>
      <c r="I314" s="1">
        <v>0</v>
      </c>
      <c r="J314" s="1">
        <v>0</v>
      </c>
      <c r="K314">
        <v>1</v>
      </c>
      <c r="L314">
        <f>IF(E314="4. Renewal - MRR",IF(I314&lt;=0,0,VLOOKUP(B314,Multipliers!A:L,MATCH(K314,Multipliers!$A$1:$L$1,0),FALSE)),VLOOKUP(B314,Multipliers!A:L,MATCH(K314,Multipliers!$A$1:$L$1,0),FALSE))</f>
        <v>0</v>
      </c>
      <c r="M314">
        <f t="shared" si="16"/>
        <v>0</v>
      </c>
      <c r="N314" s="1">
        <f>_xlfn.XLOOKUP(A314,'Product Detail'!$AG:$AG,'Product Detail'!$AH:$AH,"N/A")</f>
        <v>0</v>
      </c>
      <c r="O314" s="1">
        <f t="shared" si="17"/>
        <v>0</v>
      </c>
      <c r="P314" s="4">
        <f t="shared" si="18"/>
        <v>45352</v>
      </c>
      <c r="Q314" s="4">
        <f t="shared" si="19"/>
        <v>45413</v>
      </c>
    </row>
    <row r="315" spans="1:17" x14ac:dyDescent="0.25">
      <c r="A315">
        <v>39134</v>
      </c>
      <c r="B315" t="s">
        <v>61</v>
      </c>
      <c r="C315" t="str">
        <f>_xlfn.XLOOKUP(B315,Multipliers!A:A,Multipliers!C:C)</f>
        <v>John Powell</v>
      </c>
      <c r="D315" s="3">
        <v>45309</v>
      </c>
      <c r="E315" t="s">
        <v>1877</v>
      </c>
      <c r="F315" t="s">
        <v>1987</v>
      </c>
      <c r="G315" t="s">
        <v>1455</v>
      </c>
      <c r="H315">
        <v>0</v>
      </c>
      <c r="I315" s="1">
        <v>0</v>
      </c>
      <c r="J315" s="1">
        <v>0</v>
      </c>
      <c r="K315">
        <v>1</v>
      </c>
      <c r="L315">
        <f>IF(E315="4. Renewal - MRR",IF(I315&lt;=0,0,VLOOKUP(B315,Multipliers!A:L,MATCH(K315,Multipliers!$A$1:$L$1,0),FALSE)),VLOOKUP(B315,Multipliers!A:L,MATCH(K315,Multipliers!$A$1:$L$1,0),FALSE))</f>
        <v>0</v>
      </c>
      <c r="M315">
        <f t="shared" si="16"/>
        <v>0</v>
      </c>
      <c r="N315" s="1">
        <f>_xlfn.XLOOKUP(A315,'Product Detail'!$AG:$AG,'Product Detail'!$AH:$AH,"N/A")</f>
        <v>0</v>
      </c>
      <c r="O315" s="1">
        <f t="shared" si="17"/>
        <v>0</v>
      </c>
      <c r="P315" s="4">
        <f t="shared" si="18"/>
        <v>45352</v>
      </c>
      <c r="Q315" s="4">
        <f t="shared" si="19"/>
        <v>45413</v>
      </c>
    </row>
    <row r="316" spans="1:17" x14ac:dyDescent="0.25">
      <c r="A316">
        <v>39135</v>
      </c>
      <c r="B316" t="s">
        <v>61</v>
      </c>
      <c r="C316" t="str">
        <f>_xlfn.XLOOKUP(B316,Multipliers!A:A,Multipliers!C:C)</f>
        <v>John Powell</v>
      </c>
      <c r="D316" s="3">
        <v>45310</v>
      </c>
      <c r="E316" t="s">
        <v>1877</v>
      </c>
      <c r="F316" t="s">
        <v>1987</v>
      </c>
      <c r="G316" t="s">
        <v>1456</v>
      </c>
      <c r="H316">
        <v>0</v>
      </c>
      <c r="I316" s="1">
        <v>0</v>
      </c>
      <c r="J316" s="1">
        <v>0</v>
      </c>
      <c r="K316">
        <v>1</v>
      </c>
      <c r="L316">
        <f>IF(E316="4. Renewal - MRR",IF(I316&lt;=0,0,VLOOKUP(B316,Multipliers!A:L,MATCH(K316,Multipliers!$A$1:$L$1,0),FALSE)),VLOOKUP(B316,Multipliers!A:L,MATCH(K316,Multipliers!$A$1:$L$1,0),FALSE))</f>
        <v>0</v>
      </c>
      <c r="M316">
        <f t="shared" si="16"/>
        <v>0</v>
      </c>
      <c r="N316" s="1">
        <f>_xlfn.XLOOKUP(A316,'Product Detail'!$AG:$AG,'Product Detail'!$AH:$AH,"N/A")</f>
        <v>0</v>
      </c>
      <c r="O316" s="1">
        <f t="shared" si="17"/>
        <v>0</v>
      </c>
      <c r="P316" s="4">
        <f t="shared" si="18"/>
        <v>45352</v>
      </c>
      <c r="Q316" s="4">
        <f t="shared" si="19"/>
        <v>45413</v>
      </c>
    </row>
    <row r="317" spans="1:17" x14ac:dyDescent="0.25">
      <c r="A317" s="2">
        <v>39140</v>
      </c>
      <c r="B317" t="s">
        <v>47</v>
      </c>
      <c r="C317" t="s">
        <v>2441</v>
      </c>
      <c r="D317" s="3">
        <v>45321</v>
      </c>
      <c r="E317" t="s">
        <v>1877</v>
      </c>
      <c r="F317" t="s">
        <v>1911</v>
      </c>
      <c r="G317" t="s">
        <v>1460</v>
      </c>
      <c r="H317">
        <v>0</v>
      </c>
      <c r="I317" s="1">
        <v>35</v>
      </c>
      <c r="J317" s="1">
        <v>0</v>
      </c>
      <c r="K317">
        <v>36</v>
      </c>
      <c r="L317">
        <f>IF(E317="4. Renewal - MRR",IF(I317&lt;=0,0,VLOOKUP(B317,Multipliers!A:L,MATCH(K317,Multipliers!$A$1:$L$1,0),FALSE)),VLOOKUP(B317,Multipliers!A:L,MATCH(K317,Multipliers!$A$1:$L$1,0),FALSE))</f>
        <v>0.5</v>
      </c>
      <c r="M317">
        <f t="shared" si="16"/>
        <v>0</v>
      </c>
      <c r="N317" s="1">
        <f>_xlfn.XLOOKUP(A317,'Product Detail'!$AG:$AG,'Product Detail'!$AH:$AH,"N/A")</f>
        <v>1.4000000000000001</v>
      </c>
      <c r="O317" s="1">
        <f t="shared" si="17"/>
        <v>17.5</v>
      </c>
      <c r="P317" s="4">
        <f t="shared" si="18"/>
        <v>45352</v>
      </c>
      <c r="Q317" s="4">
        <f t="shared" si="19"/>
        <v>45413</v>
      </c>
    </row>
    <row r="318" spans="1:17" x14ac:dyDescent="0.25">
      <c r="A318">
        <v>38850</v>
      </c>
      <c r="B318" t="s">
        <v>1874</v>
      </c>
      <c r="C318" t="str">
        <f>_xlfn.XLOOKUP(B318,Multipliers!A:A,Multipliers!C:C)</f>
        <v>Jeffrey Weight</v>
      </c>
      <c r="D318" s="3">
        <v>45303</v>
      </c>
      <c r="E318" t="s">
        <v>1877</v>
      </c>
      <c r="F318" t="s">
        <v>2070</v>
      </c>
      <c r="G318" t="s">
        <v>1166</v>
      </c>
      <c r="H318">
        <v>0</v>
      </c>
      <c r="I318" s="1">
        <v>0</v>
      </c>
      <c r="J318" s="1">
        <v>0</v>
      </c>
      <c r="K318">
        <v>1</v>
      </c>
      <c r="L318">
        <f>IF(E318="4. Renewal - MRR",IF(I318&lt;=0,0,VLOOKUP(B318,Multipliers!A:L,MATCH(K318,Multipliers!$A$1:$L$1,0),FALSE)),VLOOKUP(B318,Multipliers!A:L,MATCH(K318,Multipliers!$A$1:$L$1,0),FALSE))</f>
        <v>0</v>
      </c>
      <c r="M318">
        <f t="shared" si="16"/>
        <v>0</v>
      </c>
      <c r="N318" s="1">
        <f>_xlfn.XLOOKUP(A318,'Product Detail'!$AG:$AG,'Product Detail'!$AH:$AH,"N/A")</f>
        <v>26.367199999999997</v>
      </c>
      <c r="O318" s="1">
        <f t="shared" si="17"/>
        <v>0</v>
      </c>
      <c r="P318" s="4">
        <f t="shared" si="18"/>
        <v>45352</v>
      </c>
      <c r="Q318" s="4">
        <f t="shared" si="19"/>
        <v>45413</v>
      </c>
    </row>
    <row r="319" spans="1:17" x14ac:dyDescent="0.25">
      <c r="A319">
        <v>38828</v>
      </c>
      <c r="B319" t="s">
        <v>1874</v>
      </c>
      <c r="C319" t="str">
        <f>_xlfn.XLOOKUP(B319,Multipliers!A:A,Multipliers!C:C)</f>
        <v>Jeffrey Weight</v>
      </c>
      <c r="D319" s="3">
        <v>45308</v>
      </c>
      <c r="E319" t="s">
        <v>1877</v>
      </c>
      <c r="F319" t="s">
        <v>2052</v>
      </c>
      <c r="G319" t="s">
        <v>1163</v>
      </c>
      <c r="H319">
        <v>0</v>
      </c>
      <c r="I319" s="1">
        <v>0</v>
      </c>
      <c r="J319" s="1">
        <v>0</v>
      </c>
      <c r="K319">
        <v>1</v>
      </c>
      <c r="L319">
        <f>IF(E319="4. Renewal - MRR",IF(I319&lt;=0,0,VLOOKUP(B319,Multipliers!A:L,MATCH(K319,Multipliers!$A$1:$L$1,0),FALSE)),VLOOKUP(B319,Multipliers!A:L,MATCH(K319,Multipliers!$A$1:$L$1,0),FALSE))</f>
        <v>0</v>
      </c>
      <c r="M319">
        <f t="shared" si="16"/>
        <v>0</v>
      </c>
      <c r="N319" s="1">
        <f>_xlfn.XLOOKUP(A319,'Product Detail'!$AG:$AG,'Product Detail'!$AH:$AH,"N/A")</f>
        <v>14.159999999999995</v>
      </c>
      <c r="O319" s="1">
        <f t="shared" si="17"/>
        <v>0</v>
      </c>
      <c r="P319" s="4">
        <f t="shared" si="18"/>
        <v>45352</v>
      </c>
      <c r="Q319" s="4">
        <f t="shared" si="19"/>
        <v>45413</v>
      </c>
    </row>
    <row r="320" spans="1:17" x14ac:dyDescent="0.25">
      <c r="A320">
        <v>38827</v>
      </c>
      <c r="B320" t="s">
        <v>184</v>
      </c>
      <c r="C320" t="str">
        <f>_xlfn.XLOOKUP(B320,Multipliers!A:A,Multipliers!C:C)</f>
        <v>Jeffrey Weight</v>
      </c>
      <c r="D320" s="3">
        <v>45302</v>
      </c>
      <c r="E320" t="s">
        <v>1877</v>
      </c>
      <c r="F320" t="s">
        <v>2026</v>
      </c>
      <c r="G320" t="s">
        <v>1160</v>
      </c>
      <c r="H320">
        <v>0</v>
      </c>
      <c r="I320" s="1">
        <v>0</v>
      </c>
      <c r="J320" s="1">
        <v>0</v>
      </c>
      <c r="K320">
        <v>1</v>
      </c>
      <c r="L320">
        <f>IF(E320="4. Renewal - MRR",IF(I320&lt;=0,0,VLOOKUP(B320,Multipliers!A:L,MATCH(K320,Multipliers!$A$1:$L$1,0),FALSE)),VLOOKUP(B320,Multipliers!A:L,MATCH(K320,Multipliers!$A$1:$L$1,0),FALSE))</f>
        <v>0</v>
      </c>
      <c r="M320">
        <f t="shared" si="16"/>
        <v>0</v>
      </c>
      <c r="N320" s="1">
        <f>_xlfn.XLOOKUP(A320,'Product Detail'!$AG:$AG,'Product Detail'!$AH:$AH,"N/A")</f>
        <v>0</v>
      </c>
      <c r="O320" s="1">
        <f t="shared" si="17"/>
        <v>0</v>
      </c>
      <c r="P320" s="4">
        <f t="shared" si="18"/>
        <v>45352</v>
      </c>
      <c r="Q320" s="4">
        <f t="shared" si="19"/>
        <v>45413</v>
      </c>
    </row>
    <row r="321" spans="1:17" x14ac:dyDescent="0.25">
      <c r="A321">
        <v>38823</v>
      </c>
      <c r="B321" t="s">
        <v>132</v>
      </c>
      <c r="C321" t="str">
        <f>_xlfn.XLOOKUP(B321,Multipliers!A:A,Multipliers!C:C)</f>
        <v>Jeffrey Weight</v>
      </c>
      <c r="D321" s="3">
        <v>45303</v>
      </c>
      <c r="E321" t="s">
        <v>1877</v>
      </c>
      <c r="F321" t="s">
        <v>2071</v>
      </c>
      <c r="G321" t="s">
        <v>1157</v>
      </c>
      <c r="H321">
        <v>0</v>
      </c>
      <c r="I321" s="1">
        <v>0</v>
      </c>
      <c r="J321" s="1">
        <v>0</v>
      </c>
      <c r="K321">
        <v>1</v>
      </c>
      <c r="L321">
        <f>IF(E321="4. Renewal - MRR",IF(I321&lt;=0,0,VLOOKUP(B321,Multipliers!A:L,MATCH(K321,Multipliers!$A$1:$L$1,0),FALSE)),VLOOKUP(B321,Multipliers!A:L,MATCH(K321,Multipliers!$A$1:$L$1,0),FALSE))</f>
        <v>0</v>
      </c>
      <c r="M321">
        <f t="shared" si="16"/>
        <v>0</v>
      </c>
      <c r="N321" s="1">
        <f>_xlfn.XLOOKUP(A321,'Product Detail'!$AG:$AG,'Product Detail'!$AH:$AH,"N/A")</f>
        <v>13.497600000000002</v>
      </c>
      <c r="O321" s="1">
        <f t="shared" si="17"/>
        <v>0</v>
      </c>
      <c r="P321" s="4">
        <f t="shared" si="18"/>
        <v>45352</v>
      </c>
      <c r="Q321" s="4">
        <f t="shared" si="19"/>
        <v>45413</v>
      </c>
    </row>
    <row r="322" spans="1:17" x14ac:dyDescent="0.25">
      <c r="A322">
        <v>38818</v>
      </c>
      <c r="B322" t="s">
        <v>184</v>
      </c>
      <c r="C322" t="str">
        <f>_xlfn.XLOOKUP(B322,Multipliers!A:A,Multipliers!C:C)</f>
        <v>Jeffrey Weight</v>
      </c>
      <c r="D322" s="3">
        <v>45306</v>
      </c>
      <c r="E322" t="s">
        <v>1877</v>
      </c>
      <c r="F322" t="s">
        <v>2072</v>
      </c>
      <c r="G322" t="s">
        <v>1154</v>
      </c>
      <c r="H322">
        <v>0</v>
      </c>
      <c r="I322" s="1">
        <v>0</v>
      </c>
      <c r="J322" s="1">
        <v>0</v>
      </c>
      <c r="K322">
        <v>1</v>
      </c>
      <c r="L322">
        <f>IF(E322="4. Renewal - MRR",IF(I322&lt;=0,0,VLOOKUP(B322,Multipliers!A:L,MATCH(K322,Multipliers!$A$1:$L$1,0),FALSE)),VLOOKUP(B322,Multipliers!A:L,MATCH(K322,Multipliers!$A$1:$L$1,0),FALSE))</f>
        <v>0</v>
      </c>
      <c r="M322">
        <f t="shared" ref="M322:M385" si="20">IF(E322="4. Renewal - MRR",IF(K322&gt;24,0.25,0),0)</f>
        <v>0</v>
      </c>
      <c r="N322" s="1">
        <f>_xlfn.XLOOKUP(A322,'Product Detail'!$AG:$AG,'Product Detail'!$AH:$AH,"N/A")</f>
        <v>0</v>
      </c>
      <c r="O322" s="1">
        <f t="shared" ref="O322:O385" si="21">I322*L322+J322*M322</f>
        <v>0</v>
      </c>
      <c r="P322" s="4">
        <f t="shared" ref="P322:P385" si="22">EOMONTH(D322,1)+1</f>
        <v>45352</v>
      </c>
      <c r="Q322" s="4">
        <f t="shared" ref="Q322:Q385" si="23">EOMONTH(D322,3)+1</f>
        <v>45413</v>
      </c>
    </row>
    <row r="323" spans="1:17" x14ac:dyDescent="0.25">
      <c r="A323">
        <v>39144</v>
      </c>
      <c r="B323" t="s">
        <v>43</v>
      </c>
      <c r="C323" t="str">
        <f>_xlfn.XLOOKUP(B323,Multipliers!A:A,Multipliers!C:C)</f>
        <v>John Powell</v>
      </c>
      <c r="D323" s="3">
        <v>45322</v>
      </c>
      <c r="E323" t="s">
        <v>1881</v>
      </c>
      <c r="F323" t="s">
        <v>2034</v>
      </c>
      <c r="G323" t="s">
        <v>1461</v>
      </c>
      <c r="H323">
        <v>0</v>
      </c>
      <c r="I323" s="1">
        <v>0</v>
      </c>
      <c r="J323" s="1">
        <v>0</v>
      </c>
      <c r="K323">
        <v>1</v>
      </c>
      <c r="L323">
        <f>IF(E323="4. Renewal - MRR",IF(I323&lt;=0,0,VLOOKUP(B323,Multipliers!A:L,MATCH(K323,Multipliers!$A$1:$L$1,0),FALSE)),VLOOKUP(B323,Multipliers!A:L,MATCH(K323,Multipliers!$A$1:$L$1,0),FALSE))</f>
        <v>0</v>
      </c>
      <c r="M323">
        <f t="shared" si="20"/>
        <v>0</v>
      </c>
      <c r="N323" s="1">
        <f>_xlfn.XLOOKUP(A323,'Product Detail'!$AG:$AG,'Product Detail'!$AH:$AH,"N/A")</f>
        <v>131.58425000000003</v>
      </c>
      <c r="O323" s="1">
        <f t="shared" si="21"/>
        <v>0</v>
      </c>
      <c r="P323" s="4">
        <f t="shared" si="22"/>
        <v>45352</v>
      </c>
      <c r="Q323" s="4">
        <f t="shared" si="23"/>
        <v>45413</v>
      </c>
    </row>
    <row r="324" spans="1:17" x14ac:dyDescent="0.25">
      <c r="A324">
        <v>39152</v>
      </c>
      <c r="B324" t="s">
        <v>47</v>
      </c>
      <c r="C324" t="str">
        <f>_xlfn.XLOOKUP(B324,Multipliers!A:A,Multipliers!C:C)</f>
        <v>John Powell</v>
      </c>
      <c r="D324" s="3">
        <v>45314</v>
      </c>
      <c r="E324" t="s">
        <v>1877</v>
      </c>
      <c r="F324" t="s">
        <v>1886</v>
      </c>
      <c r="G324" t="s">
        <v>1474</v>
      </c>
      <c r="H324">
        <v>0</v>
      </c>
      <c r="I324" s="1">
        <v>0</v>
      </c>
      <c r="J324" s="1">
        <v>0</v>
      </c>
      <c r="K324">
        <v>1</v>
      </c>
      <c r="L324">
        <f>IF(E324="4. Renewal - MRR",IF(I324&lt;=0,0,VLOOKUP(B324,Multipliers!A:L,MATCH(K324,Multipliers!$A$1:$L$1,0),FALSE)),VLOOKUP(B324,Multipliers!A:L,MATCH(K324,Multipliers!$A$1:$L$1,0),FALSE))</f>
        <v>0</v>
      </c>
      <c r="M324">
        <f t="shared" si="20"/>
        <v>0</v>
      </c>
      <c r="N324" s="1">
        <f>_xlfn.XLOOKUP(A324,'Product Detail'!$AG:$AG,'Product Detail'!$AH:$AH,"N/A")</f>
        <v>12.160100000000002</v>
      </c>
      <c r="O324" s="1">
        <f t="shared" si="21"/>
        <v>0</v>
      </c>
      <c r="P324" s="4">
        <f t="shared" si="22"/>
        <v>45352</v>
      </c>
      <c r="Q324" s="4">
        <f t="shared" si="23"/>
        <v>45413</v>
      </c>
    </row>
    <row r="325" spans="1:17" x14ac:dyDescent="0.25">
      <c r="A325">
        <v>38809</v>
      </c>
      <c r="B325" t="s">
        <v>1874</v>
      </c>
      <c r="C325" t="str">
        <f>_xlfn.XLOOKUP(B325,Multipliers!A:A,Multipliers!C:C)</f>
        <v>Jeffrey Weight</v>
      </c>
      <c r="D325" s="3">
        <v>45307</v>
      </c>
      <c r="E325" t="s">
        <v>1877</v>
      </c>
      <c r="F325" t="s">
        <v>1944</v>
      </c>
      <c r="G325" t="s">
        <v>1130</v>
      </c>
      <c r="H325">
        <v>0</v>
      </c>
      <c r="I325" s="1">
        <v>0</v>
      </c>
      <c r="J325" s="1">
        <v>0</v>
      </c>
      <c r="K325">
        <v>1</v>
      </c>
      <c r="L325">
        <f>IF(E325="4. Renewal - MRR",IF(I325&lt;=0,0,VLOOKUP(B325,Multipliers!A:L,MATCH(K325,Multipliers!$A$1:$L$1,0),FALSE)),VLOOKUP(B325,Multipliers!A:L,MATCH(K325,Multipliers!$A$1:$L$1,0),FALSE))</f>
        <v>0</v>
      </c>
      <c r="M325">
        <f t="shared" si="20"/>
        <v>0</v>
      </c>
      <c r="N325" s="1">
        <f>_xlfn.XLOOKUP(A325,'Product Detail'!$AG:$AG,'Product Detail'!$AH:$AH,"N/A")</f>
        <v>7.1328000000000022</v>
      </c>
      <c r="O325" s="1">
        <f t="shared" si="21"/>
        <v>0</v>
      </c>
      <c r="P325" s="4">
        <f t="shared" si="22"/>
        <v>45352</v>
      </c>
      <c r="Q325" s="4">
        <f t="shared" si="23"/>
        <v>45413</v>
      </c>
    </row>
    <row r="326" spans="1:17" x14ac:dyDescent="0.25">
      <c r="A326">
        <v>38803</v>
      </c>
      <c r="B326" t="s">
        <v>132</v>
      </c>
      <c r="C326" t="str">
        <f>_xlfn.XLOOKUP(B326,Multipliers!A:A,Multipliers!C:C)</f>
        <v>Jeffrey Weight</v>
      </c>
      <c r="D326" s="3">
        <v>45307</v>
      </c>
      <c r="E326" t="s">
        <v>1877</v>
      </c>
      <c r="F326" t="s">
        <v>2074</v>
      </c>
      <c r="G326" t="s">
        <v>1127</v>
      </c>
      <c r="H326">
        <v>0</v>
      </c>
      <c r="I326" s="1">
        <v>0</v>
      </c>
      <c r="J326" s="1">
        <v>0</v>
      </c>
      <c r="K326">
        <v>1</v>
      </c>
      <c r="L326">
        <f>IF(E326="4. Renewal - MRR",IF(I326&lt;=0,0,VLOOKUP(B326,Multipliers!A:L,MATCH(K326,Multipliers!$A$1:$L$1,0),FALSE)),VLOOKUP(B326,Multipliers!A:L,MATCH(K326,Multipliers!$A$1:$L$1,0),FALSE))</f>
        <v>0</v>
      </c>
      <c r="M326">
        <f t="shared" si="20"/>
        <v>0</v>
      </c>
      <c r="N326" s="1">
        <f>_xlfn.XLOOKUP(A326,'Product Detail'!$AG:$AG,'Product Detail'!$AH:$AH,"N/A")</f>
        <v>38.516800000000003</v>
      </c>
      <c r="O326" s="1">
        <f t="shared" si="21"/>
        <v>0</v>
      </c>
      <c r="P326" s="4">
        <f t="shared" si="22"/>
        <v>45352</v>
      </c>
      <c r="Q326" s="4">
        <f t="shared" si="23"/>
        <v>45413</v>
      </c>
    </row>
    <row r="327" spans="1:17" x14ac:dyDescent="0.25">
      <c r="A327">
        <v>38793</v>
      </c>
      <c r="B327" t="s">
        <v>184</v>
      </c>
      <c r="C327" t="str">
        <f>_xlfn.XLOOKUP(B327,Multipliers!A:A,Multipliers!C:C)</f>
        <v>Jeffrey Weight</v>
      </c>
      <c r="D327" s="3">
        <v>45303</v>
      </c>
      <c r="E327" t="s">
        <v>1877</v>
      </c>
      <c r="F327" t="s">
        <v>1998</v>
      </c>
      <c r="G327" t="s">
        <v>1124</v>
      </c>
      <c r="H327">
        <v>0</v>
      </c>
      <c r="I327" s="1">
        <v>0</v>
      </c>
      <c r="J327" s="1">
        <v>0</v>
      </c>
      <c r="K327">
        <v>1</v>
      </c>
      <c r="L327">
        <f>IF(E327="4. Renewal - MRR",IF(I327&lt;=0,0,VLOOKUP(B327,Multipliers!A:L,MATCH(K327,Multipliers!$A$1:$L$1,0),FALSE)),VLOOKUP(B327,Multipliers!A:L,MATCH(K327,Multipliers!$A$1:$L$1,0),FALSE))</f>
        <v>0</v>
      </c>
      <c r="M327">
        <f t="shared" si="20"/>
        <v>0</v>
      </c>
      <c r="N327" s="1">
        <f>_xlfn.XLOOKUP(A327,'Product Detail'!$AG:$AG,'Product Detail'!$AH:$AH,"N/A")</f>
        <v>0</v>
      </c>
      <c r="O327" s="1">
        <f t="shared" si="21"/>
        <v>0</v>
      </c>
      <c r="P327" s="4">
        <f t="shared" si="22"/>
        <v>45352</v>
      </c>
      <c r="Q327" s="4">
        <f t="shared" si="23"/>
        <v>45413</v>
      </c>
    </row>
    <row r="328" spans="1:17" x14ac:dyDescent="0.25">
      <c r="A328">
        <v>39157</v>
      </c>
      <c r="B328" t="s">
        <v>47</v>
      </c>
      <c r="C328" t="str">
        <f>_xlfn.XLOOKUP(B328,Multipliers!A:A,Multipliers!C:C)</f>
        <v>John Powell</v>
      </c>
      <c r="D328" s="3">
        <v>45317</v>
      </c>
      <c r="E328" t="s">
        <v>1877</v>
      </c>
      <c r="F328" t="s">
        <v>2029</v>
      </c>
      <c r="G328" t="s">
        <v>1484</v>
      </c>
      <c r="H328">
        <v>0</v>
      </c>
      <c r="I328" s="1">
        <v>0</v>
      </c>
      <c r="J328" s="1">
        <v>0</v>
      </c>
      <c r="K328">
        <v>1</v>
      </c>
      <c r="L328">
        <f>IF(E328="4. Renewal - MRR",IF(I328&lt;=0,0,VLOOKUP(B328,Multipliers!A:L,MATCH(K328,Multipliers!$A$1:$L$1,0),FALSE)),VLOOKUP(B328,Multipliers!A:L,MATCH(K328,Multipliers!$A$1:$L$1,0),FALSE))</f>
        <v>0</v>
      </c>
      <c r="M328">
        <f t="shared" si="20"/>
        <v>0</v>
      </c>
      <c r="N328" s="1">
        <f>_xlfn.XLOOKUP(A328,'Product Detail'!$AG:$AG,'Product Detail'!$AH:$AH,"N/A")</f>
        <v>59.125999999999998</v>
      </c>
      <c r="O328" s="1">
        <f t="shared" si="21"/>
        <v>0</v>
      </c>
      <c r="P328" s="4">
        <f t="shared" si="22"/>
        <v>45352</v>
      </c>
      <c r="Q328" s="4">
        <f t="shared" si="23"/>
        <v>45413</v>
      </c>
    </row>
    <row r="329" spans="1:17" x14ac:dyDescent="0.25">
      <c r="A329" s="2">
        <v>39165</v>
      </c>
      <c r="B329" t="s">
        <v>47</v>
      </c>
      <c r="C329" t="s">
        <v>2441</v>
      </c>
      <c r="D329" s="3">
        <v>45313</v>
      </c>
      <c r="E329" t="s">
        <v>1877</v>
      </c>
      <c r="F329" t="s">
        <v>1909</v>
      </c>
      <c r="G329" t="s">
        <v>2208</v>
      </c>
      <c r="H329">
        <v>0</v>
      </c>
      <c r="I329" s="1">
        <v>6.35</v>
      </c>
      <c r="J329" s="1">
        <v>0</v>
      </c>
      <c r="K329">
        <v>12</v>
      </c>
      <c r="L329">
        <f>IF(E329="4. Renewal - MRR",IF(I329&lt;=0,0,VLOOKUP(B329,Multipliers!A:L,MATCH(K329,Multipliers!$A$1:$L$1,0),FALSE)),VLOOKUP(B329,Multipliers!A:L,MATCH(K329,Multipliers!$A$1:$L$1,0),FALSE))</f>
        <v>0.125</v>
      </c>
      <c r="M329">
        <f t="shared" si="20"/>
        <v>0</v>
      </c>
      <c r="N329" s="1" t="str">
        <f>_xlfn.XLOOKUP(A329,'Product Detail'!$AG:$AG,'Product Detail'!$AH:$AH,"N/A")</f>
        <v>N/A</v>
      </c>
      <c r="O329" s="1">
        <f t="shared" si="21"/>
        <v>0.79374999999999996</v>
      </c>
      <c r="P329" s="4">
        <f t="shared" si="22"/>
        <v>45352</v>
      </c>
      <c r="Q329" s="4">
        <f t="shared" si="23"/>
        <v>45413</v>
      </c>
    </row>
    <row r="330" spans="1:17" x14ac:dyDescent="0.25">
      <c r="A330">
        <v>39183</v>
      </c>
      <c r="B330" t="s">
        <v>47</v>
      </c>
      <c r="C330" t="str">
        <f>_xlfn.XLOOKUP(B330,Multipliers!A:A,Multipliers!C:C)</f>
        <v>John Powell</v>
      </c>
      <c r="D330" s="3">
        <v>45321</v>
      </c>
      <c r="E330" t="s">
        <v>1881</v>
      </c>
      <c r="F330" t="s">
        <v>1911</v>
      </c>
      <c r="G330" t="s">
        <v>1500</v>
      </c>
      <c r="H330">
        <v>0</v>
      </c>
      <c r="I330" s="1">
        <v>0</v>
      </c>
      <c r="J330" s="1">
        <v>0</v>
      </c>
      <c r="K330">
        <v>1</v>
      </c>
      <c r="L330">
        <f>IF(E330="4. Renewal - MRR",IF(I330&lt;=0,0,VLOOKUP(B330,Multipliers!A:L,MATCH(K330,Multipliers!$A$1:$L$1,0),FALSE)),VLOOKUP(B330,Multipliers!A:L,MATCH(K330,Multipliers!$A$1:$L$1,0),FALSE))</f>
        <v>0</v>
      </c>
      <c r="M330">
        <f t="shared" si="20"/>
        <v>0</v>
      </c>
      <c r="N330" s="1">
        <f>_xlfn.XLOOKUP(A330,'Product Detail'!$AG:$AG,'Product Detail'!$AH:$AH,"N/A")</f>
        <v>103.72125000000001</v>
      </c>
      <c r="O330" s="1">
        <f t="shared" si="21"/>
        <v>0</v>
      </c>
      <c r="P330" s="4">
        <f t="shared" si="22"/>
        <v>45352</v>
      </c>
      <c r="Q330" s="4">
        <f t="shared" si="23"/>
        <v>45413</v>
      </c>
    </row>
    <row r="331" spans="1:17" x14ac:dyDescent="0.25">
      <c r="A331">
        <v>38779</v>
      </c>
      <c r="B331" t="s">
        <v>1874</v>
      </c>
      <c r="C331" t="str">
        <f>_xlfn.XLOOKUP(B331,Multipliers!A:A,Multipliers!C:C)</f>
        <v>Jeffrey Weight</v>
      </c>
      <c r="D331" s="3">
        <v>45302</v>
      </c>
      <c r="E331" t="s">
        <v>1877</v>
      </c>
      <c r="F331" t="s">
        <v>2077</v>
      </c>
      <c r="G331" t="s">
        <v>1092</v>
      </c>
      <c r="H331">
        <v>0</v>
      </c>
      <c r="I331" s="1">
        <v>0</v>
      </c>
      <c r="J331" s="1">
        <v>0</v>
      </c>
      <c r="K331">
        <v>1</v>
      </c>
      <c r="L331">
        <f>IF(E331="4. Renewal - MRR",IF(I331&lt;=0,0,VLOOKUP(B331,Multipliers!A:L,MATCH(K331,Multipliers!$A$1:$L$1,0),FALSE)),VLOOKUP(B331,Multipliers!A:L,MATCH(K331,Multipliers!$A$1:$L$1,0),FALSE))</f>
        <v>0</v>
      </c>
      <c r="M331">
        <f t="shared" si="20"/>
        <v>0</v>
      </c>
      <c r="N331" s="1">
        <f>_xlfn.XLOOKUP(A331,'Product Detail'!$AG:$AG,'Product Detail'!$AH:$AH,"N/A")</f>
        <v>43.884</v>
      </c>
      <c r="O331" s="1">
        <f t="shared" si="21"/>
        <v>0</v>
      </c>
      <c r="P331" s="4">
        <f t="shared" si="22"/>
        <v>45352</v>
      </c>
      <c r="Q331" s="4">
        <f t="shared" si="23"/>
        <v>45413</v>
      </c>
    </row>
    <row r="332" spans="1:17" x14ac:dyDescent="0.25">
      <c r="A332">
        <v>38775</v>
      </c>
      <c r="B332" t="s">
        <v>132</v>
      </c>
      <c r="C332" t="str">
        <f>_xlfn.XLOOKUP(B332,Multipliers!A:A,Multipliers!C:C)</f>
        <v>Jeffrey Weight</v>
      </c>
      <c r="D332" s="3">
        <v>45309</v>
      </c>
      <c r="E332" t="s">
        <v>1877</v>
      </c>
      <c r="F332" t="s">
        <v>1973</v>
      </c>
      <c r="G332" t="s">
        <v>1089</v>
      </c>
      <c r="H332">
        <v>0</v>
      </c>
      <c r="I332" s="1">
        <v>0</v>
      </c>
      <c r="J332" s="1">
        <v>0</v>
      </c>
      <c r="K332">
        <v>1</v>
      </c>
      <c r="L332">
        <f>IF(E332="4. Renewal - MRR",IF(I332&lt;=0,0,VLOOKUP(B332,Multipliers!A:L,MATCH(K332,Multipliers!$A$1:$L$1,0),FALSE)),VLOOKUP(B332,Multipliers!A:L,MATCH(K332,Multipliers!$A$1:$L$1,0),FALSE))</f>
        <v>0</v>
      </c>
      <c r="M332">
        <f t="shared" si="20"/>
        <v>0</v>
      </c>
      <c r="N332" s="1">
        <f>_xlfn.XLOOKUP(A332,'Product Detail'!$AG:$AG,'Product Detail'!$AH:$AH,"N/A")</f>
        <v>2.4383999999999992</v>
      </c>
      <c r="O332" s="1">
        <f t="shared" si="21"/>
        <v>0</v>
      </c>
      <c r="P332" s="4">
        <f t="shared" si="22"/>
        <v>45352</v>
      </c>
      <c r="Q332" s="4">
        <f t="shared" si="23"/>
        <v>45413</v>
      </c>
    </row>
    <row r="333" spans="1:17" x14ac:dyDescent="0.25">
      <c r="A333">
        <v>38773</v>
      </c>
      <c r="B333" t="s">
        <v>184</v>
      </c>
      <c r="C333" t="str">
        <f>_xlfn.XLOOKUP(B333,Multipliers!A:A,Multipliers!C:C)</f>
        <v>Jeffrey Weight</v>
      </c>
      <c r="D333" s="3">
        <v>45302</v>
      </c>
      <c r="E333" t="s">
        <v>1877</v>
      </c>
      <c r="F333" t="s">
        <v>2078</v>
      </c>
      <c r="G333" t="s">
        <v>1086</v>
      </c>
      <c r="H333">
        <v>0</v>
      </c>
      <c r="I333" s="1">
        <v>0</v>
      </c>
      <c r="J333" s="1">
        <v>0</v>
      </c>
      <c r="K333">
        <v>1</v>
      </c>
      <c r="L333">
        <f>IF(E333="4. Renewal - MRR",IF(I333&lt;=0,0,VLOOKUP(B333,Multipliers!A:L,MATCH(K333,Multipliers!$A$1:$L$1,0),FALSE)),VLOOKUP(B333,Multipliers!A:L,MATCH(K333,Multipliers!$A$1:$L$1,0),FALSE))</f>
        <v>0</v>
      </c>
      <c r="M333">
        <f t="shared" si="20"/>
        <v>0</v>
      </c>
      <c r="N333" s="1">
        <f>_xlfn.XLOOKUP(A333,'Product Detail'!$AG:$AG,'Product Detail'!$AH:$AH,"N/A")</f>
        <v>0</v>
      </c>
      <c r="O333" s="1">
        <f t="shared" si="21"/>
        <v>0</v>
      </c>
      <c r="P333" s="4">
        <f t="shared" si="22"/>
        <v>45352</v>
      </c>
      <c r="Q333" s="4">
        <f t="shared" si="23"/>
        <v>45413</v>
      </c>
    </row>
    <row r="334" spans="1:17" x14ac:dyDescent="0.25">
      <c r="A334">
        <v>38771</v>
      </c>
      <c r="B334" t="s">
        <v>132</v>
      </c>
      <c r="C334" t="str">
        <f>_xlfn.XLOOKUP(B334,Multipliers!A:A,Multipliers!C:C)</f>
        <v>Jeffrey Weight</v>
      </c>
      <c r="D334" s="3">
        <v>45307</v>
      </c>
      <c r="E334" t="s">
        <v>1877</v>
      </c>
      <c r="F334" t="s">
        <v>1889</v>
      </c>
      <c r="G334" t="s">
        <v>1083</v>
      </c>
      <c r="H334">
        <v>0</v>
      </c>
      <c r="I334" s="1">
        <v>0</v>
      </c>
      <c r="J334" s="1">
        <v>0</v>
      </c>
      <c r="K334">
        <v>1</v>
      </c>
      <c r="L334">
        <f>IF(E334="4. Renewal - MRR",IF(I334&lt;=0,0,VLOOKUP(B334,Multipliers!A:L,MATCH(K334,Multipliers!$A$1:$L$1,0),FALSE)),VLOOKUP(B334,Multipliers!A:L,MATCH(K334,Multipliers!$A$1:$L$1,0),FALSE))</f>
        <v>0</v>
      </c>
      <c r="M334">
        <f t="shared" si="20"/>
        <v>0</v>
      </c>
      <c r="N334" s="1">
        <f>_xlfn.XLOOKUP(A334,'Product Detail'!$AG:$AG,'Product Detail'!$AH:$AH,"N/A")</f>
        <v>9.5839999999999961</v>
      </c>
      <c r="O334" s="1">
        <f t="shared" si="21"/>
        <v>0</v>
      </c>
      <c r="P334" s="4">
        <f t="shared" si="22"/>
        <v>45352</v>
      </c>
      <c r="Q334" s="4">
        <f t="shared" si="23"/>
        <v>45413</v>
      </c>
    </row>
    <row r="335" spans="1:17" x14ac:dyDescent="0.25">
      <c r="A335">
        <v>39185</v>
      </c>
      <c r="B335" t="s">
        <v>56</v>
      </c>
      <c r="C335" t="str">
        <f>_xlfn.XLOOKUP(B335,Multipliers!A:A,Multipliers!C:C)</f>
        <v>John Powell</v>
      </c>
      <c r="D335" s="3">
        <v>45313</v>
      </c>
      <c r="E335" t="s">
        <v>1881</v>
      </c>
      <c r="F335" t="s">
        <v>1950</v>
      </c>
      <c r="G335" t="s">
        <v>1503</v>
      </c>
      <c r="H335">
        <v>0</v>
      </c>
      <c r="I335" s="1">
        <v>0</v>
      </c>
      <c r="J335" s="1">
        <v>0</v>
      </c>
      <c r="K335">
        <v>1</v>
      </c>
      <c r="L335">
        <f>IF(E335="4. Renewal - MRR",IF(I335&lt;=0,0,VLOOKUP(B335,Multipliers!A:L,MATCH(K335,Multipliers!$A$1:$L$1,0),FALSE)),VLOOKUP(B335,Multipliers!A:L,MATCH(K335,Multipliers!$A$1:$L$1,0),FALSE))</f>
        <v>0</v>
      </c>
      <c r="M335">
        <f t="shared" si="20"/>
        <v>0</v>
      </c>
      <c r="N335" s="1">
        <f>_xlfn.XLOOKUP(A335,'Product Detail'!$AG:$AG,'Product Detail'!$AH:$AH,"N/A")</f>
        <v>1.1577</v>
      </c>
      <c r="O335" s="1">
        <f t="shared" si="21"/>
        <v>0</v>
      </c>
      <c r="P335" s="4">
        <f t="shared" si="22"/>
        <v>45352</v>
      </c>
      <c r="Q335" s="4">
        <f t="shared" si="23"/>
        <v>45413</v>
      </c>
    </row>
    <row r="336" spans="1:17" x14ac:dyDescent="0.25">
      <c r="A336">
        <v>38761</v>
      </c>
      <c r="B336" t="s">
        <v>107</v>
      </c>
      <c r="C336" t="str">
        <f>_xlfn.XLOOKUP(B336,Multipliers!A:A,Multipliers!C:C)</f>
        <v>Luis Blanco</v>
      </c>
      <c r="D336" s="3">
        <v>45302</v>
      </c>
      <c r="E336" t="s">
        <v>1881</v>
      </c>
      <c r="F336" t="s">
        <v>2079</v>
      </c>
      <c r="G336" t="s">
        <v>1067</v>
      </c>
      <c r="H336">
        <v>0</v>
      </c>
      <c r="I336" s="1">
        <v>0</v>
      </c>
      <c r="J336" s="1">
        <v>0</v>
      </c>
      <c r="K336">
        <v>1</v>
      </c>
      <c r="L336">
        <f>IF(E336="4. Renewal - MRR",IF(I336&lt;=0,0,VLOOKUP(B336,Multipliers!A:L,MATCH(K336,Multipliers!$A$1:$L$1,0),FALSE)),VLOOKUP(B336,Multipliers!A:L,MATCH(K336,Multipliers!$A$1:$L$1,0),FALSE))</f>
        <v>0</v>
      </c>
      <c r="M336">
        <f t="shared" si="20"/>
        <v>0</v>
      </c>
      <c r="N336" s="1">
        <f>_xlfn.XLOOKUP(A336,'Product Detail'!$AG:$AG,'Product Detail'!$AH:$AH,"N/A")</f>
        <v>1.3712</v>
      </c>
      <c r="O336" s="1">
        <f t="shared" si="21"/>
        <v>0</v>
      </c>
      <c r="P336" s="4">
        <f t="shared" si="22"/>
        <v>45352</v>
      </c>
      <c r="Q336" s="4">
        <f t="shared" si="23"/>
        <v>45413</v>
      </c>
    </row>
    <row r="337" spans="1:17" x14ac:dyDescent="0.25">
      <c r="A337">
        <v>38759</v>
      </c>
      <c r="B337" t="s">
        <v>107</v>
      </c>
      <c r="C337" t="str">
        <f>_xlfn.XLOOKUP(B337,Multipliers!A:A,Multipliers!C:C)</f>
        <v>Luis Blanco</v>
      </c>
      <c r="D337" s="3">
        <v>45302</v>
      </c>
      <c r="E337" t="s">
        <v>1877</v>
      </c>
      <c r="F337" t="s">
        <v>2080</v>
      </c>
      <c r="G337" t="s">
        <v>1063</v>
      </c>
      <c r="H337">
        <v>0</v>
      </c>
      <c r="I337" s="1">
        <v>0</v>
      </c>
      <c r="J337" s="1">
        <v>0</v>
      </c>
      <c r="K337">
        <v>1</v>
      </c>
      <c r="L337">
        <f>IF(E337="4. Renewal - MRR",IF(I337&lt;=0,0,VLOOKUP(B337,Multipliers!A:L,MATCH(K337,Multipliers!$A$1:$L$1,0),FALSE)),VLOOKUP(B337,Multipliers!A:L,MATCH(K337,Multipliers!$A$1:$L$1,0),FALSE))</f>
        <v>0</v>
      </c>
      <c r="M337">
        <f t="shared" si="20"/>
        <v>0</v>
      </c>
      <c r="N337" s="1">
        <f>_xlfn.XLOOKUP(A337,'Product Detail'!$AG:$AG,'Product Detail'!$AH:$AH,"N/A")</f>
        <v>15.6052</v>
      </c>
      <c r="O337" s="1">
        <f t="shared" si="21"/>
        <v>0</v>
      </c>
      <c r="P337" s="4">
        <f t="shared" si="22"/>
        <v>45352</v>
      </c>
      <c r="Q337" s="4">
        <f t="shared" si="23"/>
        <v>45413</v>
      </c>
    </row>
    <row r="338" spans="1:17" x14ac:dyDescent="0.25">
      <c r="A338">
        <v>38758</v>
      </c>
      <c r="B338" t="s">
        <v>132</v>
      </c>
      <c r="C338" t="str">
        <f>_xlfn.XLOOKUP(B338,Multipliers!A:A,Multipliers!C:C)</f>
        <v>Jeffrey Weight</v>
      </c>
      <c r="D338" s="3">
        <v>45301</v>
      </c>
      <c r="E338" t="s">
        <v>1877</v>
      </c>
      <c r="F338" t="s">
        <v>2081</v>
      </c>
      <c r="G338" t="s">
        <v>1060</v>
      </c>
      <c r="H338">
        <v>0</v>
      </c>
      <c r="I338" s="1">
        <v>0</v>
      </c>
      <c r="J338" s="1">
        <v>0</v>
      </c>
      <c r="K338">
        <v>1</v>
      </c>
      <c r="L338">
        <f>IF(E338="4. Renewal - MRR",IF(I338&lt;=0,0,VLOOKUP(B338,Multipliers!A:L,MATCH(K338,Multipliers!$A$1:$L$1,0),FALSE)),VLOOKUP(B338,Multipliers!A:L,MATCH(K338,Multipliers!$A$1:$L$1,0),FALSE))</f>
        <v>0</v>
      </c>
      <c r="M338">
        <f t="shared" si="20"/>
        <v>0</v>
      </c>
      <c r="N338" s="1">
        <f>_xlfn.XLOOKUP(A338,'Product Detail'!$AG:$AG,'Product Detail'!$AH:$AH,"N/A")</f>
        <v>8.4040000000000017</v>
      </c>
      <c r="O338" s="1">
        <f t="shared" si="21"/>
        <v>0</v>
      </c>
      <c r="P338" s="4">
        <f t="shared" si="22"/>
        <v>45352</v>
      </c>
      <c r="Q338" s="4">
        <f t="shared" si="23"/>
        <v>45413</v>
      </c>
    </row>
    <row r="339" spans="1:17" x14ac:dyDescent="0.25">
      <c r="A339">
        <v>38756</v>
      </c>
      <c r="B339" t="s">
        <v>107</v>
      </c>
      <c r="C339" t="str">
        <f>_xlfn.XLOOKUP(B339,Multipliers!A:A,Multipliers!C:C)</f>
        <v>Luis Blanco</v>
      </c>
      <c r="D339" s="3">
        <v>45314</v>
      </c>
      <c r="E339" t="s">
        <v>1881</v>
      </c>
      <c r="F339" t="s">
        <v>2011</v>
      </c>
      <c r="G339" t="s">
        <v>1057</v>
      </c>
      <c r="H339">
        <v>0</v>
      </c>
      <c r="I339" s="1">
        <v>0</v>
      </c>
      <c r="J339" s="1">
        <v>0</v>
      </c>
      <c r="K339">
        <v>1</v>
      </c>
      <c r="L339">
        <f>IF(E339="4. Renewal - MRR",IF(I339&lt;=0,0,VLOOKUP(B339,Multipliers!A:L,MATCH(K339,Multipliers!$A$1:$L$1,0),FALSE)),VLOOKUP(B339,Multipliers!A:L,MATCH(K339,Multipliers!$A$1:$L$1,0),FALSE))</f>
        <v>0</v>
      </c>
      <c r="M339">
        <f t="shared" si="20"/>
        <v>0</v>
      </c>
      <c r="N339" s="1">
        <f>_xlfn.XLOOKUP(A339,'Product Detail'!$AG:$AG,'Product Detail'!$AH:$AH,"N/A")</f>
        <v>5.9040000000000008</v>
      </c>
      <c r="O339" s="1">
        <f t="shared" si="21"/>
        <v>0</v>
      </c>
      <c r="P339" s="4">
        <f t="shared" si="22"/>
        <v>45352</v>
      </c>
      <c r="Q339" s="4">
        <f t="shared" si="23"/>
        <v>45413</v>
      </c>
    </row>
    <row r="340" spans="1:17" x14ac:dyDescent="0.25">
      <c r="A340">
        <v>38755</v>
      </c>
      <c r="B340" t="s">
        <v>174</v>
      </c>
      <c r="C340" t="str">
        <f>_xlfn.XLOOKUP(B340,Multipliers!A:A,Multipliers!C:C)</f>
        <v>Anthony Laiewski</v>
      </c>
      <c r="D340" s="3">
        <v>45314</v>
      </c>
      <c r="E340" t="s">
        <v>1881</v>
      </c>
      <c r="F340" t="s">
        <v>2082</v>
      </c>
      <c r="G340" t="s">
        <v>669</v>
      </c>
      <c r="H340">
        <v>0</v>
      </c>
      <c r="I340" s="1">
        <v>0</v>
      </c>
      <c r="J340" s="1">
        <v>0</v>
      </c>
      <c r="K340">
        <v>1</v>
      </c>
      <c r="L340">
        <f>IF(E340="4. Renewal - MRR",IF(I340&lt;=0,0,VLOOKUP(B340,Multipliers!A:L,MATCH(K340,Multipliers!$A$1:$L$1,0),FALSE)),VLOOKUP(B340,Multipliers!A:L,MATCH(K340,Multipliers!$A$1:$L$1,0),FALSE))</f>
        <v>0</v>
      </c>
      <c r="M340">
        <f t="shared" si="20"/>
        <v>0</v>
      </c>
      <c r="N340" s="1">
        <f>_xlfn.XLOOKUP(A340,'Product Detail'!$AG:$AG,'Product Detail'!$AH:$AH,"N/A")</f>
        <v>0</v>
      </c>
      <c r="O340" s="1">
        <f t="shared" si="21"/>
        <v>0</v>
      </c>
      <c r="P340" s="4">
        <f t="shared" si="22"/>
        <v>45352</v>
      </c>
      <c r="Q340" s="4">
        <f t="shared" si="23"/>
        <v>45413</v>
      </c>
    </row>
    <row r="341" spans="1:17" x14ac:dyDescent="0.25">
      <c r="A341">
        <v>38753</v>
      </c>
      <c r="B341" t="s">
        <v>184</v>
      </c>
      <c r="C341" t="str">
        <f>_xlfn.XLOOKUP(B341,Multipliers!A:A,Multipliers!C:C)</f>
        <v>Jeffrey Weight</v>
      </c>
      <c r="D341" s="3">
        <v>45302</v>
      </c>
      <c r="E341" t="s">
        <v>1877</v>
      </c>
      <c r="F341" t="s">
        <v>2083</v>
      </c>
      <c r="G341" t="s">
        <v>1052</v>
      </c>
      <c r="H341">
        <v>0</v>
      </c>
      <c r="I341" s="1">
        <v>0</v>
      </c>
      <c r="J341" s="1">
        <v>0</v>
      </c>
      <c r="K341">
        <v>1</v>
      </c>
      <c r="L341">
        <f>IF(E341="4. Renewal - MRR",IF(I341&lt;=0,0,VLOOKUP(B341,Multipliers!A:L,MATCH(K341,Multipliers!$A$1:$L$1,0),FALSE)),VLOOKUP(B341,Multipliers!A:L,MATCH(K341,Multipliers!$A$1:$L$1,0),FALSE))</f>
        <v>0</v>
      </c>
      <c r="M341">
        <f t="shared" si="20"/>
        <v>0</v>
      </c>
      <c r="N341" s="1">
        <f>_xlfn.XLOOKUP(A341,'Product Detail'!$AG:$AG,'Product Detail'!$AH:$AH,"N/A")</f>
        <v>0</v>
      </c>
      <c r="O341" s="1">
        <f t="shared" si="21"/>
        <v>0</v>
      </c>
      <c r="P341" s="4">
        <f t="shared" si="22"/>
        <v>45352</v>
      </c>
      <c r="Q341" s="4">
        <f t="shared" si="23"/>
        <v>45413</v>
      </c>
    </row>
    <row r="342" spans="1:17" x14ac:dyDescent="0.25">
      <c r="A342">
        <v>38751</v>
      </c>
      <c r="B342" t="s">
        <v>140</v>
      </c>
      <c r="C342" t="str">
        <f>_xlfn.XLOOKUP(B342,Multipliers!A:A,Multipliers!C:C)</f>
        <v>Jeffrey Weight</v>
      </c>
      <c r="D342" s="3">
        <v>45301</v>
      </c>
      <c r="E342" t="s">
        <v>1877</v>
      </c>
      <c r="F342" t="s">
        <v>2039</v>
      </c>
      <c r="G342" t="s">
        <v>1048</v>
      </c>
      <c r="H342">
        <v>0</v>
      </c>
      <c r="I342" s="1">
        <v>0</v>
      </c>
      <c r="J342" s="1">
        <v>0</v>
      </c>
      <c r="K342">
        <v>1</v>
      </c>
      <c r="L342">
        <f>IF(E342="4. Renewal - MRR",IF(I342&lt;=0,0,VLOOKUP(B342,Multipliers!A:L,MATCH(K342,Multipliers!$A$1:$L$1,0),FALSE)),VLOOKUP(B342,Multipliers!A:L,MATCH(K342,Multipliers!$A$1:$L$1,0),FALSE))</f>
        <v>0</v>
      </c>
      <c r="M342">
        <f t="shared" si="20"/>
        <v>0</v>
      </c>
      <c r="N342" s="1">
        <f>_xlfn.XLOOKUP(A342,'Product Detail'!$AG:$AG,'Product Detail'!$AH:$AH,"N/A")</f>
        <v>22.42</v>
      </c>
      <c r="O342" s="1">
        <f t="shared" si="21"/>
        <v>0</v>
      </c>
      <c r="P342" s="4">
        <f t="shared" si="22"/>
        <v>45352</v>
      </c>
      <c r="Q342" s="4">
        <f t="shared" si="23"/>
        <v>45413</v>
      </c>
    </row>
    <row r="343" spans="1:17" x14ac:dyDescent="0.25">
      <c r="A343">
        <v>38745</v>
      </c>
      <c r="B343" t="s">
        <v>174</v>
      </c>
      <c r="C343" t="str">
        <f>_xlfn.XLOOKUP(B343,Multipliers!A:A,Multipliers!C:C)</f>
        <v>Anthony Laiewski</v>
      </c>
      <c r="D343" s="3">
        <v>45301</v>
      </c>
      <c r="E343" t="s">
        <v>1877</v>
      </c>
      <c r="F343" t="s">
        <v>2084</v>
      </c>
      <c r="G343" t="s">
        <v>1047</v>
      </c>
      <c r="H343">
        <v>0</v>
      </c>
      <c r="I343" s="1">
        <v>0</v>
      </c>
      <c r="J343" s="1">
        <v>0</v>
      </c>
      <c r="K343">
        <v>1</v>
      </c>
      <c r="L343">
        <f>IF(E343="4. Renewal - MRR",IF(I343&lt;=0,0,VLOOKUP(B343,Multipliers!A:L,MATCH(K343,Multipliers!$A$1:$L$1,0),FALSE)),VLOOKUP(B343,Multipliers!A:L,MATCH(K343,Multipliers!$A$1:$L$1,0),FALSE))</f>
        <v>0</v>
      </c>
      <c r="M343">
        <f t="shared" si="20"/>
        <v>0</v>
      </c>
      <c r="N343" s="1">
        <f>_xlfn.XLOOKUP(A343,'Product Detail'!$AG:$AG,'Product Detail'!$AH:$AH,"N/A")</f>
        <v>0</v>
      </c>
      <c r="O343" s="1">
        <f t="shared" si="21"/>
        <v>0</v>
      </c>
      <c r="P343" s="4">
        <f t="shared" si="22"/>
        <v>45352</v>
      </c>
      <c r="Q343" s="4">
        <f t="shared" si="23"/>
        <v>45413</v>
      </c>
    </row>
    <row r="344" spans="1:17" x14ac:dyDescent="0.25">
      <c r="A344" s="2">
        <v>39191</v>
      </c>
      <c r="B344" t="s">
        <v>43</v>
      </c>
      <c r="C344" t="s">
        <v>2440</v>
      </c>
      <c r="D344" s="3">
        <v>45313</v>
      </c>
      <c r="E344" t="s">
        <v>1878</v>
      </c>
      <c r="F344" t="s">
        <v>1906</v>
      </c>
      <c r="G344" t="s">
        <v>2206</v>
      </c>
      <c r="H344">
        <v>0</v>
      </c>
      <c r="I344" s="1">
        <v>-107.9</v>
      </c>
      <c r="J344" s="1">
        <v>0</v>
      </c>
      <c r="K344">
        <v>36</v>
      </c>
      <c r="L344">
        <f>IF(E344="4. Renewal - MRR",IF(I344&lt;=0,0,VLOOKUP(B344,Multipliers!A:L,MATCH(K344,Multipliers!$A$1:$L$1,0),FALSE)),VLOOKUP(B344,Multipliers!A:L,MATCH(K344,Multipliers!$A$1:$L$1,0),FALSE))</f>
        <v>0.5</v>
      </c>
      <c r="M344">
        <f t="shared" si="20"/>
        <v>0</v>
      </c>
      <c r="N344" s="1" t="str">
        <f>_xlfn.XLOOKUP(A344,'Product Detail'!$AG:$AG,'Product Detail'!$AH:$AH,"N/A")</f>
        <v>N/A</v>
      </c>
      <c r="O344" s="1">
        <f t="shared" si="21"/>
        <v>-53.95</v>
      </c>
      <c r="P344" s="4">
        <f t="shared" si="22"/>
        <v>45352</v>
      </c>
      <c r="Q344" s="4">
        <f t="shared" si="23"/>
        <v>45413</v>
      </c>
    </row>
    <row r="345" spans="1:17" x14ac:dyDescent="0.25">
      <c r="A345">
        <v>39207</v>
      </c>
      <c r="B345" t="s">
        <v>43</v>
      </c>
      <c r="C345" t="str">
        <f>_xlfn.XLOOKUP(B345,Multipliers!A:A,Multipliers!C:C)</f>
        <v>John Powell</v>
      </c>
      <c r="D345" s="3">
        <v>45316</v>
      </c>
      <c r="E345" t="s">
        <v>1877</v>
      </c>
      <c r="F345" t="s">
        <v>1892</v>
      </c>
      <c r="G345" t="s">
        <v>1507</v>
      </c>
      <c r="H345">
        <v>0</v>
      </c>
      <c r="I345" s="1">
        <v>0</v>
      </c>
      <c r="J345" s="1">
        <v>0</v>
      </c>
      <c r="K345">
        <v>1</v>
      </c>
      <c r="L345">
        <f>IF(E345="4. Renewal - MRR",IF(I345&lt;=0,0,VLOOKUP(B345,Multipliers!A:L,MATCH(K345,Multipliers!$A$1:$L$1,0),FALSE)),VLOOKUP(B345,Multipliers!A:L,MATCH(K345,Multipliers!$A$1:$L$1,0),FALSE))</f>
        <v>0</v>
      </c>
      <c r="M345">
        <f t="shared" si="20"/>
        <v>0</v>
      </c>
      <c r="N345" s="1">
        <f>_xlfn.XLOOKUP(A345,'Product Detail'!$AG:$AG,'Product Detail'!$AH:$AH,"N/A")</f>
        <v>13.741099999999998</v>
      </c>
      <c r="O345" s="1">
        <f t="shared" si="21"/>
        <v>0</v>
      </c>
      <c r="P345" s="4">
        <f t="shared" si="22"/>
        <v>45352</v>
      </c>
      <c r="Q345" s="4">
        <f t="shared" si="23"/>
        <v>45413</v>
      </c>
    </row>
    <row r="346" spans="1:17" x14ac:dyDescent="0.25">
      <c r="A346">
        <v>39258</v>
      </c>
      <c r="B346" t="s">
        <v>43</v>
      </c>
      <c r="C346" t="str">
        <f>_xlfn.XLOOKUP(B346,Multipliers!A:A,Multipliers!C:C)</f>
        <v>John Powell</v>
      </c>
      <c r="D346" s="3">
        <v>45321</v>
      </c>
      <c r="E346" t="s">
        <v>1877</v>
      </c>
      <c r="F346" t="s">
        <v>2017</v>
      </c>
      <c r="G346" t="s">
        <v>1548</v>
      </c>
      <c r="H346">
        <v>0</v>
      </c>
      <c r="I346" s="1">
        <v>0</v>
      </c>
      <c r="J346" s="1">
        <v>0</v>
      </c>
      <c r="K346">
        <v>0</v>
      </c>
      <c r="L346">
        <f>IF(E346="4. Renewal - MRR",IF(I346&lt;=0,0,VLOOKUP(B346,Multipliers!A:L,MATCH(K346,Multipliers!$A$1:$L$1,0),FALSE)),VLOOKUP(B346,Multipliers!A:L,MATCH(K346,Multipliers!$A$1:$L$1,0),FALSE))</f>
        <v>0</v>
      </c>
      <c r="M346">
        <f t="shared" si="20"/>
        <v>0</v>
      </c>
      <c r="N346" s="1">
        <f>_xlfn.XLOOKUP(A346,'Product Detail'!$AG:$AG,'Product Detail'!$AH:$AH,"N/A")</f>
        <v>481</v>
      </c>
      <c r="O346" s="1">
        <f t="shared" si="21"/>
        <v>0</v>
      </c>
      <c r="P346" s="4">
        <f t="shared" si="22"/>
        <v>45352</v>
      </c>
      <c r="Q346" s="4">
        <f t="shared" si="23"/>
        <v>45413</v>
      </c>
    </row>
    <row r="347" spans="1:17" x14ac:dyDescent="0.25">
      <c r="A347">
        <v>39266</v>
      </c>
      <c r="B347" t="s">
        <v>51</v>
      </c>
      <c r="C347" t="str">
        <f>_xlfn.XLOOKUP(B347,Multipliers!A:A,Multipliers!C:C)</f>
        <v>John Powell</v>
      </c>
      <c r="D347" s="3">
        <v>45314</v>
      </c>
      <c r="E347" t="s">
        <v>1877</v>
      </c>
      <c r="F347" t="s">
        <v>2178</v>
      </c>
      <c r="G347" t="s">
        <v>1552</v>
      </c>
      <c r="H347">
        <v>0</v>
      </c>
      <c r="I347" s="1">
        <v>0</v>
      </c>
      <c r="J347" s="1">
        <v>0</v>
      </c>
      <c r="K347">
        <v>1</v>
      </c>
      <c r="L347">
        <f>IF(E347="4. Renewal - MRR",IF(I347&lt;=0,0,VLOOKUP(B347,Multipliers!A:L,MATCH(K347,Multipliers!$A$1:$L$1,0),FALSE)),VLOOKUP(B347,Multipliers!A:L,MATCH(K347,Multipliers!$A$1:$L$1,0),FALSE))</f>
        <v>0</v>
      </c>
      <c r="M347">
        <f t="shared" si="20"/>
        <v>0</v>
      </c>
      <c r="N347" s="1">
        <f>_xlfn.XLOOKUP(A347,'Product Detail'!$AG:$AG,'Product Detail'!$AH:$AH,"N/A")</f>
        <v>5.0184000000000024</v>
      </c>
      <c r="O347" s="1">
        <f t="shared" si="21"/>
        <v>0</v>
      </c>
      <c r="P347" s="4">
        <f t="shared" si="22"/>
        <v>45352</v>
      </c>
      <c r="Q347" s="4">
        <f t="shared" si="23"/>
        <v>45413</v>
      </c>
    </row>
    <row r="348" spans="1:17" x14ac:dyDescent="0.25">
      <c r="A348">
        <v>38731</v>
      </c>
      <c r="B348" t="s">
        <v>184</v>
      </c>
      <c r="C348" t="str">
        <f>_xlfn.XLOOKUP(B348,Multipliers!A:A,Multipliers!C:C)</f>
        <v>Jeffrey Weight</v>
      </c>
      <c r="D348" s="3">
        <v>45301</v>
      </c>
      <c r="E348" t="s">
        <v>1877</v>
      </c>
      <c r="F348" t="s">
        <v>2087</v>
      </c>
      <c r="G348" t="s">
        <v>1029</v>
      </c>
      <c r="H348">
        <v>0</v>
      </c>
      <c r="I348" s="1">
        <v>0</v>
      </c>
      <c r="J348" s="1">
        <v>0</v>
      </c>
      <c r="K348">
        <v>1</v>
      </c>
      <c r="L348">
        <f>IF(E348="4. Renewal - MRR",IF(I348&lt;=0,0,VLOOKUP(B348,Multipliers!A:L,MATCH(K348,Multipliers!$A$1:$L$1,0),FALSE)),VLOOKUP(B348,Multipliers!A:L,MATCH(K348,Multipliers!$A$1:$L$1,0),FALSE))</f>
        <v>0</v>
      </c>
      <c r="M348">
        <f t="shared" si="20"/>
        <v>0</v>
      </c>
      <c r="N348" s="1">
        <f>_xlfn.XLOOKUP(A348,'Product Detail'!$AG:$AG,'Product Detail'!$AH:$AH,"N/A")</f>
        <v>0</v>
      </c>
      <c r="O348" s="1">
        <f t="shared" si="21"/>
        <v>0</v>
      </c>
      <c r="P348" s="4">
        <f t="shared" si="22"/>
        <v>45352</v>
      </c>
      <c r="Q348" s="4">
        <f t="shared" si="23"/>
        <v>45413</v>
      </c>
    </row>
    <row r="349" spans="1:17" x14ac:dyDescent="0.25">
      <c r="A349">
        <v>38730</v>
      </c>
      <c r="B349" t="s">
        <v>105</v>
      </c>
      <c r="C349" t="str">
        <f>_xlfn.XLOOKUP(B349,Multipliers!A:A,Multipliers!C:C)</f>
        <v>Luis Blanco</v>
      </c>
      <c r="D349" s="3">
        <v>45307</v>
      </c>
      <c r="E349" t="s">
        <v>1877</v>
      </c>
      <c r="F349" t="s">
        <v>1905</v>
      </c>
      <c r="G349" t="s">
        <v>1028</v>
      </c>
      <c r="H349">
        <v>0</v>
      </c>
      <c r="I349" s="1">
        <v>0</v>
      </c>
      <c r="J349" s="1">
        <v>0</v>
      </c>
      <c r="K349">
        <v>0</v>
      </c>
      <c r="L349">
        <f>IF(E349="4. Renewal - MRR",IF(I349&lt;=0,0,VLOOKUP(B349,Multipliers!A:L,MATCH(K349,Multipliers!$A$1:$L$1,0),FALSE)),VLOOKUP(B349,Multipliers!A:L,MATCH(K349,Multipliers!$A$1:$L$1,0),FALSE))</f>
        <v>0</v>
      </c>
      <c r="M349">
        <f t="shared" si="20"/>
        <v>0</v>
      </c>
      <c r="N349" s="1">
        <f>_xlfn.XLOOKUP(A349,'Product Detail'!$AG:$AG,'Product Detail'!$AH:$AH,"N/A")</f>
        <v>585</v>
      </c>
      <c r="O349" s="1">
        <f t="shared" si="21"/>
        <v>0</v>
      </c>
      <c r="P349" s="4">
        <f t="shared" si="22"/>
        <v>45352</v>
      </c>
      <c r="Q349" s="4">
        <f t="shared" si="23"/>
        <v>45413</v>
      </c>
    </row>
    <row r="350" spans="1:17" x14ac:dyDescent="0.25">
      <c r="A350">
        <v>38728</v>
      </c>
      <c r="B350" t="s">
        <v>150</v>
      </c>
      <c r="C350" t="str">
        <f>_xlfn.XLOOKUP(B350,Multipliers!A:A,Multipliers!C:C)</f>
        <v>Jeffrey Weight</v>
      </c>
      <c r="D350" s="3">
        <v>45301</v>
      </c>
      <c r="E350" t="s">
        <v>1877</v>
      </c>
      <c r="F350" t="s">
        <v>1898</v>
      </c>
      <c r="G350" t="s">
        <v>1023</v>
      </c>
      <c r="H350">
        <v>0</v>
      </c>
      <c r="I350" s="1">
        <v>0</v>
      </c>
      <c r="J350" s="1">
        <v>0</v>
      </c>
      <c r="K350">
        <v>1</v>
      </c>
      <c r="L350">
        <f>IF(E350="4. Renewal - MRR",IF(I350&lt;=0,0,VLOOKUP(B350,Multipliers!A:L,MATCH(K350,Multipliers!$A$1:$L$1,0),FALSE)),VLOOKUP(B350,Multipliers!A:L,MATCH(K350,Multipliers!$A$1:$L$1,0),FALSE))</f>
        <v>0</v>
      </c>
      <c r="M350">
        <f t="shared" si="20"/>
        <v>0</v>
      </c>
      <c r="N350" s="1">
        <f>_xlfn.XLOOKUP(A350,'Product Detail'!$AG:$AG,'Product Detail'!$AH:$AH,"N/A")</f>
        <v>1.4104000000000001</v>
      </c>
      <c r="O350" s="1">
        <f t="shared" si="21"/>
        <v>0</v>
      </c>
      <c r="P350" s="4">
        <f t="shared" si="22"/>
        <v>45352</v>
      </c>
      <c r="Q350" s="4">
        <f t="shared" si="23"/>
        <v>45413</v>
      </c>
    </row>
    <row r="351" spans="1:17" x14ac:dyDescent="0.25">
      <c r="A351">
        <v>38725</v>
      </c>
      <c r="B351" t="s">
        <v>184</v>
      </c>
      <c r="C351" t="str">
        <f>_xlfn.XLOOKUP(B351,Multipliers!A:A,Multipliers!C:C)</f>
        <v>Jeffrey Weight</v>
      </c>
      <c r="D351" s="3">
        <v>45301</v>
      </c>
      <c r="E351" t="s">
        <v>1877</v>
      </c>
      <c r="F351" t="s">
        <v>2088</v>
      </c>
      <c r="G351" t="s">
        <v>1021</v>
      </c>
      <c r="H351">
        <v>0</v>
      </c>
      <c r="I351" s="1">
        <v>0</v>
      </c>
      <c r="J351" s="1">
        <v>0</v>
      </c>
      <c r="K351">
        <v>1</v>
      </c>
      <c r="L351">
        <f>IF(E351="4. Renewal - MRR",IF(I351&lt;=0,0,VLOOKUP(B351,Multipliers!A:L,MATCH(K351,Multipliers!$A$1:$L$1,0),FALSE)),VLOOKUP(B351,Multipliers!A:L,MATCH(K351,Multipliers!$A$1:$L$1,0),FALSE))</f>
        <v>0</v>
      </c>
      <c r="M351">
        <f t="shared" si="20"/>
        <v>0</v>
      </c>
      <c r="N351" s="1">
        <f>_xlfn.XLOOKUP(A351,'Product Detail'!$AG:$AG,'Product Detail'!$AH:$AH,"N/A")</f>
        <v>0</v>
      </c>
      <c r="O351" s="1">
        <f t="shared" si="21"/>
        <v>0</v>
      </c>
      <c r="P351" s="4">
        <f t="shared" si="22"/>
        <v>45352</v>
      </c>
      <c r="Q351" s="4">
        <f t="shared" si="23"/>
        <v>45413</v>
      </c>
    </row>
    <row r="352" spans="1:17" x14ac:dyDescent="0.25">
      <c r="A352">
        <v>38723</v>
      </c>
      <c r="B352" t="s">
        <v>150</v>
      </c>
      <c r="C352" t="str">
        <f>_xlfn.XLOOKUP(B352,Multipliers!A:A,Multipliers!C:C)</f>
        <v>Jeffrey Weight</v>
      </c>
      <c r="D352" s="3">
        <v>45300</v>
      </c>
      <c r="E352" t="s">
        <v>1877</v>
      </c>
      <c r="F352" t="s">
        <v>2089</v>
      </c>
      <c r="G352" t="s">
        <v>1015</v>
      </c>
      <c r="H352">
        <v>0</v>
      </c>
      <c r="I352" s="1">
        <v>0</v>
      </c>
      <c r="J352" s="1">
        <v>0</v>
      </c>
      <c r="K352">
        <v>0</v>
      </c>
      <c r="L352">
        <f>IF(E352="4. Renewal - MRR",IF(I352&lt;=0,0,VLOOKUP(B352,Multipliers!A:L,MATCH(K352,Multipliers!$A$1:$L$1,0),FALSE)),VLOOKUP(B352,Multipliers!A:L,MATCH(K352,Multipliers!$A$1:$L$1,0),FALSE))</f>
        <v>0</v>
      </c>
      <c r="M352">
        <f t="shared" si="20"/>
        <v>0</v>
      </c>
      <c r="N352" s="1">
        <f>_xlfn.XLOOKUP(A352,'Product Detail'!$AG:$AG,'Product Detail'!$AH:$AH,"N/A")</f>
        <v>246</v>
      </c>
      <c r="O352" s="1">
        <f t="shared" si="21"/>
        <v>0</v>
      </c>
      <c r="P352" s="4">
        <f t="shared" si="22"/>
        <v>45352</v>
      </c>
      <c r="Q352" s="4">
        <f t="shared" si="23"/>
        <v>45413</v>
      </c>
    </row>
    <row r="353" spans="1:17" x14ac:dyDescent="0.25">
      <c r="A353">
        <v>38717</v>
      </c>
      <c r="B353" t="s">
        <v>184</v>
      </c>
      <c r="C353" t="str">
        <f>_xlfn.XLOOKUP(B353,Multipliers!A:A,Multipliers!C:C)</f>
        <v>Jeffrey Weight</v>
      </c>
      <c r="D353" s="3">
        <v>45309</v>
      </c>
      <c r="E353" t="s">
        <v>1877</v>
      </c>
      <c r="F353" t="s">
        <v>2090</v>
      </c>
      <c r="G353" t="s">
        <v>998</v>
      </c>
      <c r="H353">
        <v>0</v>
      </c>
      <c r="I353" s="1">
        <v>0</v>
      </c>
      <c r="J353" s="1">
        <v>0</v>
      </c>
      <c r="K353">
        <v>1</v>
      </c>
      <c r="L353">
        <f>IF(E353="4. Renewal - MRR",IF(I353&lt;=0,0,VLOOKUP(B353,Multipliers!A:L,MATCH(K353,Multipliers!$A$1:$L$1,0),FALSE)),VLOOKUP(B353,Multipliers!A:L,MATCH(K353,Multipliers!$A$1:$L$1,0),FALSE))</f>
        <v>0</v>
      </c>
      <c r="M353">
        <f t="shared" si="20"/>
        <v>0</v>
      </c>
      <c r="N353" s="1">
        <f>_xlfn.XLOOKUP(A353,'Product Detail'!$AG:$AG,'Product Detail'!$AH:$AH,"N/A")</f>
        <v>0</v>
      </c>
      <c r="O353" s="1">
        <f t="shared" si="21"/>
        <v>0</v>
      </c>
      <c r="P353" s="4">
        <f t="shared" si="22"/>
        <v>45352</v>
      </c>
      <c r="Q353" s="4">
        <f t="shared" si="23"/>
        <v>45413</v>
      </c>
    </row>
    <row r="354" spans="1:17" x14ac:dyDescent="0.25">
      <c r="A354">
        <v>38712</v>
      </c>
      <c r="B354" t="s">
        <v>151</v>
      </c>
      <c r="C354" t="str">
        <f>_xlfn.XLOOKUP(B354,Multipliers!A:A,Multipliers!C:C)</f>
        <v>Anthony Laiewski</v>
      </c>
      <c r="D354" s="3">
        <v>45300</v>
      </c>
      <c r="E354" t="s">
        <v>1877</v>
      </c>
      <c r="F354" t="s">
        <v>2091</v>
      </c>
      <c r="G354" t="s">
        <v>992</v>
      </c>
      <c r="H354">
        <v>0</v>
      </c>
      <c r="I354" s="1">
        <v>0</v>
      </c>
      <c r="J354" s="1">
        <v>0</v>
      </c>
      <c r="K354">
        <v>1</v>
      </c>
      <c r="L354">
        <f>IF(E354="4. Renewal - MRR",IF(I354&lt;=0,0,VLOOKUP(B354,Multipliers!A:L,MATCH(K354,Multipliers!$A$1:$L$1,0),FALSE)),VLOOKUP(B354,Multipliers!A:L,MATCH(K354,Multipliers!$A$1:$L$1,0),FALSE))</f>
        <v>0</v>
      </c>
      <c r="M354">
        <f t="shared" si="20"/>
        <v>0</v>
      </c>
      <c r="N354" s="1">
        <f>_xlfn.XLOOKUP(A354,'Product Detail'!$AG:$AG,'Product Detail'!$AH:$AH,"N/A")</f>
        <v>17.778400000000005</v>
      </c>
      <c r="O354" s="1">
        <f t="shared" si="21"/>
        <v>0</v>
      </c>
      <c r="P354" s="4">
        <f t="shared" si="22"/>
        <v>45352</v>
      </c>
      <c r="Q354" s="4">
        <f t="shared" si="23"/>
        <v>45413</v>
      </c>
    </row>
    <row r="355" spans="1:17" x14ac:dyDescent="0.25">
      <c r="A355">
        <v>38711</v>
      </c>
      <c r="B355" t="s">
        <v>132</v>
      </c>
      <c r="C355" t="str">
        <f>_xlfn.XLOOKUP(B355,Multipliers!A:A,Multipliers!C:C)</f>
        <v>Jeffrey Weight</v>
      </c>
      <c r="D355" s="3">
        <v>45307</v>
      </c>
      <c r="E355" t="s">
        <v>1877</v>
      </c>
      <c r="F355" t="s">
        <v>1899</v>
      </c>
      <c r="G355" t="s">
        <v>989</v>
      </c>
      <c r="H355">
        <v>0</v>
      </c>
      <c r="I355" s="1">
        <v>0</v>
      </c>
      <c r="J355" s="1">
        <v>0</v>
      </c>
      <c r="K355">
        <v>1</v>
      </c>
      <c r="L355">
        <f>IF(E355="4. Renewal - MRR",IF(I355&lt;=0,0,VLOOKUP(B355,Multipliers!A:L,MATCH(K355,Multipliers!$A$1:$L$1,0),FALSE)),VLOOKUP(B355,Multipliers!A:L,MATCH(K355,Multipliers!$A$1:$L$1,0),FALSE))</f>
        <v>0</v>
      </c>
      <c r="M355">
        <f t="shared" si="20"/>
        <v>0</v>
      </c>
      <c r="N355" s="1">
        <f>_xlfn.XLOOKUP(A355,'Product Detail'!$AG:$AG,'Product Detail'!$AH:$AH,"N/A")</f>
        <v>2.1800000000000002</v>
      </c>
      <c r="O355" s="1">
        <f t="shared" si="21"/>
        <v>0</v>
      </c>
      <c r="P355" s="4">
        <f t="shared" si="22"/>
        <v>45352</v>
      </c>
      <c r="Q355" s="4">
        <f t="shared" si="23"/>
        <v>45413</v>
      </c>
    </row>
    <row r="356" spans="1:17" x14ac:dyDescent="0.25">
      <c r="A356">
        <v>38708</v>
      </c>
      <c r="B356" t="s">
        <v>174</v>
      </c>
      <c r="C356" t="str">
        <f>_xlfn.XLOOKUP(B356,Multipliers!A:A,Multipliers!C:C)</f>
        <v>Anthony Laiewski</v>
      </c>
      <c r="D356" s="3">
        <v>45301</v>
      </c>
      <c r="E356" t="s">
        <v>1881</v>
      </c>
      <c r="F356" t="s">
        <v>2019</v>
      </c>
      <c r="G356" t="s">
        <v>988</v>
      </c>
      <c r="H356">
        <v>0</v>
      </c>
      <c r="I356" s="1">
        <v>0</v>
      </c>
      <c r="J356" s="1">
        <v>0</v>
      </c>
      <c r="K356">
        <v>1</v>
      </c>
      <c r="L356">
        <f>IF(E356="4. Renewal - MRR",IF(I356&lt;=0,0,VLOOKUP(B356,Multipliers!A:L,MATCH(K356,Multipliers!$A$1:$L$1,0),FALSE)),VLOOKUP(B356,Multipliers!A:L,MATCH(K356,Multipliers!$A$1:$L$1,0),FALSE))</f>
        <v>0</v>
      </c>
      <c r="M356">
        <f t="shared" si="20"/>
        <v>0</v>
      </c>
      <c r="N356" s="1">
        <f>_xlfn.XLOOKUP(A356,'Product Detail'!$AG:$AG,'Product Detail'!$AH:$AH,"N/A")</f>
        <v>0</v>
      </c>
      <c r="O356" s="1">
        <f t="shared" si="21"/>
        <v>0</v>
      </c>
      <c r="P356" s="4">
        <f t="shared" si="22"/>
        <v>45352</v>
      </c>
      <c r="Q356" s="4">
        <f t="shared" si="23"/>
        <v>45413</v>
      </c>
    </row>
    <row r="357" spans="1:17" x14ac:dyDescent="0.25">
      <c r="A357">
        <v>38707</v>
      </c>
      <c r="B357" t="s">
        <v>107</v>
      </c>
      <c r="C357" t="str">
        <f>_xlfn.XLOOKUP(B357,Multipliers!A:A,Multipliers!C:C)</f>
        <v>Luis Blanco</v>
      </c>
      <c r="D357" s="3">
        <v>45321</v>
      </c>
      <c r="E357" t="s">
        <v>1881</v>
      </c>
      <c r="F357" t="s">
        <v>2092</v>
      </c>
      <c r="G357" t="s">
        <v>986</v>
      </c>
      <c r="H357">
        <v>0</v>
      </c>
      <c r="I357" s="1">
        <v>0</v>
      </c>
      <c r="J357" s="1">
        <v>0</v>
      </c>
      <c r="K357">
        <v>1</v>
      </c>
      <c r="L357">
        <f>IF(E357="4. Renewal - MRR",IF(I357&lt;=0,0,VLOOKUP(B357,Multipliers!A:L,MATCH(K357,Multipliers!$A$1:$L$1,0),FALSE)),VLOOKUP(B357,Multipliers!A:L,MATCH(K357,Multipliers!$A$1:$L$1,0),FALSE))</f>
        <v>0</v>
      </c>
      <c r="M357">
        <f t="shared" si="20"/>
        <v>0</v>
      </c>
      <c r="N357" s="1">
        <f>_xlfn.XLOOKUP(A357,'Product Detail'!$AG:$AG,'Product Detail'!$AH:$AH,"N/A")</f>
        <v>0.85839999999999972</v>
      </c>
      <c r="O357" s="1">
        <f t="shared" si="21"/>
        <v>0</v>
      </c>
      <c r="P357" s="4">
        <f t="shared" si="22"/>
        <v>45352</v>
      </c>
      <c r="Q357" s="4">
        <f t="shared" si="23"/>
        <v>45413</v>
      </c>
    </row>
    <row r="358" spans="1:17" x14ac:dyDescent="0.25">
      <c r="A358" s="2">
        <v>39272</v>
      </c>
      <c r="B358" t="s">
        <v>47</v>
      </c>
      <c r="C358" t="s">
        <v>2440</v>
      </c>
      <c r="D358" s="3">
        <v>45314</v>
      </c>
      <c r="E358" t="s">
        <v>1877</v>
      </c>
      <c r="F358" t="s">
        <v>1900</v>
      </c>
      <c r="G358" t="s">
        <v>2201</v>
      </c>
      <c r="H358">
        <v>0</v>
      </c>
      <c r="I358" s="1">
        <v>7.92</v>
      </c>
      <c r="J358" s="1">
        <v>0</v>
      </c>
      <c r="K358">
        <v>12</v>
      </c>
      <c r="L358">
        <f>IF(E358="4. Renewal - MRR",IF(I358&lt;=0,0,VLOOKUP(B358,Multipliers!A:L,MATCH(K358,Multipliers!$A$1:$L$1,0),FALSE)),VLOOKUP(B358,Multipliers!A:L,MATCH(K358,Multipliers!$A$1:$L$1,0),FALSE))</f>
        <v>0.125</v>
      </c>
      <c r="M358">
        <f t="shared" si="20"/>
        <v>0</v>
      </c>
      <c r="N358" s="1" t="str">
        <f>_xlfn.XLOOKUP(A358,'Product Detail'!$AG:$AG,'Product Detail'!$AH:$AH,"N/A")</f>
        <v>N/A</v>
      </c>
      <c r="O358" s="1">
        <f t="shared" si="21"/>
        <v>0.99</v>
      </c>
      <c r="P358" s="4">
        <f t="shared" si="22"/>
        <v>45352</v>
      </c>
      <c r="Q358" s="4">
        <f t="shared" si="23"/>
        <v>45413</v>
      </c>
    </row>
    <row r="359" spans="1:17" x14ac:dyDescent="0.25">
      <c r="A359">
        <v>38695</v>
      </c>
      <c r="B359" t="s">
        <v>140</v>
      </c>
      <c r="C359" t="str">
        <f>_xlfn.XLOOKUP(B359,Multipliers!A:A,Multipliers!C:C)</f>
        <v>Jeffrey Weight</v>
      </c>
      <c r="D359" s="3">
        <v>45313</v>
      </c>
      <c r="E359" t="s">
        <v>1881</v>
      </c>
      <c r="F359" t="s">
        <v>2037</v>
      </c>
      <c r="G359" t="s">
        <v>979</v>
      </c>
      <c r="H359">
        <v>0</v>
      </c>
      <c r="I359" s="1">
        <v>0</v>
      </c>
      <c r="J359" s="1">
        <v>0</v>
      </c>
      <c r="K359">
        <v>1</v>
      </c>
      <c r="L359">
        <f>IF(E359="4. Renewal - MRR",IF(I359&lt;=0,0,VLOOKUP(B359,Multipliers!A:L,MATCH(K359,Multipliers!$A$1:$L$1,0),FALSE)),VLOOKUP(B359,Multipliers!A:L,MATCH(K359,Multipliers!$A$1:$L$1,0),FALSE))</f>
        <v>0</v>
      </c>
      <c r="M359">
        <f t="shared" si="20"/>
        <v>0</v>
      </c>
      <c r="N359" s="1">
        <f>_xlfn.XLOOKUP(A359,'Product Detail'!$AG:$AG,'Product Detail'!$AH:$AH,"N/A")</f>
        <v>30.680800000000001</v>
      </c>
      <c r="O359" s="1">
        <f t="shared" si="21"/>
        <v>0</v>
      </c>
      <c r="P359" s="4">
        <f t="shared" si="22"/>
        <v>45352</v>
      </c>
      <c r="Q359" s="4">
        <f t="shared" si="23"/>
        <v>45413</v>
      </c>
    </row>
    <row r="360" spans="1:17" x14ac:dyDescent="0.25">
      <c r="A360">
        <v>38694</v>
      </c>
      <c r="B360" t="s">
        <v>1874</v>
      </c>
      <c r="C360" t="str">
        <f>_xlfn.XLOOKUP(B360,Multipliers!A:A,Multipliers!C:C)</f>
        <v>Jeffrey Weight</v>
      </c>
      <c r="D360" s="3">
        <v>45303</v>
      </c>
      <c r="E360" t="s">
        <v>1877</v>
      </c>
      <c r="F360" t="s">
        <v>2093</v>
      </c>
      <c r="G360" t="s">
        <v>976</v>
      </c>
      <c r="H360">
        <v>0</v>
      </c>
      <c r="I360" s="1">
        <v>0</v>
      </c>
      <c r="J360" s="1">
        <v>0</v>
      </c>
      <c r="K360">
        <v>1</v>
      </c>
      <c r="L360">
        <f>IF(E360="4. Renewal - MRR",IF(I360&lt;=0,0,VLOOKUP(B360,Multipliers!A:L,MATCH(K360,Multipliers!$A$1:$L$1,0),FALSE)),VLOOKUP(B360,Multipliers!A:L,MATCH(K360,Multipliers!$A$1:$L$1,0),FALSE))</f>
        <v>0</v>
      </c>
      <c r="M360">
        <f t="shared" si="20"/>
        <v>0</v>
      </c>
      <c r="N360" s="1">
        <f>_xlfn.XLOOKUP(A360,'Product Detail'!$AG:$AG,'Product Detail'!$AH:$AH,"N/A")</f>
        <v>45.479199999999999</v>
      </c>
      <c r="O360" s="1">
        <f t="shared" si="21"/>
        <v>0</v>
      </c>
      <c r="P360" s="4">
        <f t="shared" si="22"/>
        <v>45352</v>
      </c>
      <c r="Q360" s="4">
        <f t="shared" si="23"/>
        <v>45413</v>
      </c>
    </row>
    <row r="361" spans="1:17" x14ac:dyDescent="0.25">
      <c r="A361">
        <v>38693</v>
      </c>
      <c r="B361" t="s">
        <v>1874</v>
      </c>
      <c r="C361" t="str">
        <f>_xlfn.XLOOKUP(B361,Multipliers!A:A,Multipliers!C:C)</f>
        <v>Jeffrey Weight</v>
      </c>
      <c r="D361" s="3">
        <v>45301</v>
      </c>
      <c r="E361" t="s">
        <v>1877</v>
      </c>
      <c r="F361" t="s">
        <v>2094</v>
      </c>
      <c r="G361" t="s">
        <v>971</v>
      </c>
      <c r="H361">
        <v>0</v>
      </c>
      <c r="I361" s="1">
        <v>0</v>
      </c>
      <c r="J361" s="1">
        <v>0</v>
      </c>
      <c r="K361">
        <v>1</v>
      </c>
      <c r="L361">
        <f>IF(E361="4. Renewal - MRR",IF(I361&lt;=0,0,VLOOKUP(B361,Multipliers!A:L,MATCH(K361,Multipliers!$A$1:$L$1,0),FALSE)),VLOOKUP(B361,Multipliers!A:L,MATCH(K361,Multipliers!$A$1:$L$1,0),FALSE))</f>
        <v>0</v>
      </c>
      <c r="M361">
        <f t="shared" si="20"/>
        <v>0</v>
      </c>
      <c r="N361" s="1">
        <f>_xlfn.XLOOKUP(A361,'Product Detail'!$AG:$AG,'Product Detail'!$AH:$AH,"N/A")</f>
        <v>58.51639999999999</v>
      </c>
      <c r="O361" s="1">
        <f t="shared" si="21"/>
        <v>0</v>
      </c>
      <c r="P361" s="4">
        <f t="shared" si="22"/>
        <v>45352</v>
      </c>
      <c r="Q361" s="4">
        <f t="shared" si="23"/>
        <v>45413</v>
      </c>
    </row>
    <row r="362" spans="1:17" x14ac:dyDescent="0.25">
      <c r="A362">
        <v>38691</v>
      </c>
      <c r="B362" t="s">
        <v>132</v>
      </c>
      <c r="C362" t="str">
        <f>_xlfn.XLOOKUP(B362,Multipliers!A:A,Multipliers!C:C)</f>
        <v>Jeffrey Weight</v>
      </c>
      <c r="D362" s="3">
        <v>45299</v>
      </c>
      <c r="E362" t="s">
        <v>1877</v>
      </c>
      <c r="F362" t="s">
        <v>1992</v>
      </c>
      <c r="G362" t="s">
        <v>968</v>
      </c>
      <c r="H362">
        <v>0</v>
      </c>
      <c r="I362" s="1">
        <v>0</v>
      </c>
      <c r="J362" s="1">
        <v>0</v>
      </c>
      <c r="K362">
        <v>1</v>
      </c>
      <c r="L362">
        <f>IF(E362="4. Renewal - MRR",IF(I362&lt;=0,0,VLOOKUP(B362,Multipliers!A:L,MATCH(K362,Multipliers!$A$1:$L$1,0),FALSE)),VLOOKUP(B362,Multipliers!A:L,MATCH(K362,Multipliers!$A$1:$L$1,0),FALSE))</f>
        <v>0</v>
      </c>
      <c r="M362">
        <f t="shared" si="20"/>
        <v>0</v>
      </c>
      <c r="N362" s="1">
        <f>_xlfn.XLOOKUP(A362,'Product Detail'!$AG:$AG,'Product Detail'!$AH:$AH,"N/A")</f>
        <v>38.281599999999997</v>
      </c>
      <c r="O362" s="1">
        <f t="shared" si="21"/>
        <v>0</v>
      </c>
      <c r="P362" s="4">
        <f t="shared" si="22"/>
        <v>45352</v>
      </c>
      <c r="Q362" s="4">
        <f t="shared" si="23"/>
        <v>45413</v>
      </c>
    </row>
    <row r="363" spans="1:17" x14ac:dyDescent="0.25">
      <c r="A363">
        <v>38689</v>
      </c>
      <c r="B363" t="s">
        <v>132</v>
      </c>
      <c r="C363" t="str">
        <f>_xlfn.XLOOKUP(B363,Multipliers!A:A,Multipliers!C:C)</f>
        <v>Jeffrey Weight</v>
      </c>
      <c r="D363" s="3">
        <v>45303</v>
      </c>
      <c r="E363" t="s">
        <v>1877</v>
      </c>
      <c r="F363" t="s">
        <v>2095</v>
      </c>
      <c r="G363" t="s">
        <v>965</v>
      </c>
      <c r="H363">
        <v>0</v>
      </c>
      <c r="I363" s="1">
        <v>0</v>
      </c>
      <c r="J363" s="1">
        <v>0</v>
      </c>
      <c r="K363">
        <v>1</v>
      </c>
      <c r="L363">
        <f>IF(E363="4. Renewal - MRR",IF(I363&lt;=0,0,VLOOKUP(B363,Multipliers!A:L,MATCH(K363,Multipliers!$A$1:$L$1,0),FALSE)),VLOOKUP(B363,Multipliers!A:L,MATCH(K363,Multipliers!$A$1:$L$1,0),FALSE))</f>
        <v>0</v>
      </c>
      <c r="M363">
        <f t="shared" si="20"/>
        <v>0</v>
      </c>
      <c r="N363" s="1">
        <f>_xlfn.XLOOKUP(A363,'Product Detail'!$AG:$AG,'Product Detail'!$AH:$AH,"N/A")</f>
        <v>28.095199999999998</v>
      </c>
      <c r="O363" s="1">
        <f t="shared" si="21"/>
        <v>0</v>
      </c>
      <c r="P363" s="4">
        <f t="shared" si="22"/>
        <v>45352</v>
      </c>
      <c r="Q363" s="4">
        <f t="shared" si="23"/>
        <v>45413</v>
      </c>
    </row>
    <row r="364" spans="1:17" x14ac:dyDescent="0.25">
      <c r="A364">
        <v>38685</v>
      </c>
      <c r="B364" t="s">
        <v>1874</v>
      </c>
      <c r="C364" t="str">
        <f>_xlfn.XLOOKUP(B364,Multipliers!A:A,Multipliers!C:C)</f>
        <v>Jeffrey Weight</v>
      </c>
      <c r="D364" s="3">
        <v>45301</v>
      </c>
      <c r="E364" t="s">
        <v>1877</v>
      </c>
      <c r="F364" t="s">
        <v>2096</v>
      </c>
      <c r="G364" t="s">
        <v>962</v>
      </c>
      <c r="H364">
        <v>0</v>
      </c>
      <c r="I364" s="1">
        <v>0</v>
      </c>
      <c r="J364" s="1">
        <v>0</v>
      </c>
      <c r="K364">
        <v>1</v>
      </c>
      <c r="L364">
        <f>IF(E364="4. Renewal - MRR",IF(I364&lt;=0,0,VLOOKUP(B364,Multipliers!A:L,MATCH(K364,Multipliers!$A$1:$L$1,0),FALSE)),VLOOKUP(B364,Multipliers!A:L,MATCH(K364,Multipliers!$A$1:$L$1,0),FALSE))</f>
        <v>0</v>
      </c>
      <c r="M364">
        <f t="shared" si="20"/>
        <v>0</v>
      </c>
      <c r="N364" s="1">
        <f>_xlfn.XLOOKUP(A364,'Product Detail'!$AG:$AG,'Product Detail'!$AH:$AH,"N/A")</f>
        <v>36.171199999999992</v>
      </c>
      <c r="O364" s="1">
        <f t="shared" si="21"/>
        <v>0</v>
      </c>
      <c r="P364" s="4">
        <f t="shared" si="22"/>
        <v>45352</v>
      </c>
      <c r="Q364" s="4">
        <f t="shared" si="23"/>
        <v>45413</v>
      </c>
    </row>
    <row r="365" spans="1:17" x14ac:dyDescent="0.25">
      <c r="A365">
        <v>38682</v>
      </c>
      <c r="B365" t="s">
        <v>107</v>
      </c>
      <c r="C365" t="str">
        <f>_xlfn.XLOOKUP(B365,Multipliers!A:A,Multipliers!C:C)</f>
        <v>Luis Blanco</v>
      </c>
      <c r="D365" s="3">
        <v>45313</v>
      </c>
      <c r="E365" t="s">
        <v>1877</v>
      </c>
      <c r="F365" t="s">
        <v>1894</v>
      </c>
      <c r="G365" t="s">
        <v>938</v>
      </c>
      <c r="H365">
        <v>0</v>
      </c>
      <c r="I365" s="1">
        <v>0</v>
      </c>
      <c r="J365" s="1">
        <v>0</v>
      </c>
      <c r="K365">
        <v>1</v>
      </c>
      <c r="L365">
        <f>IF(E365="4. Renewal - MRR",IF(I365&lt;=0,0,VLOOKUP(B365,Multipliers!A:L,MATCH(K365,Multipliers!$A$1:$L$1,0),FALSE)),VLOOKUP(B365,Multipliers!A:L,MATCH(K365,Multipliers!$A$1:$L$1,0),FALSE))</f>
        <v>0</v>
      </c>
      <c r="M365">
        <f t="shared" si="20"/>
        <v>0</v>
      </c>
      <c r="N365" s="1">
        <f>_xlfn.XLOOKUP(A365,'Product Detail'!$AG:$AG,'Product Detail'!$AH:$AH,"N/A")</f>
        <v>119.19720000000002</v>
      </c>
      <c r="O365" s="1">
        <f t="shared" si="21"/>
        <v>0</v>
      </c>
      <c r="P365" s="4">
        <f t="shared" si="22"/>
        <v>45352</v>
      </c>
      <c r="Q365" s="4">
        <f t="shared" si="23"/>
        <v>45413</v>
      </c>
    </row>
    <row r="366" spans="1:17" x14ac:dyDescent="0.25">
      <c r="A366">
        <v>38681</v>
      </c>
      <c r="B366" t="s">
        <v>132</v>
      </c>
      <c r="C366" t="str">
        <f>_xlfn.XLOOKUP(B366,Multipliers!A:A,Multipliers!C:C)</f>
        <v>Jeffrey Weight</v>
      </c>
      <c r="D366" s="3">
        <v>45309</v>
      </c>
      <c r="E366" t="s">
        <v>1877</v>
      </c>
      <c r="F366" t="s">
        <v>2097</v>
      </c>
      <c r="G366" t="s">
        <v>935</v>
      </c>
      <c r="H366">
        <v>0</v>
      </c>
      <c r="I366" s="1">
        <v>0</v>
      </c>
      <c r="J366" s="1">
        <v>0</v>
      </c>
      <c r="K366">
        <v>1</v>
      </c>
      <c r="L366">
        <f>IF(E366="4. Renewal - MRR",IF(I366&lt;=0,0,VLOOKUP(B366,Multipliers!A:L,MATCH(K366,Multipliers!$A$1:$L$1,0),FALSE)),VLOOKUP(B366,Multipliers!A:L,MATCH(K366,Multipliers!$A$1:$L$1,0),FALSE))</f>
        <v>0</v>
      </c>
      <c r="M366">
        <f t="shared" si="20"/>
        <v>0</v>
      </c>
      <c r="N366" s="1">
        <f>_xlfn.XLOOKUP(A366,'Product Detail'!$AG:$AG,'Product Detail'!$AH:$AH,"N/A")</f>
        <v>3.5424000000000002</v>
      </c>
      <c r="O366" s="1">
        <f t="shared" si="21"/>
        <v>0</v>
      </c>
      <c r="P366" s="4">
        <f t="shared" si="22"/>
        <v>45352</v>
      </c>
      <c r="Q366" s="4">
        <f t="shared" si="23"/>
        <v>45413</v>
      </c>
    </row>
    <row r="367" spans="1:17" x14ac:dyDescent="0.25">
      <c r="A367">
        <v>38678</v>
      </c>
      <c r="B367" t="s">
        <v>184</v>
      </c>
      <c r="C367" t="str">
        <f>_xlfn.XLOOKUP(B367,Multipliers!A:A,Multipliers!C:C)</f>
        <v>Jeffrey Weight</v>
      </c>
      <c r="D367" s="3">
        <v>45299</v>
      </c>
      <c r="E367" t="s">
        <v>1877</v>
      </c>
      <c r="F367" t="s">
        <v>2090</v>
      </c>
      <c r="G367" t="s">
        <v>934</v>
      </c>
      <c r="H367">
        <v>0</v>
      </c>
      <c r="I367" s="1">
        <v>0</v>
      </c>
      <c r="J367" s="1">
        <v>0</v>
      </c>
      <c r="K367">
        <v>1</v>
      </c>
      <c r="L367">
        <f>IF(E367="4. Renewal - MRR",IF(I367&lt;=0,0,VLOOKUP(B367,Multipliers!A:L,MATCH(K367,Multipliers!$A$1:$L$1,0),FALSE)),VLOOKUP(B367,Multipliers!A:L,MATCH(K367,Multipliers!$A$1:$L$1,0),FALSE))</f>
        <v>0</v>
      </c>
      <c r="M367">
        <f t="shared" si="20"/>
        <v>0</v>
      </c>
      <c r="N367" s="1">
        <f>_xlfn.XLOOKUP(A367,'Product Detail'!$AG:$AG,'Product Detail'!$AH:$AH,"N/A")</f>
        <v>0</v>
      </c>
      <c r="O367" s="1">
        <f t="shared" si="21"/>
        <v>0</v>
      </c>
      <c r="P367" s="4">
        <f t="shared" si="22"/>
        <v>45352</v>
      </c>
      <c r="Q367" s="4">
        <f t="shared" si="23"/>
        <v>45413</v>
      </c>
    </row>
    <row r="368" spans="1:17" x14ac:dyDescent="0.25">
      <c r="A368">
        <v>38675</v>
      </c>
      <c r="B368" t="s">
        <v>181</v>
      </c>
      <c r="C368">
        <f>_xlfn.XLOOKUP(B368,Multipliers!A:A,Multipliers!C:C)</f>
        <v>0</v>
      </c>
      <c r="D368" s="3">
        <v>45302</v>
      </c>
      <c r="E368" t="s">
        <v>1881</v>
      </c>
      <c r="F368" t="s">
        <v>1971</v>
      </c>
      <c r="G368" t="s">
        <v>927</v>
      </c>
      <c r="H368">
        <v>0</v>
      </c>
      <c r="I368" s="1">
        <v>0</v>
      </c>
      <c r="J368" s="1">
        <v>0</v>
      </c>
      <c r="K368">
        <v>1</v>
      </c>
      <c r="L368">
        <f>IF(E368="4. Renewal - MRR",IF(I368&lt;=0,0,VLOOKUP(B368,Multipliers!A:L,MATCH(K368,Multipliers!$A$1:$L$1,0),FALSE)),VLOOKUP(B368,Multipliers!A:L,MATCH(K368,Multipliers!$A$1:$L$1,0),FALSE))</f>
        <v>0</v>
      </c>
      <c r="M368">
        <f t="shared" si="20"/>
        <v>0</v>
      </c>
      <c r="N368" s="1">
        <f>_xlfn.XLOOKUP(A368,'Product Detail'!$AG:$AG,'Product Detail'!$AH:$AH,"N/A")</f>
        <v>0</v>
      </c>
      <c r="O368" s="1">
        <f t="shared" si="21"/>
        <v>0</v>
      </c>
      <c r="P368" s="4">
        <f t="shared" si="22"/>
        <v>45352</v>
      </c>
      <c r="Q368" s="4">
        <f t="shared" si="23"/>
        <v>45413</v>
      </c>
    </row>
    <row r="369" spans="1:17" x14ac:dyDescent="0.25">
      <c r="A369">
        <v>39275</v>
      </c>
      <c r="B369" t="s">
        <v>56</v>
      </c>
      <c r="C369" t="str">
        <f>_xlfn.XLOOKUP(B369,Multipliers!A:A,Multipliers!C:C)</f>
        <v>John Powell</v>
      </c>
      <c r="D369" s="3">
        <v>45315</v>
      </c>
      <c r="E369" t="s">
        <v>1877</v>
      </c>
      <c r="F369" t="s">
        <v>2015</v>
      </c>
      <c r="G369" t="s">
        <v>1561</v>
      </c>
      <c r="H369">
        <v>0</v>
      </c>
      <c r="I369" s="1">
        <v>0</v>
      </c>
      <c r="J369" s="1">
        <v>0</v>
      </c>
      <c r="K369">
        <v>1</v>
      </c>
      <c r="L369">
        <f>IF(E369="4. Renewal - MRR",IF(I369&lt;=0,0,VLOOKUP(B369,Multipliers!A:L,MATCH(K369,Multipliers!$A$1:$L$1,0),FALSE)),VLOOKUP(B369,Multipliers!A:L,MATCH(K369,Multipliers!$A$1:$L$1,0),FALSE))</f>
        <v>0</v>
      </c>
      <c r="M369">
        <f t="shared" si="20"/>
        <v>0</v>
      </c>
      <c r="N369" s="1">
        <f>_xlfn.XLOOKUP(A369,'Product Detail'!$AG:$AG,'Product Detail'!$AH:$AH,"N/A")</f>
        <v>7.9636500000000048</v>
      </c>
      <c r="O369" s="1">
        <f t="shared" si="21"/>
        <v>0</v>
      </c>
      <c r="P369" s="4">
        <f t="shared" si="22"/>
        <v>45352</v>
      </c>
      <c r="Q369" s="4">
        <f t="shared" si="23"/>
        <v>45413</v>
      </c>
    </row>
    <row r="370" spans="1:17" x14ac:dyDescent="0.25">
      <c r="A370">
        <v>38663</v>
      </c>
      <c r="B370" t="s">
        <v>132</v>
      </c>
      <c r="C370" t="str">
        <f>_xlfn.XLOOKUP(B370,Multipliers!A:A,Multipliers!C:C)</f>
        <v>Jeffrey Weight</v>
      </c>
      <c r="D370" s="3">
        <v>45299</v>
      </c>
      <c r="E370" t="s">
        <v>1877</v>
      </c>
      <c r="F370" t="s">
        <v>2081</v>
      </c>
      <c r="G370" t="s">
        <v>919</v>
      </c>
      <c r="H370">
        <v>0</v>
      </c>
      <c r="I370" s="1">
        <v>0</v>
      </c>
      <c r="J370" s="1">
        <v>0</v>
      </c>
      <c r="K370">
        <v>1</v>
      </c>
      <c r="L370">
        <f>IF(E370="4. Renewal - MRR",IF(I370&lt;=0,0,VLOOKUP(B370,Multipliers!A:L,MATCH(K370,Multipliers!$A$1:$L$1,0),FALSE)),VLOOKUP(B370,Multipliers!A:L,MATCH(K370,Multipliers!$A$1:$L$1,0),FALSE))</f>
        <v>0</v>
      </c>
      <c r="M370">
        <f t="shared" si="20"/>
        <v>0</v>
      </c>
      <c r="N370" s="1">
        <f>_xlfn.XLOOKUP(A370,'Product Detail'!$AG:$AG,'Product Detail'!$AH:$AH,"N/A")</f>
        <v>100.78800000000001</v>
      </c>
      <c r="O370" s="1">
        <f t="shared" si="21"/>
        <v>0</v>
      </c>
      <c r="P370" s="4">
        <f t="shared" si="22"/>
        <v>45352</v>
      </c>
      <c r="Q370" s="4">
        <f t="shared" si="23"/>
        <v>45413</v>
      </c>
    </row>
    <row r="371" spans="1:17" x14ac:dyDescent="0.25">
      <c r="A371">
        <v>38660</v>
      </c>
      <c r="B371" t="s">
        <v>132</v>
      </c>
      <c r="C371" t="str">
        <f>_xlfn.XLOOKUP(B371,Multipliers!A:A,Multipliers!C:C)</f>
        <v>Jeffrey Weight</v>
      </c>
      <c r="D371" s="3">
        <v>45302</v>
      </c>
      <c r="E371" t="s">
        <v>1877</v>
      </c>
      <c r="F371" t="s">
        <v>1973</v>
      </c>
      <c r="G371" t="s">
        <v>916</v>
      </c>
      <c r="H371">
        <v>0</v>
      </c>
      <c r="I371" s="1">
        <v>0</v>
      </c>
      <c r="J371" s="1">
        <v>0</v>
      </c>
      <c r="K371">
        <v>1</v>
      </c>
      <c r="L371">
        <f>IF(E371="4. Renewal - MRR",IF(I371&lt;=0,0,VLOOKUP(B371,Multipliers!A:L,MATCH(K371,Multipliers!$A$1:$L$1,0),FALSE)),VLOOKUP(B371,Multipliers!A:L,MATCH(K371,Multipliers!$A$1:$L$1,0),FALSE))</f>
        <v>0</v>
      </c>
      <c r="M371">
        <f t="shared" si="20"/>
        <v>0</v>
      </c>
      <c r="N371" s="1">
        <f>_xlfn.XLOOKUP(A371,'Product Detail'!$AG:$AG,'Product Detail'!$AH:$AH,"N/A")</f>
        <v>0.89360000000000017</v>
      </c>
      <c r="O371" s="1">
        <f t="shared" si="21"/>
        <v>0</v>
      </c>
      <c r="P371" s="4">
        <f t="shared" si="22"/>
        <v>45352</v>
      </c>
      <c r="Q371" s="4">
        <f t="shared" si="23"/>
        <v>45413</v>
      </c>
    </row>
    <row r="372" spans="1:17" x14ac:dyDescent="0.25">
      <c r="A372">
        <v>38657</v>
      </c>
      <c r="B372" t="s">
        <v>150</v>
      </c>
      <c r="C372" t="str">
        <f>_xlfn.XLOOKUP(B372,Multipliers!A:A,Multipliers!C:C)</f>
        <v>Jeffrey Weight</v>
      </c>
      <c r="D372" s="3">
        <v>45299</v>
      </c>
      <c r="E372" t="s">
        <v>1877</v>
      </c>
      <c r="F372" t="s">
        <v>2098</v>
      </c>
      <c r="G372" t="s">
        <v>911</v>
      </c>
      <c r="H372">
        <v>0</v>
      </c>
      <c r="I372" s="1">
        <v>0</v>
      </c>
      <c r="J372" s="1">
        <v>0</v>
      </c>
      <c r="K372">
        <v>1</v>
      </c>
      <c r="L372">
        <f>IF(E372="4. Renewal - MRR",IF(I372&lt;=0,0,VLOOKUP(B372,Multipliers!A:L,MATCH(K372,Multipliers!$A$1:$L$1,0),FALSE)),VLOOKUP(B372,Multipliers!A:L,MATCH(K372,Multipliers!$A$1:$L$1,0),FALSE))</f>
        <v>0</v>
      </c>
      <c r="M372">
        <f t="shared" si="20"/>
        <v>0</v>
      </c>
      <c r="N372" s="1">
        <f>_xlfn.XLOOKUP(A372,'Product Detail'!$AG:$AG,'Product Detail'!$AH:$AH,"N/A")</f>
        <v>12.800000000000004</v>
      </c>
      <c r="O372" s="1">
        <f t="shared" si="21"/>
        <v>0</v>
      </c>
      <c r="P372" s="4">
        <f t="shared" si="22"/>
        <v>45352</v>
      </c>
      <c r="Q372" s="4">
        <f t="shared" si="23"/>
        <v>45413</v>
      </c>
    </row>
    <row r="373" spans="1:17" x14ac:dyDescent="0.25">
      <c r="A373">
        <v>38651</v>
      </c>
      <c r="B373" t="s">
        <v>132</v>
      </c>
      <c r="C373" t="str">
        <f>_xlfn.XLOOKUP(B373,Multipliers!A:A,Multipliers!C:C)</f>
        <v>Jeffrey Weight</v>
      </c>
      <c r="D373" s="3">
        <v>45300</v>
      </c>
      <c r="E373" t="s">
        <v>1877</v>
      </c>
      <c r="F373" t="s">
        <v>2099</v>
      </c>
      <c r="G373" t="s">
        <v>906</v>
      </c>
      <c r="H373">
        <v>0</v>
      </c>
      <c r="I373" s="1">
        <v>0</v>
      </c>
      <c r="J373" s="1">
        <v>0</v>
      </c>
      <c r="K373">
        <v>1</v>
      </c>
      <c r="L373">
        <f>IF(E373="4. Renewal - MRR",IF(I373&lt;=0,0,VLOOKUP(B373,Multipliers!A:L,MATCH(K373,Multipliers!$A$1:$L$1,0),FALSE)),VLOOKUP(B373,Multipliers!A:L,MATCH(K373,Multipliers!$A$1:$L$1,0),FALSE))</f>
        <v>0</v>
      </c>
      <c r="M373">
        <f t="shared" si="20"/>
        <v>0</v>
      </c>
      <c r="N373" s="1">
        <f>_xlfn.XLOOKUP(A373,'Product Detail'!$AG:$AG,'Product Detail'!$AH:$AH,"N/A")</f>
        <v>34.641600000000004</v>
      </c>
      <c r="O373" s="1">
        <f t="shared" si="21"/>
        <v>0</v>
      </c>
      <c r="P373" s="4">
        <f t="shared" si="22"/>
        <v>45352</v>
      </c>
      <c r="Q373" s="4">
        <f t="shared" si="23"/>
        <v>45413</v>
      </c>
    </row>
    <row r="374" spans="1:17" x14ac:dyDescent="0.25">
      <c r="A374">
        <v>38646</v>
      </c>
      <c r="B374" t="s">
        <v>1874</v>
      </c>
      <c r="C374" t="str">
        <f>_xlfn.XLOOKUP(B374,Multipliers!A:A,Multipliers!C:C)</f>
        <v>Jeffrey Weight</v>
      </c>
      <c r="D374" s="3">
        <v>45299</v>
      </c>
      <c r="E374" t="s">
        <v>1877</v>
      </c>
      <c r="F374" t="s">
        <v>1941</v>
      </c>
      <c r="G374" t="s">
        <v>905</v>
      </c>
      <c r="H374">
        <v>0</v>
      </c>
      <c r="I374" s="1">
        <v>0</v>
      </c>
      <c r="J374" s="1">
        <v>0</v>
      </c>
      <c r="K374">
        <v>0</v>
      </c>
      <c r="L374">
        <f>IF(E374="4. Renewal - MRR",IF(I374&lt;=0,0,VLOOKUP(B374,Multipliers!A:L,MATCH(K374,Multipliers!$A$1:$L$1,0),FALSE)),VLOOKUP(B374,Multipliers!A:L,MATCH(K374,Multipliers!$A$1:$L$1,0),FALSE))</f>
        <v>0</v>
      </c>
      <c r="M374">
        <f t="shared" si="20"/>
        <v>0</v>
      </c>
      <c r="N374" s="1">
        <f>_xlfn.XLOOKUP(A374,'Product Detail'!$AG:$AG,'Product Detail'!$AH:$AH,"N/A")</f>
        <v>88</v>
      </c>
      <c r="O374" s="1">
        <f t="shared" si="21"/>
        <v>0</v>
      </c>
      <c r="P374" s="4">
        <f t="shared" si="22"/>
        <v>45352</v>
      </c>
      <c r="Q374" s="4">
        <f t="shared" si="23"/>
        <v>45413</v>
      </c>
    </row>
    <row r="375" spans="1:17" x14ac:dyDescent="0.25">
      <c r="A375">
        <v>39307</v>
      </c>
      <c r="B375" t="s">
        <v>47</v>
      </c>
      <c r="C375" t="str">
        <f>_xlfn.XLOOKUP(B375,Multipliers!A:A,Multipliers!C:C)</f>
        <v>John Powell</v>
      </c>
      <c r="D375" s="3">
        <v>45321</v>
      </c>
      <c r="E375" t="s">
        <v>1877</v>
      </c>
      <c r="F375" t="s">
        <v>1977</v>
      </c>
      <c r="G375" t="s">
        <v>1592</v>
      </c>
      <c r="H375">
        <v>0</v>
      </c>
      <c r="I375" s="1">
        <v>0</v>
      </c>
      <c r="J375" s="1">
        <v>0</v>
      </c>
      <c r="K375">
        <v>1</v>
      </c>
      <c r="L375">
        <f>IF(E375="4. Renewal - MRR",IF(I375&lt;=0,0,VLOOKUP(B375,Multipliers!A:L,MATCH(K375,Multipliers!$A$1:$L$1,0),FALSE)),VLOOKUP(B375,Multipliers!A:L,MATCH(K375,Multipliers!$A$1:$L$1,0),FALSE))</f>
        <v>0</v>
      </c>
      <c r="M375">
        <f t="shared" si="20"/>
        <v>0</v>
      </c>
      <c r="N375" s="1">
        <f>_xlfn.XLOOKUP(A375,'Product Detail'!$AG:$AG,'Product Detail'!$AH:$AH,"N/A")</f>
        <v>22.529250000000005</v>
      </c>
      <c r="O375" s="1">
        <f t="shared" si="21"/>
        <v>0</v>
      </c>
      <c r="P375" s="4">
        <f t="shared" si="22"/>
        <v>45352</v>
      </c>
      <c r="Q375" s="4">
        <f t="shared" si="23"/>
        <v>45413</v>
      </c>
    </row>
    <row r="376" spans="1:17" x14ac:dyDescent="0.25">
      <c r="A376">
        <v>39309</v>
      </c>
      <c r="B376" t="s">
        <v>51</v>
      </c>
      <c r="C376" t="str">
        <f>_xlfn.XLOOKUP(B376,Multipliers!A:A,Multipliers!C:C)</f>
        <v>John Powell</v>
      </c>
      <c r="D376" s="3">
        <v>45321</v>
      </c>
      <c r="E376" t="s">
        <v>1881</v>
      </c>
      <c r="F376" t="s">
        <v>1929</v>
      </c>
      <c r="G376" t="s">
        <v>1601</v>
      </c>
      <c r="H376">
        <v>0</v>
      </c>
      <c r="I376" s="1">
        <v>0</v>
      </c>
      <c r="J376" s="1">
        <v>0</v>
      </c>
      <c r="K376">
        <v>1</v>
      </c>
      <c r="L376">
        <f>IF(E376="4. Renewal - MRR",IF(I376&lt;=0,0,VLOOKUP(B376,Multipliers!A:L,MATCH(K376,Multipliers!$A$1:$L$1,0),FALSE)),VLOOKUP(B376,Multipliers!A:L,MATCH(K376,Multipliers!$A$1:$L$1,0),FALSE))</f>
        <v>0</v>
      </c>
      <c r="M376">
        <f t="shared" si="20"/>
        <v>0</v>
      </c>
      <c r="N376" s="1">
        <f>_xlfn.XLOOKUP(A376,'Product Detail'!$AG:$AG,'Product Detail'!$AH:$AH,"N/A")</f>
        <v>3.0022000000000046</v>
      </c>
      <c r="O376" s="1">
        <f t="shared" si="21"/>
        <v>0</v>
      </c>
      <c r="P376" s="4">
        <f t="shared" si="22"/>
        <v>45352</v>
      </c>
      <c r="Q376" s="4">
        <f t="shared" si="23"/>
        <v>45413</v>
      </c>
    </row>
    <row r="377" spans="1:17" x14ac:dyDescent="0.25">
      <c r="A377">
        <v>38641</v>
      </c>
      <c r="B377" t="s">
        <v>184</v>
      </c>
      <c r="C377" t="str">
        <f>_xlfn.XLOOKUP(B377,Multipliers!A:A,Multipliers!C:C)</f>
        <v>Jeffrey Weight</v>
      </c>
      <c r="D377" s="3">
        <v>45302</v>
      </c>
      <c r="E377" t="s">
        <v>1877</v>
      </c>
      <c r="F377" t="s">
        <v>1998</v>
      </c>
      <c r="G377" t="s">
        <v>890</v>
      </c>
      <c r="H377">
        <v>0</v>
      </c>
      <c r="I377" s="1">
        <v>0</v>
      </c>
      <c r="J377" s="1">
        <v>0</v>
      </c>
      <c r="K377">
        <v>1</v>
      </c>
      <c r="L377">
        <f>IF(E377="4. Renewal - MRR",IF(I377&lt;=0,0,VLOOKUP(B377,Multipliers!A:L,MATCH(K377,Multipliers!$A$1:$L$1,0),FALSE)),VLOOKUP(B377,Multipliers!A:L,MATCH(K377,Multipliers!$A$1:$L$1,0),FALSE))</f>
        <v>0</v>
      </c>
      <c r="M377">
        <f t="shared" si="20"/>
        <v>0</v>
      </c>
      <c r="N377" s="1">
        <f>_xlfn.XLOOKUP(A377,'Product Detail'!$AG:$AG,'Product Detail'!$AH:$AH,"N/A")</f>
        <v>0</v>
      </c>
      <c r="O377" s="1">
        <f t="shared" si="21"/>
        <v>0</v>
      </c>
      <c r="P377" s="4">
        <f t="shared" si="22"/>
        <v>45352</v>
      </c>
      <c r="Q377" s="4">
        <f t="shared" si="23"/>
        <v>45413</v>
      </c>
    </row>
    <row r="378" spans="1:17" x14ac:dyDescent="0.25">
      <c r="A378">
        <v>38640</v>
      </c>
      <c r="B378" t="s">
        <v>132</v>
      </c>
      <c r="C378" t="str">
        <f>_xlfn.XLOOKUP(B378,Multipliers!A:A,Multipliers!C:C)</f>
        <v>Jeffrey Weight</v>
      </c>
      <c r="D378" s="3">
        <v>45309</v>
      </c>
      <c r="E378" t="s">
        <v>1877</v>
      </c>
      <c r="F378" t="s">
        <v>2101</v>
      </c>
      <c r="G378" t="s">
        <v>889</v>
      </c>
      <c r="H378">
        <v>0</v>
      </c>
      <c r="I378" s="1">
        <v>0</v>
      </c>
      <c r="J378" s="1">
        <v>0</v>
      </c>
      <c r="K378">
        <v>1</v>
      </c>
      <c r="L378">
        <f>IF(E378="4. Renewal - MRR",IF(I378&lt;=0,0,VLOOKUP(B378,Multipliers!A:L,MATCH(K378,Multipliers!$A$1:$L$1,0),FALSE)),VLOOKUP(B378,Multipliers!A:L,MATCH(K378,Multipliers!$A$1:$L$1,0),FALSE))</f>
        <v>0</v>
      </c>
      <c r="M378">
        <f t="shared" si="20"/>
        <v>0</v>
      </c>
      <c r="N378" s="1">
        <f>_xlfn.XLOOKUP(A378,'Product Detail'!$AG:$AG,'Product Detail'!$AH:$AH,"N/A")</f>
        <v>108</v>
      </c>
      <c r="O378" s="1">
        <f t="shared" si="21"/>
        <v>0</v>
      </c>
      <c r="P378" s="4">
        <f t="shared" si="22"/>
        <v>45352</v>
      </c>
      <c r="Q378" s="4">
        <f t="shared" si="23"/>
        <v>45413</v>
      </c>
    </row>
    <row r="379" spans="1:17" x14ac:dyDescent="0.25">
      <c r="A379">
        <v>38639</v>
      </c>
      <c r="B379" t="s">
        <v>174</v>
      </c>
      <c r="C379" t="str">
        <f>_xlfn.XLOOKUP(B379,Multipliers!A:A,Multipliers!C:C)</f>
        <v>Anthony Laiewski</v>
      </c>
      <c r="D379" s="3">
        <v>45296</v>
      </c>
      <c r="E379" t="s">
        <v>1877</v>
      </c>
      <c r="F379" t="s">
        <v>2102</v>
      </c>
      <c r="G379" t="s">
        <v>884</v>
      </c>
      <c r="H379">
        <v>0</v>
      </c>
      <c r="I379" s="1">
        <v>0</v>
      </c>
      <c r="J379" s="1">
        <v>0</v>
      </c>
      <c r="K379">
        <v>1</v>
      </c>
      <c r="L379">
        <f>IF(E379="4. Renewal - MRR",IF(I379&lt;=0,0,VLOOKUP(B379,Multipliers!A:L,MATCH(K379,Multipliers!$A$1:$L$1,0),FALSE)),VLOOKUP(B379,Multipliers!A:L,MATCH(K379,Multipliers!$A$1:$L$1,0),FALSE))</f>
        <v>0</v>
      </c>
      <c r="M379">
        <f t="shared" si="20"/>
        <v>0</v>
      </c>
      <c r="N379" s="1">
        <f>_xlfn.XLOOKUP(A379,'Product Detail'!$AG:$AG,'Product Detail'!$AH:$AH,"N/A")</f>
        <v>0</v>
      </c>
      <c r="O379" s="1">
        <f t="shared" si="21"/>
        <v>0</v>
      </c>
      <c r="P379" s="4">
        <f t="shared" si="22"/>
        <v>45352</v>
      </c>
      <c r="Q379" s="4">
        <f t="shared" si="23"/>
        <v>45413</v>
      </c>
    </row>
    <row r="380" spans="1:17" x14ac:dyDescent="0.25">
      <c r="A380">
        <v>38638</v>
      </c>
      <c r="B380" t="s">
        <v>140</v>
      </c>
      <c r="C380" t="str">
        <f>_xlfn.XLOOKUP(B380,Multipliers!A:A,Multipliers!C:C)</f>
        <v>Jeffrey Weight</v>
      </c>
      <c r="D380" s="3">
        <v>45308</v>
      </c>
      <c r="E380" t="s">
        <v>1877</v>
      </c>
      <c r="F380" t="s">
        <v>2103</v>
      </c>
      <c r="G380" t="s">
        <v>881</v>
      </c>
      <c r="H380">
        <v>0</v>
      </c>
      <c r="I380" s="1">
        <v>0</v>
      </c>
      <c r="J380" s="1">
        <v>0</v>
      </c>
      <c r="K380">
        <v>1</v>
      </c>
      <c r="L380">
        <f>IF(E380="4. Renewal - MRR",IF(I380&lt;=0,0,VLOOKUP(B380,Multipliers!A:L,MATCH(K380,Multipliers!$A$1:$L$1,0),FALSE)),VLOOKUP(B380,Multipliers!A:L,MATCH(K380,Multipliers!$A$1:$L$1,0),FALSE))</f>
        <v>0</v>
      </c>
      <c r="M380">
        <f t="shared" si="20"/>
        <v>0</v>
      </c>
      <c r="N380" s="1">
        <f>_xlfn.XLOOKUP(A380,'Product Detail'!$AG:$AG,'Product Detail'!$AH:$AH,"N/A")</f>
        <v>12.096000000000004</v>
      </c>
      <c r="O380" s="1">
        <f t="shared" si="21"/>
        <v>0</v>
      </c>
      <c r="P380" s="4">
        <f t="shared" si="22"/>
        <v>45352</v>
      </c>
      <c r="Q380" s="4">
        <f t="shared" si="23"/>
        <v>45413</v>
      </c>
    </row>
    <row r="381" spans="1:17" x14ac:dyDescent="0.25">
      <c r="A381">
        <v>38632</v>
      </c>
      <c r="B381" t="s">
        <v>178</v>
      </c>
      <c r="C381">
        <f>_xlfn.XLOOKUP(B381,Multipliers!A:A,Multipliers!C:C)</f>
        <v>0</v>
      </c>
      <c r="D381" s="3">
        <v>45299</v>
      </c>
      <c r="E381" t="s">
        <v>1881</v>
      </c>
      <c r="F381" t="s">
        <v>2015</v>
      </c>
      <c r="G381" t="s">
        <v>876</v>
      </c>
      <c r="H381">
        <v>0</v>
      </c>
      <c r="I381" s="1">
        <v>0</v>
      </c>
      <c r="J381" s="1">
        <v>0</v>
      </c>
      <c r="K381">
        <v>1</v>
      </c>
      <c r="L381">
        <f>IF(E381="4. Renewal - MRR",IF(I381&lt;=0,0,VLOOKUP(B381,Multipliers!A:L,MATCH(K381,Multipliers!$A$1:$L$1,0),FALSE)),VLOOKUP(B381,Multipliers!A:L,MATCH(K381,Multipliers!$A$1:$L$1,0),FALSE))</f>
        <v>0</v>
      </c>
      <c r="M381">
        <f t="shared" si="20"/>
        <v>0</v>
      </c>
      <c r="N381" s="1">
        <f>_xlfn.XLOOKUP(A381,'Product Detail'!$AG:$AG,'Product Detail'!$AH:$AH,"N/A")</f>
        <v>0</v>
      </c>
      <c r="O381" s="1">
        <f t="shared" si="21"/>
        <v>0</v>
      </c>
      <c r="P381" s="4">
        <f t="shared" si="22"/>
        <v>45352</v>
      </c>
      <c r="Q381" s="4">
        <f t="shared" si="23"/>
        <v>45413</v>
      </c>
    </row>
    <row r="382" spans="1:17" x14ac:dyDescent="0.25">
      <c r="A382">
        <v>39348</v>
      </c>
      <c r="B382" t="s">
        <v>56</v>
      </c>
      <c r="C382" t="str">
        <f>_xlfn.XLOOKUP(B382,Multipliers!A:A,Multipliers!C:C)</f>
        <v>John Powell</v>
      </c>
      <c r="D382" s="3">
        <v>45321</v>
      </c>
      <c r="E382" t="s">
        <v>1877</v>
      </c>
      <c r="F382" t="s">
        <v>2004</v>
      </c>
      <c r="G382" t="s">
        <v>1665</v>
      </c>
      <c r="H382">
        <v>0</v>
      </c>
      <c r="I382" s="1">
        <v>0</v>
      </c>
      <c r="J382" s="1">
        <v>0</v>
      </c>
      <c r="K382">
        <v>1</v>
      </c>
      <c r="L382">
        <f>IF(E382="4. Renewal - MRR",IF(I382&lt;=0,0,VLOOKUP(B382,Multipliers!A:L,MATCH(K382,Multipliers!$A$1:$L$1,0),FALSE)),VLOOKUP(B382,Multipliers!A:L,MATCH(K382,Multipliers!$A$1:$L$1,0),FALSE))</f>
        <v>0</v>
      </c>
      <c r="M382">
        <f t="shared" si="20"/>
        <v>0</v>
      </c>
      <c r="N382" s="1">
        <f>_xlfn.XLOOKUP(A382,'Product Detail'!$AG:$AG,'Product Detail'!$AH:$AH,"N/A")</f>
        <v>11.575299999999997</v>
      </c>
      <c r="O382" s="1">
        <f t="shared" si="21"/>
        <v>0</v>
      </c>
      <c r="P382" s="4">
        <f t="shared" si="22"/>
        <v>45352</v>
      </c>
      <c r="Q382" s="4">
        <f t="shared" si="23"/>
        <v>45413</v>
      </c>
    </row>
    <row r="383" spans="1:17" x14ac:dyDescent="0.25">
      <c r="A383">
        <v>38624</v>
      </c>
      <c r="B383" t="s">
        <v>1874</v>
      </c>
      <c r="C383" t="str">
        <f>_xlfn.XLOOKUP(B383,Multipliers!A:A,Multipliers!C:C)</f>
        <v>Jeffrey Weight</v>
      </c>
      <c r="D383" s="3">
        <v>45299</v>
      </c>
      <c r="E383" t="s">
        <v>1878</v>
      </c>
      <c r="F383" t="s">
        <v>2068</v>
      </c>
      <c r="G383" t="s">
        <v>867</v>
      </c>
      <c r="H383">
        <v>0</v>
      </c>
      <c r="I383" s="1">
        <v>0</v>
      </c>
      <c r="J383" s="1">
        <v>0</v>
      </c>
      <c r="K383">
        <v>1</v>
      </c>
      <c r="L383">
        <f>IF(E383="4. Renewal - MRR",IF(I383&lt;=0,0,VLOOKUP(B383,Multipliers!A:L,MATCH(K383,Multipliers!$A$1:$L$1,0),FALSE)),VLOOKUP(B383,Multipliers!A:L,MATCH(K383,Multipliers!$A$1:$L$1,0),FALSE))</f>
        <v>0</v>
      </c>
      <c r="M383">
        <f t="shared" si="20"/>
        <v>0</v>
      </c>
      <c r="N383" s="1">
        <f>_xlfn.XLOOKUP(A383,'Product Detail'!$AG:$AG,'Product Detail'!$AH:$AH,"N/A")</f>
        <v>-17.88</v>
      </c>
      <c r="O383" s="1">
        <f t="shared" si="21"/>
        <v>0</v>
      </c>
      <c r="P383" s="4">
        <f t="shared" si="22"/>
        <v>45352</v>
      </c>
      <c r="Q383" s="4">
        <f t="shared" si="23"/>
        <v>45413</v>
      </c>
    </row>
    <row r="384" spans="1:17" x14ac:dyDescent="0.25">
      <c r="A384">
        <v>38620</v>
      </c>
      <c r="B384" t="s">
        <v>132</v>
      </c>
      <c r="C384" t="str">
        <f>_xlfn.XLOOKUP(B384,Multipliers!A:A,Multipliers!C:C)</f>
        <v>Jeffrey Weight</v>
      </c>
      <c r="D384" s="3">
        <v>45296</v>
      </c>
      <c r="E384" t="s">
        <v>1877</v>
      </c>
      <c r="F384" t="s">
        <v>1983</v>
      </c>
      <c r="G384" t="s">
        <v>864</v>
      </c>
      <c r="H384">
        <v>0</v>
      </c>
      <c r="I384" s="1">
        <v>0</v>
      </c>
      <c r="J384" s="1">
        <v>0</v>
      </c>
      <c r="K384">
        <v>1</v>
      </c>
      <c r="L384">
        <f>IF(E384="4. Renewal - MRR",IF(I384&lt;=0,0,VLOOKUP(B384,Multipliers!A:L,MATCH(K384,Multipliers!$A$1:$L$1,0),FALSE)),VLOOKUP(B384,Multipliers!A:L,MATCH(K384,Multipliers!$A$1:$L$1,0),FALSE))</f>
        <v>0</v>
      </c>
      <c r="M384">
        <f t="shared" si="20"/>
        <v>0</v>
      </c>
      <c r="N384" s="1">
        <f>_xlfn.XLOOKUP(A384,'Product Detail'!$AG:$AG,'Product Detail'!$AH:$AH,"N/A")</f>
        <v>14.298399999999992</v>
      </c>
      <c r="O384" s="1">
        <f t="shared" si="21"/>
        <v>0</v>
      </c>
      <c r="P384" s="4">
        <f t="shared" si="22"/>
        <v>45352</v>
      </c>
      <c r="Q384" s="4">
        <f t="shared" si="23"/>
        <v>45413</v>
      </c>
    </row>
    <row r="385" spans="1:17" x14ac:dyDescent="0.25">
      <c r="A385">
        <v>38619</v>
      </c>
      <c r="B385" t="s">
        <v>1874</v>
      </c>
      <c r="C385" t="str">
        <f>_xlfn.XLOOKUP(B385,Multipliers!A:A,Multipliers!C:C)</f>
        <v>Jeffrey Weight</v>
      </c>
      <c r="D385" s="3">
        <v>45300</v>
      </c>
      <c r="E385" t="s">
        <v>1877</v>
      </c>
      <c r="F385" t="s">
        <v>2069</v>
      </c>
      <c r="G385" t="s">
        <v>859</v>
      </c>
      <c r="H385">
        <v>0</v>
      </c>
      <c r="I385" s="1">
        <v>0</v>
      </c>
      <c r="J385" s="1">
        <v>0</v>
      </c>
      <c r="K385">
        <v>1</v>
      </c>
      <c r="L385">
        <f>IF(E385="4. Renewal - MRR",IF(I385&lt;=0,0,VLOOKUP(B385,Multipliers!A:L,MATCH(K385,Multipliers!$A$1:$L$1,0),FALSE)),VLOOKUP(B385,Multipliers!A:L,MATCH(K385,Multipliers!$A$1:$L$1,0),FALSE))</f>
        <v>0</v>
      </c>
      <c r="M385">
        <f t="shared" si="20"/>
        <v>0</v>
      </c>
      <c r="N385" s="1">
        <f>_xlfn.XLOOKUP(A385,'Product Detail'!$AG:$AG,'Product Detail'!$AH:$AH,"N/A")</f>
        <v>16.978400000000004</v>
      </c>
      <c r="O385" s="1">
        <f t="shared" si="21"/>
        <v>0</v>
      </c>
      <c r="P385" s="4">
        <f t="shared" si="22"/>
        <v>45352</v>
      </c>
      <c r="Q385" s="4">
        <f t="shared" si="23"/>
        <v>45413</v>
      </c>
    </row>
    <row r="386" spans="1:17" x14ac:dyDescent="0.25">
      <c r="A386">
        <v>38617</v>
      </c>
      <c r="B386" t="s">
        <v>1874</v>
      </c>
      <c r="C386" t="str">
        <f>_xlfn.XLOOKUP(B386,Multipliers!A:A,Multipliers!C:C)</f>
        <v>Jeffrey Weight</v>
      </c>
      <c r="D386" s="3">
        <v>45295</v>
      </c>
      <c r="E386" t="s">
        <v>1877</v>
      </c>
      <c r="F386" t="s">
        <v>2066</v>
      </c>
      <c r="G386" t="s">
        <v>856</v>
      </c>
      <c r="H386">
        <v>0</v>
      </c>
      <c r="I386" s="1">
        <v>0</v>
      </c>
      <c r="J386" s="1">
        <v>0</v>
      </c>
      <c r="K386">
        <v>1</v>
      </c>
      <c r="L386">
        <f>IF(E386="4. Renewal - MRR",IF(I386&lt;=0,0,VLOOKUP(B386,Multipliers!A:L,MATCH(K386,Multipliers!$A$1:$L$1,0),FALSE)),VLOOKUP(B386,Multipliers!A:L,MATCH(K386,Multipliers!$A$1:$L$1,0),FALSE))</f>
        <v>0</v>
      </c>
      <c r="M386">
        <f t="shared" ref="M386:M449" si="24">IF(E386="4. Renewal - MRR",IF(K386&gt;24,0.25,0),0)</f>
        <v>0</v>
      </c>
      <c r="N386" s="1">
        <f>_xlfn.XLOOKUP(A386,'Product Detail'!$AG:$AG,'Product Detail'!$AH:$AH,"N/A")</f>
        <v>28.009999999999998</v>
      </c>
      <c r="O386" s="1">
        <f t="shared" ref="O386:O449" si="25">I386*L386+J386*M386</f>
        <v>0</v>
      </c>
      <c r="P386" s="4">
        <f t="shared" ref="P386:P449" si="26">EOMONTH(D386,1)+1</f>
        <v>45352</v>
      </c>
      <c r="Q386" s="4">
        <f t="shared" ref="Q386:Q449" si="27">EOMONTH(D386,3)+1</f>
        <v>45413</v>
      </c>
    </row>
    <row r="387" spans="1:17" x14ac:dyDescent="0.25">
      <c r="A387">
        <v>38616</v>
      </c>
      <c r="B387" t="s">
        <v>140</v>
      </c>
      <c r="C387" t="str">
        <f>_xlfn.XLOOKUP(B387,Multipliers!A:A,Multipliers!C:C)</f>
        <v>Jeffrey Weight</v>
      </c>
      <c r="D387" s="3">
        <v>45299</v>
      </c>
      <c r="E387" t="s">
        <v>1877</v>
      </c>
      <c r="F387" t="s">
        <v>2104</v>
      </c>
      <c r="G387" t="s">
        <v>853</v>
      </c>
      <c r="H387">
        <v>0</v>
      </c>
      <c r="I387" s="1">
        <v>0</v>
      </c>
      <c r="J387" s="1">
        <v>0</v>
      </c>
      <c r="K387">
        <v>1</v>
      </c>
      <c r="L387">
        <f>IF(E387="4. Renewal - MRR",IF(I387&lt;=0,0,VLOOKUP(B387,Multipliers!A:L,MATCH(K387,Multipliers!$A$1:$L$1,0),FALSE)),VLOOKUP(B387,Multipliers!A:L,MATCH(K387,Multipliers!$A$1:$L$1,0),FALSE))</f>
        <v>0</v>
      </c>
      <c r="M387">
        <f t="shared" si="24"/>
        <v>0</v>
      </c>
      <c r="N387" s="1">
        <f>_xlfn.XLOOKUP(A387,'Product Detail'!$AG:$AG,'Product Detail'!$AH:$AH,"N/A")</f>
        <v>9.6992000000000012</v>
      </c>
      <c r="O387" s="1">
        <f t="shared" si="25"/>
        <v>0</v>
      </c>
      <c r="P387" s="4">
        <f t="shared" si="26"/>
        <v>45352</v>
      </c>
      <c r="Q387" s="4">
        <f t="shared" si="27"/>
        <v>45413</v>
      </c>
    </row>
    <row r="388" spans="1:17" x14ac:dyDescent="0.25">
      <c r="A388">
        <v>38610</v>
      </c>
      <c r="B388" t="s">
        <v>174</v>
      </c>
      <c r="C388" t="str">
        <f>_xlfn.XLOOKUP(B388,Multipliers!A:A,Multipliers!C:C)</f>
        <v>Anthony Laiewski</v>
      </c>
      <c r="D388" s="3">
        <v>45300</v>
      </c>
      <c r="E388" t="s">
        <v>1881</v>
      </c>
      <c r="F388" t="s">
        <v>2105</v>
      </c>
      <c r="G388" t="s">
        <v>847</v>
      </c>
      <c r="H388">
        <v>0</v>
      </c>
      <c r="I388" s="1">
        <v>0</v>
      </c>
      <c r="J388" s="1">
        <v>0</v>
      </c>
      <c r="K388">
        <v>1</v>
      </c>
      <c r="L388">
        <f>IF(E388="4. Renewal - MRR",IF(I388&lt;=0,0,VLOOKUP(B388,Multipliers!A:L,MATCH(K388,Multipliers!$A$1:$L$1,0),FALSE)),VLOOKUP(B388,Multipliers!A:L,MATCH(K388,Multipliers!$A$1:$L$1,0),FALSE))</f>
        <v>0</v>
      </c>
      <c r="M388">
        <f t="shared" si="24"/>
        <v>0</v>
      </c>
      <c r="N388" s="1">
        <f>_xlfn.XLOOKUP(A388,'Product Detail'!$AG:$AG,'Product Detail'!$AH:$AH,"N/A")</f>
        <v>0</v>
      </c>
      <c r="O388" s="1">
        <f t="shared" si="25"/>
        <v>0</v>
      </c>
      <c r="P388" s="4">
        <f t="shared" si="26"/>
        <v>45352</v>
      </c>
      <c r="Q388" s="4">
        <f t="shared" si="27"/>
        <v>45413</v>
      </c>
    </row>
    <row r="389" spans="1:17" x14ac:dyDescent="0.25">
      <c r="A389">
        <v>38609</v>
      </c>
      <c r="B389" t="s">
        <v>174</v>
      </c>
      <c r="C389" t="str">
        <f>_xlfn.XLOOKUP(B389,Multipliers!A:A,Multipliers!C:C)</f>
        <v>Anthony Laiewski</v>
      </c>
      <c r="D389" s="3">
        <v>45300</v>
      </c>
      <c r="E389" t="s">
        <v>1881</v>
      </c>
      <c r="F389" t="s">
        <v>2106</v>
      </c>
      <c r="G389" t="s">
        <v>843</v>
      </c>
      <c r="H389">
        <v>0</v>
      </c>
      <c r="I389" s="1">
        <v>0</v>
      </c>
      <c r="J389" s="1">
        <v>0</v>
      </c>
      <c r="K389">
        <v>1</v>
      </c>
      <c r="L389">
        <f>IF(E389="4. Renewal - MRR",IF(I389&lt;=0,0,VLOOKUP(B389,Multipliers!A:L,MATCH(K389,Multipliers!$A$1:$L$1,0),FALSE)),VLOOKUP(B389,Multipliers!A:L,MATCH(K389,Multipliers!$A$1:$L$1,0),FALSE))</f>
        <v>0</v>
      </c>
      <c r="M389">
        <f t="shared" si="24"/>
        <v>0</v>
      </c>
      <c r="N389" s="1">
        <f>_xlfn.XLOOKUP(A389,'Product Detail'!$AG:$AG,'Product Detail'!$AH:$AH,"N/A")</f>
        <v>0</v>
      </c>
      <c r="O389" s="1">
        <f t="shared" si="25"/>
        <v>0</v>
      </c>
      <c r="P389" s="4">
        <f t="shared" si="26"/>
        <v>45352</v>
      </c>
      <c r="Q389" s="4">
        <f t="shared" si="27"/>
        <v>45413</v>
      </c>
    </row>
    <row r="390" spans="1:17" x14ac:dyDescent="0.25">
      <c r="A390">
        <v>38597</v>
      </c>
      <c r="B390" t="s">
        <v>1874</v>
      </c>
      <c r="C390" t="str">
        <f>_xlfn.XLOOKUP(B390,Multipliers!A:A,Multipliers!C:C)</f>
        <v>Jeffrey Weight</v>
      </c>
      <c r="D390" s="3">
        <v>45303</v>
      </c>
      <c r="E390" t="s">
        <v>1877</v>
      </c>
      <c r="F390" t="s">
        <v>2068</v>
      </c>
      <c r="G390" t="s">
        <v>837</v>
      </c>
      <c r="H390">
        <v>0</v>
      </c>
      <c r="I390" s="1">
        <v>0</v>
      </c>
      <c r="J390" s="1">
        <v>0</v>
      </c>
      <c r="K390">
        <v>1</v>
      </c>
      <c r="L390">
        <f>IF(E390="4. Renewal - MRR",IF(I390&lt;=0,0,VLOOKUP(B390,Multipliers!A:L,MATCH(K390,Multipliers!$A$1:$L$1,0),FALSE)),VLOOKUP(B390,Multipliers!A:L,MATCH(K390,Multipliers!$A$1:$L$1,0),FALSE))</f>
        <v>0</v>
      </c>
      <c r="M390">
        <f t="shared" si="24"/>
        <v>0</v>
      </c>
      <c r="N390" s="1">
        <f>_xlfn.XLOOKUP(A390,'Product Detail'!$AG:$AG,'Product Detail'!$AH:$AH,"N/A")</f>
        <v>45.86480000000001</v>
      </c>
      <c r="O390" s="1">
        <f t="shared" si="25"/>
        <v>0</v>
      </c>
      <c r="P390" s="4">
        <f t="shared" si="26"/>
        <v>45352</v>
      </c>
      <c r="Q390" s="4">
        <f t="shared" si="27"/>
        <v>45413</v>
      </c>
    </row>
    <row r="391" spans="1:17" x14ac:dyDescent="0.25">
      <c r="A391">
        <v>38595</v>
      </c>
      <c r="B391" t="s">
        <v>132</v>
      </c>
      <c r="C391" t="str">
        <f>_xlfn.XLOOKUP(B391,Multipliers!A:A,Multipliers!C:C)</f>
        <v>Jeffrey Weight</v>
      </c>
      <c r="D391" s="3">
        <v>45296</v>
      </c>
      <c r="E391" t="s">
        <v>1877</v>
      </c>
      <c r="F391" t="s">
        <v>2107</v>
      </c>
      <c r="G391" t="s">
        <v>834</v>
      </c>
      <c r="H391">
        <v>0</v>
      </c>
      <c r="I391" s="1">
        <v>0</v>
      </c>
      <c r="J391" s="1">
        <v>0</v>
      </c>
      <c r="K391">
        <v>1</v>
      </c>
      <c r="L391">
        <f>IF(E391="4. Renewal - MRR",IF(I391&lt;=0,0,VLOOKUP(B391,Multipliers!A:L,MATCH(K391,Multipliers!$A$1:$L$1,0),FALSE)),VLOOKUP(B391,Multipliers!A:L,MATCH(K391,Multipliers!$A$1:$L$1,0),FALSE))</f>
        <v>0</v>
      </c>
      <c r="M391">
        <f t="shared" si="24"/>
        <v>0</v>
      </c>
      <c r="N391" s="1">
        <f>_xlfn.XLOOKUP(A391,'Product Detail'!$AG:$AG,'Product Detail'!$AH:$AH,"N/A")</f>
        <v>48.300000000000004</v>
      </c>
      <c r="O391" s="1">
        <f t="shared" si="25"/>
        <v>0</v>
      </c>
      <c r="P391" s="4">
        <f t="shared" si="26"/>
        <v>45352</v>
      </c>
      <c r="Q391" s="4">
        <f t="shared" si="27"/>
        <v>45413</v>
      </c>
    </row>
    <row r="392" spans="1:17" x14ac:dyDescent="0.25">
      <c r="A392">
        <v>38594</v>
      </c>
      <c r="B392" t="s">
        <v>1874</v>
      </c>
      <c r="C392" t="str">
        <f>_xlfn.XLOOKUP(B392,Multipliers!A:A,Multipliers!C:C)</f>
        <v>Jeffrey Weight</v>
      </c>
      <c r="D392" s="3">
        <v>45309</v>
      </c>
      <c r="E392" t="s">
        <v>1877</v>
      </c>
      <c r="F392" t="s">
        <v>1986</v>
      </c>
      <c r="G392" t="s">
        <v>831</v>
      </c>
      <c r="H392">
        <v>0</v>
      </c>
      <c r="I392" s="1">
        <v>0</v>
      </c>
      <c r="J392" s="1">
        <v>0</v>
      </c>
      <c r="K392">
        <v>1</v>
      </c>
      <c r="L392">
        <f>IF(E392="4. Renewal - MRR",IF(I392&lt;=0,0,VLOOKUP(B392,Multipliers!A:L,MATCH(K392,Multipliers!$A$1:$L$1,0),FALSE)),VLOOKUP(B392,Multipliers!A:L,MATCH(K392,Multipliers!$A$1:$L$1,0),FALSE))</f>
        <v>0</v>
      </c>
      <c r="M392">
        <f t="shared" si="24"/>
        <v>0</v>
      </c>
      <c r="N392" s="1">
        <f>_xlfn.XLOOKUP(A392,'Product Detail'!$AG:$AG,'Product Detail'!$AH:$AH,"N/A")</f>
        <v>35.985599999999998</v>
      </c>
      <c r="O392" s="1">
        <f t="shared" si="25"/>
        <v>0</v>
      </c>
      <c r="P392" s="4">
        <f t="shared" si="26"/>
        <v>45352</v>
      </c>
      <c r="Q392" s="4">
        <f t="shared" si="27"/>
        <v>45413</v>
      </c>
    </row>
    <row r="393" spans="1:17" x14ac:dyDescent="0.25">
      <c r="A393">
        <v>38592</v>
      </c>
      <c r="B393" t="s">
        <v>184</v>
      </c>
      <c r="C393" t="str">
        <f>_xlfn.XLOOKUP(B393,Multipliers!A:A,Multipliers!C:C)</f>
        <v>Jeffrey Weight</v>
      </c>
      <c r="D393" s="3">
        <v>45303</v>
      </c>
      <c r="E393" t="s">
        <v>1877</v>
      </c>
      <c r="F393" t="s">
        <v>1998</v>
      </c>
      <c r="G393" t="s">
        <v>828</v>
      </c>
      <c r="H393">
        <v>0</v>
      </c>
      <c r="I393" s="1">
        <v>0</v>
      </c>
      <c r="J393" s="1">
        <v>0</v>
      </c>
      <c r="K393">
        <v>1</v>
      </c>
      <c r="L393">
        <f>IF(E393="4. Renewal - MRR",IF(I393&lt;=0,0,VLOOKUP(B393,Multipliers!A:L,MATCH(K393,Multipliers!$A$1:$L$1,0),FALSE)),VLOOKUP(B393,Multipliers!A:L,MATCH(K393,Multipliers!$A$1:$L$1,0),FALSE))</f>
        <v>0</v>
      </c>
      <c r="M393">
        <f t="shared" si="24"/>
        <v>0</v>
      </c>
      <c r="N393" s="1">
        <f>_xlfn.XLOOKUP(A393,'Product Detail'!$AG:$AG,'Product Detail'!$AH:$AH,"N/A")</f>
        <v>0</v>
      </c>
      <c r="O393" s="1">
        <f t="shared" si="25"/>
        <v>0</v>
      </c>
      <c r="P393" s="4">
        <f t="shared" si="26"/>
        <v>45352</v>
      </c>
      <c r="Q393" s="4">
        <f t="shared" si="27"/>
        <v>45413</v>
      </c>
    </row>
    <row r="394" spans="1:17" x14ac:dyDescent="0.25">
      <c r="A394">
        <v>38591</v>
      </c>
      <c r="B394" t="s">
        <v>107</v>
      </c>
      <c r="C394" t="str">
        <f>_xlfn.XLOOKUP(B394,Multipliers!A:A,Multipliers!C:C)</f>
        <v>Luis Blanco</v>
      </c>
      <c r="D394" s="3">
        <v>45299</v>
      </c>
      <c r="E394" t="s">
        <v>1877</v>
      </c>
      <c r="F394" t="s">
        <v>2079</v>
      </c>
      <c r="G394" t="s">
        <v>825</v>
      </c>
      <c r="H394">
        <v>0</v>
      </c>
      <c r="I394" s="1">
        <v>0</v>
      </c>
      <c r="J394" s="1">
        <v>0</v>
      </c>
      <c r="K394">
        <v>1</v>
      </c>
      <c r="L394">
        <f>IF(E394="4. Renewal - MRR",IF(I394&lt;=0,0,VLOOKUP(B394,Multipliers!A:L,MATCH(K394,Multipliers!$A$1:$L$1,0),FALSE)),VLOOKUP(B394,Multipliers!A:L,MATCH(K394,Multipliers!$A$1:$L$1,0),FALSE))</f>
        <v>0</v>
      </c>
      <c r="M394">
        <f t="shared" si="24"/>
        <v>0</v>
      </c>
      <c r="N394" s="1">
        <f>_xlfn.XLOOKUP(A394,'Product Detail'!$AG:$AG,'Product Detail'!$AH:$AH,"N/A")</f>
        <v>0.95000000000000007</v>
      </c>
      <c r="O394" s="1">
        <f t="shared" si="25"/>
        <v>0</v>
      </c>
      <c r="P394" s="4">
        <f t="shared" si="26"/>
        <v>45352</v>
      </c>
      <c r="Q394" s="4">
        <f t="shared" si="27"/>
        <v>45413</v>
      </c>
    </row>
    <row r="395" spans="1:17" x14ac:dyDescent="0.25">
      <c r="A395">
        <v>38590</v>
      </c>
      <c r="B395" t="s">
        <v>140</v>
      </c>
      <c r="C395" t="str">
        <f>_xlfn.XLOOKUP(B395,Multipliers!A:A,Multipliers!C:C)</f>
        <v>Jeffrey Weight</v>
      </c>
      <c r="D395" s="3">
        <v>45296</v>
      </c>
      <c r="E395" t="s">
        <v>1877</v>
      </c>
      <c r="F395" t="s">
        <v>2039</v>
      </c>
      <c r="G395" t="s">
        <v>820</v>
      </c>
      <c r="H395">
        <v>0</v>
      </c>
      <c r="I395" s="1">
        <v>0</v>
      </c>
      <c r="J395" s="1">
        <v>0</v>
      </c>
      <c r="K395">
        <v>1</v>
      </c>
      <c r="L395">
        <f>IF(E395="4. Renewal - MRR",IF(I395&lt;=0,0,VLOOKUP(B395,Multipliers!A:L,MATCH(K395,Multipliers!$A$1:$L$1,0),FALSE)),VLOOKUP(B395,Multipliers!A:L,MATCH(K395,Multipliers!$A$1:$L$1,0),FALSE))</f>
        <v>0</v>
      </c>
      <c r="M395">
        <f t="shared" si="24"/>
        <v>0</v>
      </c>
      <c r="N395" s="1">
        <f>_xlfn.XLOOKUP(A395,'Product Detail'!$AG:$AG,'Product Detail'!$AH:$AH,"N/A")</f>
        <v>128.50399999999993</v>
      </c>
      <c r="O395" s="1">
        <f t="shared" si="25"/>
        <v>0</v>
      </c>
      <c r="P395" s="4">
        <f t="shared" si="26"/>
        <v>45352</v>
      </c>
      <c r="Q395" s="4">
        <f t="shared" si="27"/>
        <v>45413</v>
      </c>
    </row>
    <row r="396" spans="1:17" x14ac:dyDescent="0.25">
      <c r="A396">
        <v>38588</v>
      </c>
      <c r="B396" t="s">
        <v>132</v>
      </c>
      <c r="C396" t="str">
        <f>_xlfn.XLOOKUP(B396,Multipliers!A:A,Multipliers!C:C)</f>
        <v>Jeffrey Weight</v>
      </c>
      <c r="D396" s="3">
        <v>45300</v>
      </c>
      <c r="E396" t="s">
        <v>1877</v>
      </c>
      <c r="F396" t="s">
        <v>2108</v>
      </c>
      <c r="G396" t="s">
        <v>817</v>
      </c>
      <c r="H396">
        <v>0</v>
      </c>
      <c r="I396" s="1">
        <v>0</v>
      </c>
      <c r="J396" s="1">
        <v>0</v>
      </c>
      <c r="K396">
        <v>1</v>
      </c>
      <c r="L396">
        <f>IF(E396="4. Renewal - MRR",IF(I396&lt;=0,0,VLOOKUP(B396,Multipliers!A:L,MATCH(K396,Multipliers!$A$1:$L$1,0),FALSE)),VLOOKUP(B396,Multipliers!A:L,MATCH(K396,Multipliers!$A$1:$L$1,0),FALSE))</f>
        <v>0</v>
      </c>
      <c r="M396">
        <f t="shared" si="24"/>
        <v>0</v>
      </c>
      <c r="N396" s="1">
        <f>_xlfn.XLOOKUP(A396,'Product Detail'!$AG:$AG,'Product Detail'!$AH:$AH,"N/A")</f>
        <v>18.046400000000002</v>
      </c>
      <c r="O396" s="1">
        <f t="shared" si="25"/>
        <v>0</v>
      </c>
      <c r="P396" s="4">
        <f t="shared" si="26"/>
        <v>45352</v>
      </c>
      <c r="Q396" s="4">
        <f t="shared" si="27"/>
        <v>45413</v>
      </c>
    </row>
    <row r="397" spans="1:17" x14ac:dyDescent="0.25">
      <c r="A397">
        <v>38587</v>
      </c>
      <c r="B397" t="s">
        <v>107</v>
      </c>
      <c r="C397" t="str">
        <f>_xlfn.XLOOKUP(B397,Multipliers!A:A,Multipliers!C:C)</f>
        <v>Luis Blanco</v>
      </c>
      <c r="D397" s="3">
        <v>45296</v>
      </c>
      <c r="E397" t="s">
        <v>1881</v>
      </c>
      <c r="F397" t="s">
        <v>2109</v>
      </c>
      <c r="G397" t="s">
        <v>801</v>
      </c>
      <c r="H397">
        <v>0</v>
      </c>
      <c r="I397" s="1">
        <v>0</v>
      </c>
      <c r="J397" s="1">
        <v>0</v>
      </c>
      <c r="K397">
        <v>1</v>
      </c>
      <c r="L397">
        <f>IF(E397="4. Renewal - MRR",IF(I397&lt;=0,0,VLOOKUP(B397,Multipliers!A:L,MATCH(K397,Multipliers!$A$1:$L$1,0),FALSE)),VLOOKUP(B397,Multipliers!A:L,MATCH(K397,Multipliers!$A$1:$L$1,0),FALSE))</f>
        <v>0</v>
      </c>
      <c r="M397">
        <f t="shared" si="24"/>
        <v>0</v>
      </c>
      <c r="N397" s="1">
        <f>_xlfn.XLOOKUP(A397,'Product Detail'!$AG:$AG,'Product Detail'!$AH:$AH,"N/A")</f>
        <v>8.2140000000000004</v>
      </c>
      <c r="O397" s="1">
        <f t="shared" si="25"/>
        <v>0</v>
      </c>
      <c r="P397" s="4">
        <f t="shared" si="26"/>
        <v>45352</v>
      </c>
      <c r="Q397" s="4">
        <f t="shared" si="27"/>
        <v>45413</v>
      </c>
    </row>
    <row r="398" spans="1:17" x14ac:dyDescent="0.25">
      <c r="A398">
        <v>38586</v>
      </c>
      <c r="B398" t="s">
        <v>184</v>
      </c>
      <c r="C398" t="str">
        <f>_xlfn.XLOOKUP(B398,Multipliers!A:A,Multipliers!C:C)</f>
        <v>Jeffrey Weight</v>
      </c>
      <c r="D398" s="3">
        <v>45295</v>
      </c>
      <c r="E398" t="s">
        <v>1877</v>
      </c>
      <c r="F398" t="s">
        <v>1998</v>
      </c>
      <c r="G398" t="s">
        <v>811</v>
      </c>
      <c r="H398">
        <v>0</v>
      </c>
      <c r="I398" s="1">
        <v>0</v>
      </c>
      <c r="J398" s="1">
        <v>0</v>
      </c>
      <c r="K398">
        <v>1</v>
      </c>
      <c r="L398">
        <f>IF(E398="4. Renewal - MRR",IF(I398&lt;=0,0,VLOOKUP(B398,Multipliers!A:L,MATCH(K398,Multipliers!$A$1:$L$1,0),FALSE)),VLOOKUP(B398,Multipliers!A:L,MATCH(K398,Multipliers!$A$1:$L$1,0),FALSE))</f>
        <v>0</v>
      </c>
      <c r="M398">
        <f t="shared" si="24"/>
        <v>0</v>
      </c>
      <c r="N398" s="1">
        <f>_xlfn.XLOOKUP(A398,'Product Detail'!$AG:$AG,'Product Detail'!$AH:$AH,"N/A")</f>
        <v>0</v>
      </c>
      <c r="O398" s="1">
        <f t="shared" si="25"/>
        <v>0</v>
      </c>
      <c r="P398" s="4">
        <f t="shared" si="26"/>
        <v>45352</v>
      </c>
      <c r="Q398" s="4">
        <f t="shared" si="27"/>
        <v>45413</v>
      </c>
    </row>
    <row r="399" spans="1:17" x14ac:dyDescent="0.25">
      <c r="A399">
        <v>38582</v>
      </c>
      <c r="B399" t="s">
        <v>107</v>
      </c>
      <c r="C399" t="str">
        <f>_xlfn.XLOOKUP(B399,Multipliers!A:A,Multipliers!C:C)</f>
        <v>Luis Blanco</v>
      </c>
      <c r="D399" s="3">
        <v>45296</v>
      </c>
      <c r="E399" t="s">
        <v>1881</v>
      </c>
      <c r="F399" t="s">
        <v>2110</v>
      </c>
      <c r="G399" t="s">
        <v>524</v>
      </c>
      <c r="H399">
        <v>0</v>
      </c>
      <c r="I399" s="1">
        <v>0</v>
      </c>
      <c r="J399" s="1">
        <v>0</v>
      </c>
      <c r="K399">
        <v>1</v>
      </c>
      <c r="L399">
        <f>IF(E399="4. Renewal - MRR",IF(I399&lt;=0,0,VLOOKUP(B399,Multipliers!A:L,MATCH(K399,Multipliers!$A$1:$L$1,0),FALSE)),VLOOKUP(B399,Multipliers!A:L,MATCH(K399,Multipliers!$A$1:$L$1,0),FALSE))</f>
        <v>0</v>
      </c>
      <c r="M399">
        <f t="shared" si="24"/>
        <v>0</v>
      </c>
      <c r="N399" s="1">
        <f>_xlfn.XLOOKUP(A399,'Product Detail'!$AG:$AG,'Product Detail'!$AH:$AH,"N/A")</f>
        <v>0.54479999999999995</v>
      </c>
      <c r="O399" s="1">
        <f t="shared" si="25"/>
        <v>0</v>
      </c>
      <c r="P399" s="4">
        <f t="shared" si="26"/>
        <v>45352</v>
      </c>
      <c r="Q399" s="4">
        <f t="shared" si="27"/>
        <v>45413</v>
      </c>
    </row>
    <row r="400" spans="1:17" x14ac:dyDescent="0.25">
      <c r="A400">
        <v>38581</v>
      </c>
      <c r="B400" t="s">
        <v>147</v>
      </c>
      <c r="C400" t="str">
        <f>_xlfn.XLOOKUP(B400,Multipliers!A:A,Multipliers!C:C)</f>
        <v>Jeffrey Weight</v>
      </c>
      <c r="D400" s="3">
        <v>45320</v>
      </c>
      <c r="E400" t="s">
        <v>1877</v>
      </c>
      <c r="F400" t="s">
        <v>2085</v>
      </c>
      <c r="G400" t="s">
        <v>806</v>
      </c>
      <c r="H400">
        <v>0</v>
      </c>
      <c r="I400" s="1">
        <v>0</v>
      </c>
      <c r="J400" s="1">
        <v>0</v>
      </c>
      <c r="K400">
        <v>1</v>
      </c>
      <c r="L400">
        <f>IF(E400="4. Renewal - MRR",IF(I400&lt;=0,0,VLOOKUP(B400,Multipliers!A:L,MATCH(K400,Multipliers!$A$1:$L$1,0),FALSE)),VLOOKUP(B400,Multipliers!A:L,MATCH(K400,Multipliers!$A$1:$L$1,0),FALSE))</f>
        <v>0</v>
      </c>
      <c r="M400">
        <f t="shared" si="24"/>
        <v>0</v>
      </c>
      <c r="N400" s="1">
        <f>_xlfn.XLOOKUP(A400,'Product Detail'!$AG:$AG,'Product Detail'!$AH:$AH,"N/A")</f>
        <v>1.3064</v>
      </c>
      <c r="O400" s="1">
        <f t="shared" si="25"/>
        <v>0</v>
      </c>
      <c r="P400" s="4">
        <f t="shared" si="26"/>
        <v>45352</v>
      </c>
      <c r="Q400" s="4">
        <f t="shared" si="27"/>
        <v>45413</v>
      </c>
    </row>
    <row r="401" spans="1:17" x14ac:dyDescent="0.25">
      <c r="A401">
        <v>38577</v>
      </c>
      <c r="B401" t="s">
        <v>107</v>
      </c>
      <c r="C401" t="str">
        <f>_xlfn.XLOOKUP(B401,Multipliers!A:A,Multipliers!C:C)</f>
        <v>Luis Blanco</v>
      </c>
      <c r="D401" s="3">
        <v>45296</v>
      </c>
      <c r="E401" t="s">
        <v>1881</v>
      </c>
      <c r="F401" t="s">
        <v>2111</v>
      </c>
      <c r="G401" t="s">
        <v>801</v>
      </c>
      <c r="H401">
        <v>0</v>
      </c>
      <c r="I401" s="1">
        <v>0</v>
      </c>
      <c r="J401" s="1">
        <v>0</v>
      </c>
      <c r="K401">
        <v>1</v>
      </c>
      <c r="L401">
        <f>IF(E401="4. Renewal - MRR",IF(I401&lt;=0,0,VLOOKUP(B401,Multipliers!A:L,MATCH(K401,Multipliers!$A$1:$L$1,0),FALSE)),VLOOKUP(B401,Multipliers!A:L,MATCH(K401,Multipliers!$A$1:$L$1,0),FALSE))</f>
        <v>0</v>
      </c>
      <c r="M401">
        <f t="shared" si="24"/>
        <v>0</v>
      </c>
      <c r="N401" s="1">
        <f>_xlfn.XLOOKUP(A401,'Product Detail'!$AG:$AG,'Product Detail'!$AH:$AH,"N/A")</f>
        <v>6.9512000000000009</v>
      </c>
      <c r="O401" s="1">
        <f t="shared" si="25"/>
        <v>0</v>
      </c>
      <c r="P401" s="4">
        <f t="shared" si="26"/>
        <v>45352</v>
      </c>
      <c r="Q401" s="4">
        <f t="shared" si="27"/>
        <v>45413</v>
      </c>
    </row>
    <row r="402" spans="1:17" x14ac:dyDescent="0.25">
      <c r="A402">
        <v>39357</v>
      </c>
      <c r="B402" t="s">
        <v>61</v>
      </c>
      <c r="C402" t="str">
        <f>_xlfn.XLOOKUP(B402,Multipliers!A:A,Multipliers!C:C)</f>
        <v>John Powell</v>
      </c>
      <c r="D402" s="3">
        <v>45316</v>
      </c>
      <c r="E402" t="s">
        <v>1877</v>
      </c>
      <c r="F402" t="s">
        <v>1987</v>
      </c>
      <c r="G402" t="s">
        <v>1671</v>
      </c>
      <c r="H402">
        <v>0</v>
      </c>
      <c r="I402" s="1">
        <v>0</v>
      </c>
      <c r="J402" s="1">
        <v>0</v>
      </c>
      <c r="K402">
        <v>1</v>
      </c>
      <c r="L402">
        <f>IF(E402="4. Renewal - MRR",IF(I402&lt;=0,0,VLOOKUP(B402,Multipliers!A:L,MATCH(K402,Multipliers!$A$1:$L$1,0),FALSE)),VLOOKUP(B402,Multipliers!A:L,MATCH(K402,Multipliers!$A$1:$L$1,0),FALSE))</f>
        <v>0</v>
      </c>
      <c r="M402">
        <f t="shared" si="24"/>
        <v>0</v>
      </c>
      <c r="N402" s="1">
        <f>_xlfn.XLOOKUP(A402,'Product Detail'!$AG:$AG,'Product Detail'!$AH:$AH,"N/A")</f>
        <v>0</v>
      </c>
      <c r="O402" s="1">
        <f t="shared" si="25"/>
        <v>0</v>
      </c>
      <c r="P402" s="4">
        <f t="shared" si="26"/>
        <v>45352</v>
      </c>
      <c r="Q402" s="4">
        <f t="shared" si="27"/>
        <v>45413</v>
      </c>
    </row>
    <row r="403" spans="1:17" x14ac:dyDescent="0.25">
      <c r="A403">
        <v>39361</v>
      </c>
      <c r="B403" t="s">
        <v>51</v>
      </c>
      <c r="C403" t="str">
        <f>_xlfn.XLOOKUP(B403,Multipliers!A:A,Multipliers!C:C)</f>
        <v>John Powell</v>
      </c>
      <c r="D403" s="3">
        <v>45317</v>
      </c>
      <c r="E403" t="s">
        <v>1877</v>
      </c>
      <c r="F403" t="s">
        <v>2002</v>
      </c>
      <c r="G403" t="s">
        <v>1674</v>
      </c>
      <c r="H403">
        <v>0</v>
      </c>
      <c r="I403" s="1">
        <v>0</v>
      </c>
      <c r="J403" s="1">
        <v>0</v>
      </c>
      <c r="K403">
        <v>1</v>
      </c>
      <c r="L403">
        <f>IF(E403="4. Renewal - MRR",IF(I403&lt;=0,0,VLOOKUP(B403,Multipliers!A:L,MATCH(K403,Multipliers!$A$1:$L$1,0),FALSE)),VLOOKUP(B403,Multipliers!A:L,MATCH(K403,Multipliers!$A$1:$L$1,0),FALSE))</f>
        <v>0</v>
      </c>
      <c r="M403">
        <f t="shared" si="24"/>
        <v>0</v>
      </c>
      <c r="N403" s="1">
        <f>_xlfn.XLOOKUP(A403,'Product Detail'!$AG:$AG,'Product Detail'!$AH:$AH,"N/A")</f>
        <v>1904.2371000000003</v>
      </c>
      <c r="O403" s="1">
        <f t="shared" si="25"/>
        <v>0</v>
      </c>
      <c r="P403" s="4">
        <f t="shared" si="26"/>
        <v>45352</v>
      </c>
      <c r="Q403" s="4">
        <f t="shared" si="27"/>
        <v>45413</v>
      </c>
    </row>
    <row r="404" spans="1:17" x14ac:dyDescent="0.25">
      <c r="A404">
        <v>38571</v>
      </c>
      <c r="B404" t="s">
        <v>1874</v>
      </c>
      <c r="C404" t="str">
        <f>_xlfn.XLOOKUP(B404,Multipliers!A:A,Multipliers!C:C)</f>
        <v>Jeffrey Weight</v>
      </c>
      <c r="D404" s="3">
        <v>45296</v>
      </c>
      <c r="E404" t="s">
        <v>1877</v>
      </c>
      <c r="F404" t="s">
        <v>2112</v>
      </c>
      <c r="G404" t="s">
        <v>792</v>
      </c>
      <c r="H404">
        <v>0</v>
      </c>
      <c r="I404" s="1">
        <v>0</v>
      </c>
      <c r="J404" s="1">
        <v>0</v>
      </c>
      <c r="K404">
        <v>0</v>
      </c>
      <c r="L404">
        <f>IF(E404="4. Renewal - MRR",IF(I404&lt;=0,0,VLOOKUP(B404,Multipliers!A:L,MATCH(K404,Multipliers!$A$1:$L$1,0),FALSE)),VLOOKUP(B404,Multipliers!A:L,MATCH(K404,Multipliers!$A$1:$L$1,0),FALSE))</f>
        <v>0</v>
      </c>
      <c r="M404">
        <f t="shared" si="24"/>
        <v>0</v>
      </c>
      <c r="N404" s="1">
        <f>_xlfn.XLOOKUP(A404,'Product Detail'!$AG:$AG,'Product Detail'!$AH:$AH,"N/A")</f>
        <v>70.400000000000006</v>
      </c>
      <c r="O404" s="1">
        <f t="shared" si="25"/>
        <v>0</v>
      </c>
      <c r="P404" s="4">
        <f t="shared" si="26"/>
        <v>45352</v>
      </c>
      <c r="Q404" s="4">
        <f t="shared" si="27"/>
        <v>45413</v>
      </c>
    </row>
    <row r="405" spans="1:17" x14ac:dyDescent="0.25">
      <c r="A405">
        <v>39375</v>
      </c>
      <c r="B405" t="s">
        <v>61</v>
      </c>
      <c r="C405" t="str">
        <f>_xlfn.XLOOKUP(B405,Multipliers!A:A,Multipliers!C:C)</f>
        <v>John Powell</v>
      </c>
      <c r="D405" s="3">
        <v>45317</v>
      </c>
      <c r="E405" t="s">
        <v>1877</v>
      </c>
      <c r="F405" t="s">
        <v>1987</v>
      </c>
      <c r="G405" t="s">
        <v>1681</v>
      </c>
      <c r="H405">
        <v>0</v>
      </c>
      <c r="I405" s="1">
        <v>0</v>
      </c>
      <c r="J405" s="1">
        <v>0</v>
      </c>
      <c r="K405">
        <v>1</v>
      </c>
      <c r="L405">
        <f>IF(E405="4. Renewal - MRR",IF(I405&lt;=0,0,VLOOKUP(B405,Multipliers!A:L,MATCH(K405,Multipliers!$A$1:$L$1,0),FALSE)),VLOOKUP(B405,Multipliers!A:L,MATCH(K405,Multipliers!$A$1:$L$1,0),FALSE))</f>
        <v>0</v>
      </c>
      <c r="M405">
        <f t="shared" si="24"/>
        <v>0</v>
      </c>
      <c r="N405" s="1">
        <f>_xlfn.XLOOKUP(A405,'Product Detail'!$AG:$AG,'Product Detail'!$AH:$AH,"N/A")</f>
        <v>0</v>
      </c>
      <c r="O405" s="1">
        <f t="shared" si="25"/>
        <v>0</v>
      </c>
      <c r="P405" s="4">
        <f t="shared" si="26"/>
        <v>45352</v>
      </c>
      <c r="Q405" s="4">
        <f t="shared" si="27"/>
        <v>45413</v>
      </c>
    </row>
    <row r="406" spans="1:17" x14ac:dyDescent="0.25">
      <c r="A406">
        <v>38563</v>
      </c>
      <c r="B406" t="s">
        <v>132</v>
      </c>
      <c r="C406" t="str">
        <f>_xlfn.XLOOKUP(B406,Multipliers!A:A,Multipliers!C:C)</f>
        <v>Jeffrey Weight</v>
      </c>
      <c r="D406" s="3">
        <v>45295</v>
      </c>
      <c r="E406" t="s">
        <v>1877</v>
      </c>
      <c r="F406" t="s">
        <v>2113</v>
      </c>
      <c r="G406" t="s">
        <v>788</v>
      </c>
      <c r="H406">
        <v>0</v>
      </c>
      <c r="I406" s="1">
        <v>0</v>
      </c>
      <c r="J406" s="1">
        <v>0</v>
      </c>
      <c r="K406">
        <v>1</v>
      </c>
      <c r="L406">
        <f>IF(E406="4. Renewal - MRR",IF(I406&lt;=0,0,VLOOKUP(B406,Multipliers!A:L,MATCH(K406,Multipliers!$A$1:$L$1,0),FALSE)),VLOOKUP(B406,Multipliers!A:L,MATCH(K406,Multipliers!$A$1:$L$1,0),FALSE))</f>
        <v>0</v>
      </c>
      <c r="M406">
        <f t="shared" si="24"/>
        <v>0</v>
      </c>
      <c r="N406" s="1">
        <f>_xlfn.XLOOKUP(A406,'Product Detail'!$AG:$AG,'Product Detail'!$AH:$AH,"N/A")</f>
        <v>3.1831999999999994</v>
      </c>
      <c r="O406" s="1">
        <f t="shared" si="25"/>
        <v>0</v>
      </c>
      <c r="P406" s="4">
        <f t="shared" si="26"/>
        <v>45352</v>
      </c>
      <c r="Q406" s="4">
        <f t="shared" si="27"/>
        <v>45413</v>
      </c>
    </row>
    <row r="407" spans="1:17" x14ac:dyDescent="0.25">
      <c r="A407">
        <v>38562</v>
      </c>
      <c r="B407" t="s">
        <v>140</v>
      </c>
      <c r="C407" t="str">
        <f>_xlfn.XLOOKUP(B407,Multipliers!A:A,Multipliers!C:C)</f>
        <v>Jeffrey Weight</v>
      </c>
      <c r="D407" s="3">
        <v>45295</v>
      </c>
      <c r="E407" t="s">
        <v>1877</v>
      </c>
      <c r="F407" t="s">
        <v>2039</v>
      </c>
      <c r="G407" t="s">
        <v>785</v>
      </c>
      <c r="H407">
        <v>0</v>
      </c>
      <c r="I407" s="1">
        <v>0</v>
      </c>
      <c r="J407" s="1">
        <v>0</v>
      </c>
      <c r="K407">
        <v>1</v>
      </c>
      <c r="L407">
        <f>IF(E407="4. Renewal - MRR",IF(I407&lt;=0,0,VLOOKUP(B407,Multipliers!A:L,MATCH(K407,Multipliers!$A$1:$L$1,0),FALSE)),VLOOKUP(B407,Multipliers!A:L,MATCH(K407,Multipliers!$A$1:$L$1,0),FALSE))</f>
        <v>0</v>
      </c>
      <c r="M407">
        <f t="shared" si="24"/>
        <v>0</v>
      </c>
      <c r="N407" s="1">
        <f>_xlfn.XLOOKUP(A407,'Product Detail'!$AG:$AG,'Product Detail'!$AH:$AH,"N/A")</f>
        <v>8.7199999999999986E-2</v>
      </c>
      <c r="O407" s="1">
        <f t="shared" si="25"/>
        <v>0</v>
      </c>
      <c r="P407" s="4">
        <f t="shared" si="26"/>
        <v>45352</v>
      </c>
      <c r="Q407" s="4">
        <f t="shared" si="27"/>
        <v>45413</v>
      </c>
    </row>
    <row r="408" spans="1:17" x14ac:dyDescent="0.25">
      <c r="A408">
        <v>39377</v>
      </c>
      <c r="B408" t="s">
        <v>61</v>
      </c>
      <c r="C408" t="str">
        <f>_xlfn.XLOOKUP(B408,Multipliers!A:A,Multipliers!C:C)</f>
        <v>John Powell</v>
      </c>
      <c r="D408" s="3">
        <v>45317</v>
      </c>
      <c r="E408" t="s">
        <v>1877</v>
      </c>
      <c r="F408" t="s">
        <v>1987</v>
      </c>
      <c r="G408" t="s">
        <v>1690</v>
      </c>
      <c r="H408">
        <v>0</v>
      </c>
      <c r="I408" s="1">
        <v>0</v>
      </c>
      <c r="J408" s="1">
        <v>0</v>
      </c>
      <c r="K408">
        <v>1</v>
      </c>
      <c r="L408">
        <f>IF(E408="4. Renewal - MRR",IF(I408&lt;=0,0,VLOOKUP(B408,Multipliers!A:L,MATCH(K408,Multipliers!$A$1:$L$1,0),FALSE)),VLOOKUP(B408,Multipliers!A:L,MATCH(K408,Multipliers!$A$1:$L$1,0),FALSE))</f>
        <v>0</v>
      </c>
      <c r="M408">
        <f t="shared" si="24"/>
        <v>0</v>
      </c>
      <c r="N408" s="1">
        <f>_xlfn.XLOOKUP(A408,'Product Detail'!$AG:$AG,'Product Detail'!$AH:$AH,"N/A")</f>
        <v>0</v>
      </c>
      <c r="O408" s="1">
        <f t="shared" si="25"/>
        <v>0</v>
      </c>
      <c r="P408" s="4">
        <f t="shared" si="26"/>
        <v>45352</v>
      </c>
      <c r="Q408" s="4">
        <f t="shared" si="27"/>
        <v>45413</v>
      </c>
    </row>
    <row r="409" spans="1:17" x14ac:dyDescent="0.25">
      <c r="A409">
        <v>38557</v>
      </c>
      <c r="B409" t="s">
        <v>184</v>
      </c>
      <c r="C409" t="str">
        <f>_xlfn.XLOOKUP(B409,Multipliers!A:A,Multipliers!C:C)</f>
        <v>Jeffrey Weight</v>
      </c>
      <c r="D409" s="3">
        <v>45313</v>
      </c>
      <c r="E409" t="s">
        <v>1877</v>
      </c>
      <c r="F409" t="s">
        <v>2010</v>
      </c>
      <c r="G409" t="s">
        <v>781</v>
      </c>
      <c r="H409">
        <v>0</v>
      </c>
      <c r="I409" s="1">
        <v>0</v>
      </c>
      <c r="J409" s="1">
        <v>0</v>
      </c>
      <c r="K409">
        <v>1</v>
      </c>
      <c r="L409">
        <f>IF(E409="4. Renewal - MRR",IF(I409&lt;=0,0,VLOOKUP(B409,Multipliers!A:L,MATCH(K409,Multipliers!$A$1:$L$1,0),FALSE)),VLOOKUP(B409,Multipliers!A:L,MATCH(K409,Multipliers!$A$1:$L$1,0),FALSE))</f>
        <v>0</v>
      </c>
      <c r="M409">
        <f t="shared" si="24"/>
        <v>0</v>
      </c>
      <c r="N409" s="1">
        <f>_xlfn.XLOOKUP(A409,'Product Detail'!$AG:$AG,'Product Detail'!$AH:$AH,"N/A")</f>
        <v>0</v>
      </c>
      <c r="O409" s="1">
        <f t="shared" si="25"/>
        <v>0</v>
      </c>
      <c r="P409" s="4">
        <f t="shared" si="26"/>
        <v>45352</v>
      </c>
      <c r="Q409" s="4">
        <f t="shared" si="27"/>
        <v>45413</v>
      </c>
    </row>
    <row r="410" spans="1:17" x14ac:dyDescent="0.25">
      <c r="A410">
        <v>38554</v>
      </c>
      <c r="B410" t="s">
        <v>1874</v>
      </c>
      <c r="C410" t="str">
        <f>_xlfn.XLOOKUP(B410,Multipliers!A:A,Multipliers!C:C)</f>
        <v>Jeffrey Weight</v>
      </c>
      <c r="D410" s="3">
        <v>45296</v>
      </c>
      <c r="E410" t="s">
        <v>1877</v>
      </c>
      <c r="F410" t="s">
        <v>2114</v>
      </c>
      <c r="G410" t="s">
        <v>778</v>
      </c>
      <c r="H410">
        <v>0</v>
      </c>
      <c r="I410" s="1">
        <v>0</v>
      </c>
      <c r="J410" s="1">
        <v>0</v>
      </c>
      <c r="K410">
        <v>1</v>
      </c>
      <c r="L410">
        <f>IF(E410="4. Renewal - MRR",IF(I410&lt;=0,0,VLOOKUP(B410,Multipliers!A:L,MATCH(K410,Multipliers!$A$1:$L$1,0),FALSE)),VLOOKUP(B410,Multipliers!A:L,MATCH(K410,Multipliers!$A$1:$L$1,0),FALSE))</f>
        <v>0</v>
      </c>
      <c r="M410">
        <f t="shared" si="24"/>
        <v>0</v>
      </c>
      <c r="N410" s="1">
        <f>_xlfn.XLOOKUP(A410,'Product Detail'!$AG:$AG,'Product Detail'!$AH:$AH,"N/A")</f>
        <v>56.672799999999988</v>
      </c>
      <c r="O410" s="1">
        <f t="shared" si="25"/>
        <v>0</v>
      </c>
      <c r="P410" s="4">
        <f t="shared" si="26"/>
        <v>45352</v>
      </c>
      <c r="Q410" s="4">
        <f t="shared" si="27"/>
        <v>45413</v>
      </c>
    </row>
    <row r="411" spans="1:17" x14ac:dyDescent="0.25">
      <c r="A411">
        <v>38551</v>
      </c>
      <c r="B411" t="s">
        <v>140</v>
      </c>
      <c r="C411" t="str">
        <f>_xlfn.XLOOKUP(B411,Multipliers!A:A,Multipliers!C:C)</f>
        <v>Jeffrey Weight</v>
      </c>
      <c r="D411" s="3">
        <v>45306</v>
      </c>
      <c r="E411" t="s">
        <v>1877</v>
      </c>
      <c r="F411" t="s">
        <v>2038</v>
      </c>
      <c r="G411" t="s">
        <v>769</v>
      </c>
      <c r="H411">
        <v>0</v>
      </c>
      <c r="I411" s="1">
        <v>0</v>
      </c>
      <c r="J411" s="1">
        <v>0</v>
      </c>
      <c r="K411">
        <v>1</v>
      </c>
      <c r="L411">
        <f>IF(E411="4. Renewal - MRR",IF(I411&lt;=0,0,VLOOKUP(B411,Multipliers!A:L,MATCH(K411,Multipliers!$A$1:$L$1,0),FALSE)),VLOOKUP(B411,Multipliers!A:L,MATCH(K411,Multipliers!$A$1:$L$1,0),FALSE))</f>
        <v>0</v>
      </c>
      <c r="M411">
        <f t="shared" si="24"/>
        <v>0</v>
      </c>
      <c r="N411" s="1">
        <f>_xlfn.XLOOKUP(A411,'Product Detail'!$AG:$AG,'Product Detail'!$AH:$AH,"N/A")</f>
        <v>118.68</v>
      </c>
      <c r="O411" s="1">
        <f t="shared" si="25"/>
        <v>0</v>
      </c>
      <c r="P411" s="4">
        <f t="shared" si="26"/>
        <v>45352</v>
      </c>
      <c r="Q411" s="4">
        <f t="shared" si="27"/>
        <v>45413</v>
      </c>
    </row>
    <row r="412" spans="1:17" x14ac:dyDescent="0.25">
      <c r="A412">
        <v>38550</v>
      </c>
      <c r="B412" t="s">
        <v>1874</v>
      </c>
      <c r="C412" t="str">
        <f>_xlfn.XLOOKUP(B412,Multipliers!A:A,Multipliers!C:C)</f>
        <v>Jeffrey Weight</v>
      </c>
      <c r="D412" s="3">
        <v>45296</v>
      </c>
      <c r="E412" t="s">
        <v>1877</v>
      </c>
      <c r="F412" t="s">
        <v>2067</v>
      </c>
      <c r="G412" t="s">
        <v>766</v>
      </c>
      <c r="H412">
        <v>0</v>
      </c>
      <c r="I412" s="1">
        <v>0</v>
      </c>
      <c r="J412" s="1">
        <v>0</v>
      </c>
      <c r="K412">
        <v>1</v>
      </c>
      <c r="L412">
        <f>IF(E412="4. Renewal - MRR",IF(I412&lt;=0,0,VLOOKUP(B412,Multipliers!A:L,MATCH(K412,Multipliers!$A$1:$L$1,0),FALSE)),VLOOKUP(B412,Multipliers!A:L,MATCH(K412,Multipliers!$A$1:$L$1,0),FALSE))</f>
        <v>0</v>
      </c>
      <c r="M412">
        <f t="shared" si="24"/>
        <v>0</v>
      </c>
      <c r="N412" s="1">
        <f>_xlfn.XLOOKUP(A412,'Product Detail'!$AG:$AG,'Product Detail'!$AH:$AH,"N/A")</f>
        <v>5.6127999999999973</v>
      </c>
      <c r="O412" s="1">
        <f t="shared" si="25"/>
        <v>0</v>
      </c>
      <c r="P412" s="4">
        <f t="shared" si="26"/>
        <v>45352</v>
      </c>
      <c r="Q412" s="4">
        <f t="shared" si="27"/>
        <v>45413</v>
      </c>
    </row>
    <row r="413" spans="1:17" x14ac:dyDescent="0.25">
      <c r="A413">
        <v>38547</v>
      </c>
      <c r="B413" t="s">
        <v>184</v>
      </c>
      <c r="C413" t="str">
        <f>_xlfn.XLOOKUP(B413,Multipliers!A:A,Multipliers!C:C)</f>
        <v>Jeffrey Weight</v>
      </c>
      <c r="D413" s="3">
        <v>45313</v>
      </c>
      <c r="E413" t="s">
        <v>1877</v>
      </c>
      <c r="F413" t="s">
        <v>2010</v>
      </c>
      <c r="G413" t="s">
        <v>765</v>
      </c>
      <c r="H413">
        <v>0</v>
      </c>
      <c r="I413" s="1">
        <v>0</v>
      </c>
      <c r="J413" s="1">
        <v>0</v>
      </c>
      <c r="K413">
        <v>1</v>
      </c>
      <c r="L413">
        <f>IF(E413="4. Renewal - MRR",IF(I413&lt;=0,0,VLOOKUP(B413,Multipliers!A:L,MATCH(K413,Multipliers!$A$1:$L$1,0),FALSE)),VLOOKUP(B413,Multipliers!A:L,MATCH(K413,Multipliers!$A$1:$L$1,0),FALSE))</f>
        <v>0</v>
      </c>
      <c r="M413">
        <f t="shared" si="24"/>
        <v>0</v>
      </c>
      <c r="N413" s="1">
        <f>_xlfn.XLOOKUP(A413,'Product Detail'!$AG:$AG,'Product Detail'!$AH:$AH,"N/A")</f>
        <v>0</v>
      </c>
      <c r="O413" s="1">
        <f t="shared" si="25"/>
        <v>0</v>
      </c>
      <c r="P413" s="4">
        <f t="shared" si="26"/>
        <v>45352</v>
      </c>
      <c r="Q413" s="4">
        <f t="shared" si="27"/>
        <v>45413</v>
      </c>
    </row>
    <row r="414" spans="1:17" x14ac:dyDescent="0.25">
      <c r="A414">
        <v>39378</v>
      </c>
      <c r="B414" t="s">
        <v>61</v>
      </c>
      <c r="C414" t="str">
        <f>_xlfn.XLOOKUP(B414,Multipliers!A:A,Multipliers!C:C)</f>
        <v>John Powell</v>
      </c>
      <c r="D414" s="3">
        <v>45317</v>
      </c>
      <c r="E414" t="s">
        <v>1877</v>
      </c>
      <c r="F414" t="s">
        <v>1987</v>
      </c>
      <c r="G414" t="s">
        <v>1691</v>
      </c>
      <c r="H414">
        <v>0</v>
      </c>
      <c r="I414" s="1">
        <v>0</v>
      </c>
      <c r="J414" s="1">
        <v>0</v>
      </c>
      <c r="K414">
        <v>1</v>
      </c>
      <c r="L414">
        <f>IF(E414="4. Renewal - MRR",IF(I414&lt;=0,0,VLOOKUP(B414,Multipliers!A:L,MATCH(K414,Multipliers!$A$1:$L$1,0),FALSE)),VLOOKUP(B414,Multipliers!A:L,MATCH(K414,Multipliers!$A$1:$L$1,0),FALSE))</f>
        <v>0</v>
      </c>
      <c r="M414">
        <f t="shared" si="24"/>
        <v>0</v>
      </c>
      <c r="N414" s="1">
        <f>_xlfn.XLOOKUP(A414,'Product Detail'!$AG:$AG,'Product Detail'!$AH:$AH,"N/A")</f>
        <v>0</v>
      </c>
      <c r="O414" s="1">
        <f t="shared" si="25"/>
        <v>0</v>
      </c>
      <c r="P414" s="4">
        <f t="shared" si="26"/>
        <v>45352</v>
      </c>
      <c r="Q414" s="4">
        <f t="shared" si="27"/>
        <v>45413</v>
      </c>
    </row>
    <row r="415" spans="1:17" x14ac:dyDescent="0.25">
      <c r="A415">
        <v>38545</v>
      </c>
      <c r="B415" t="s">
        <v>184</v>
      </c>
      <c r="C415" t="str">
        <f>_xlfn.XLOOKUP(B415,Multipliers!A:A,Multipliers!C:C)</f>
        <v>Jeffrey Weight</v>
      </c>
      <c r="D415" s="3">
        <v>45313</v>
      </c>
      <c r="E415" t="s">
        <v>1877</v>
      </c>
      <c r="F415" t="s">
        <v>2010</v>
      </c>
      <c r="G415" t="s">
        <v>759</v>
      </c>
      <c r="H415">
        <v>0</v>
      </c>
      <c r="I415" s="1">
        <v>0</v>
      </c>
      <c r="J415" s="1">
        <v>0</v>
      </c>
      <c r="K415">
        <v>1</v>
      </c>
      <c r="L415">
        <f>IF(E415="4. Renewal - MRR",IF(I415&lt;=0,0,VLOOKUP(B415,Multipliers!A:L,MATCH(K415,Multipliers!$A$1:$L$1,0),FALSE)),VLOOKUP(B415,Multipliers!A:L,MATCH(K415,Multipliers!$A$1:$L$1,0),FALSE))</f>
        <v>0</v>
      </c>
      <c r="M415">
        <f t="shared" si="24"/>
        <v>0</v>
      </c>
      <c r="N415" s="1">
        <f>_xlfn.XLOOKUP(A415,'Product Detail'!$AG:$AG,'Product Detail'!$AH:$AH,"N/A")</f>
        <v>0</v>
      </c>
      <c r="O415" s="1">
        <f t="shared" si="25"/>
        <v>0</v>
      </c>
      <c r="P415" s="4">
        <f t="shared" si="26"/>
        <v>45352</v>
      </c>
      <c r="Q415" s="4">
        <f t="shared" si="27"/>
        <v>45413</v>
      </c>
    </row>
    <row r="416" spans="1:17" x14ac:dyDescent="0.25">
      <c r="A416">
        <v>38535</v>
      </c>
      <c r="B416" t="s">
        <v>184</v>
      </c>
      <c r="C416" t="str">
        <f>_xlfn.XLOOKUP(B416,Multipliers!A:A,Multipliers!C:C)</f>
        <v>Jeffrey Weight</v>
      </c>
      <c r="D416" s="3">
        <v>45313</v>
      </c>
      <c r="E416" t="s">
        <v>1877</v>
      </c>
      <c r="F416" t="s">
        <v>2010</v>
      </c>
      <c r="G416" t="s">
        <v>758</v>
      </c>
      <c r="H416">
        <v>0</v>
      </c>
      <c r="I416" s="1">
        <v>0</v>
      </c>
      <c r="J416" s="1">
        <v>0</v>
      </c>
      <c r="K416">
        <v>1</v>
      </c>
      <c r="L416">
        <f>IF(E416="4. Renewal - MRR",IF(I416&lt;=0,0,VLOOKUP(B416,Multipliers!A:L,MATCH(K416,Multipliers!$A$1:$L$1,0),FALSE)),VLOOKUP(B416,Multipliers!A:L,MATCH(K416,Multipliers!$A$1:$L$1,0),FALSE))</f>
        <v>0</v>
      </c>
      <c r="M416">
        <f t="shared" si="24"/>
        <v>0</v>
      </c>
      <c r="N416" s="1">
        <f>_xlfn.XLOOKUP(A416,'Product Detail'!$AG:$AG,'Product Detail'!$AH:$AH,"N/A")</f>
        <v>0</v>
      </c>
      <c r="O416" s="1">
        <f t="shared" si="25"/>
        <v>0</v>
      </c>
      <c r="P416" s="4">
        <f t="shared" si="26"/>
        <v>45352</v>
      </c>
      <c r="Q416" s="4">
        <f t="shared" si="27"/>
        <v>45413</v>
      </c>
    </row>
    <row r="417" spans="1:17" x14ac:dyDescent="0.25">
      <c r="A417">
        <v>38534</v>
      </c>
      <c r="B417" t="s">
        <v>174</v>
      </c>
      <c r="C417" t="str">
        <f>_xlfn.XLOOKUP(B417,Multipliers!A:A,Multipliers!C:C)</f>
        <v>Anthony Laiewski</v>
      </c>
      <c r="D417" s="3">
        <v>45294</v>
      </c>
      <c r="E417" t="s">
        <v>1881</v>
      </c>
      <c r="F417" t="s">
        <v>2116</v>
      </c>
      <c r="G417" t="s">
        <v>755</v>
      </c>
      <c r="H417">
        <v>0</v>
      </c>
      <c r="I417" s="1">
        <v>0</v>
      </c>
      <c r="J417" s="1">
        <v>0</v>
      </c>
      <c r="K417">
        <v>1</v>
      </c>
      <c r="L417">
        <f>IF(E417="4. Renewal - MRR",IF(I417&lt;=0,0,VLOOKUP(B417,Multipliers!A:L,MATCH(K417,Multipliers!$A$1:$L$1,0),FALSE)),VLOOKUP(B417,Multipliers!A:L,MATCH(K417,Multipliers!$A$1:$L$1,0),FALSE))</f>
        <v>0</v>
      </c>
      <c r="M417">
        <f t="shared" si="24"/>
        <v>0</v>
      </c>
      <c r="N417" s="1">
        <f>_xlfn.XLOOKUP(A417,'Product Detail'!$AG:$AG,'Product Detail'!$AH:$AH,"N/A")</f>
        <v>0</v>
      </c>
      <c r="O417" s="1">
        <f t="shared" si="25"/>
        <v>0</v>
      </c>
      <c r="P417" s="4">
        <f t="shared" si="26"/>
        <v>45352</v>
      </c>
      <c r="Q417" s="4">
        <f t="shared" si="27"/>
        <v>45413</v>
      </c>
    </row>
    <row r="418" spans="1:17" x14ac:dyDescent="0.25">
      <c r="A418">
        <v>38533</v>
      </c>
      <c r="B418" t="s">
        <v>140</v>
      </c>
      <c r="C418" t="str">
        <f>_xlfn.XLOOKUP(B418,Multipliers!A:A,Multipliers!C:C)</f>
        <v>Jeffrey Weight</v>
      </c>
      <c r="D418" s="3">
        <v>45313</v>
      </c>
      <c r="E418" t="s">
        <v>1881</v>
      </c>
      <c r="F418" t="s">
        <v>2117</v>
      </c>
      <c r="G418" t="s">
        <v>752</v>
      </c>
      <c r="H418">
        <v>0</v>
      </c>
      <c r="I418" s="1">
        <v>0</v>
      </c>
      <c r="J418" s="1">
        <v>0</v>
      </c>
      <c r="K418">
        <v>1</v>
      </c>
      <c r="L418">
        <f>IF(E418="4. Renewal - MRR",IF(I418&lt;=0,0,VLOOKUP(B418,Multipliers!A:L,MATCH(K418,Multipliers!$A$1:$L$1,0),FALSE)),VLOOKUP(B418,Multipliers!A:L,MATCH(K418,Multipliers!$A$1:$L$1,0),FALSE))</f>
        <v>0</v>
      </c>
      <c r="M418">
        <f t="shared" si="24"/>
        <v>0</v>
      </c>
      <c r="N418" s="1">
        <f>_xlfn.XLOOKUP(A418,'Product Detail'!$AG:$AG,'Product Detail'!$AH:$AH,"N/A")</f>
        <v>48.759199999999986</v>
      </c>
      <c r="O418" s="1">
        <f t="shared" si="25"/>
        <v>0</v>
      </c>
      <c r="P418" s="4">
        <f t="shared" si="26"/>
        <v>45352</v>
      </c>
      <c r="Q418" s="4">
        <f t="shared" si="27"/>
        <v>45413</v>
      </c>
    </row>
    <row r="419" spans="1:17" x14ac:dyDescent="0.25">
      <c r="A419">
        <v>38532</v>
      </c>
      <c r="B419" t="s">
        <v>184</v>
      </c>
      <c r="C419" t="str">
        <f>_xlfn.XLOOKUP(B419,Multipliers!A:A,Multipliers!C:C)</f>
        <v>Jeffrey Weight</v>
      </c>
      <c r="D419" s="3">
        <v>45313</v>
      </c>
      <c r="E419" t="s">
        <v>1877</v>
      </c>
      <c r="F419" t="s">
        <v>2010</v>
      </c>
      <c r="G419" t="s">
        <v>751</v>
      </c>
      <c r="H419">
        <v>0</v>
      </c>
      <c r="I419" s="1">
        <v>0</v>
      </c>
      <c r="J419" s="1">
        <v>0</v>
      </c>
      <c r="K419">
        <v>1</v>
      </c>
      <c r="L419">
        <f>IF(E419="4. Renewal - MRR",IF(I419&lt;=0,0,VLOOKUP(B419,Multipliers!A:L,MATCH(K419,Multipliers!$A$1:$L$1,0),FALSE)),VLOOKUP(B419,Multipliers!A:L,MATCH(K419,Multipliers!$A$1:$L$1,0),FALSE))</f>
        <v>0</v>
      </c>
      <c r="M419">
        <f t="shared" si="24"/>
        <v>0</v>
      </c>
      <c r="N419" s="1">
        <f>_xlfn.XLOOKUP(A419,'Product Detail'!$AG:$AG,'Product Detail'!$AH:$AH,"N/A")</f>
        <v>0</v>
      </c>
      <c r="O419" s="1">
        <f t="shared" si="25"/>
        <v>0</v>
      </c>
      <c r="P419" s="4">
        <f t="shared" si="26"/>
        <v>45352</v>
      </c>
      <c r="Q419" s="4">
        <f t="shared" si="27"/>
        <v>45413</v>
      </c>
    </row>
    <row r="420" spans="1:17" x14ac:dyDescent="0.25">
      <c r="A420">
        <v>38531</v>
      </c>
      <c r="B420" t="s">
        <v>132</v>
      </c>
      <c r="C420" t="str">
        <f>_xlfn.XLOOKUP(B420,Multipliers!A:A,Multipliers!C:C)</f>
        <v>Jeffrey Weight</v>
      </c>
      <c r="D420" s="3">
        <v>45313</v>
      </c>
      <c r="E420" t="s">
        <v>1877</v>
      </c>
      <c r="F420" t="s">
        <v>1973</v>
      </c>
      <c r="G420" t="s">
        <v>748</v>
      </c>
      <c r="H420">
        <v>0</v>
      </c>
      <c r="I420" s="1">
        <v>0</v>
      </c>
      <c r="J420" s="1">
        <v>0</v>
      </c>
      <c r="K420">
        <v>1</v>
      </c>
      <c r="L420">
        <f>IF(E420="4. Renewal - MRR",IF(I420&lt;=0,0,VLOOKUP(B420,Multipliers!A:L,MATCH(K420,Multipliers!$A$1:$L$1,0),FALSE)),VLOOKUP(B420,Multipliers!A:L,MATCH(K420,Multipliers!$A$1:$L$1,0),FALSE))</f>
        <v>0</v>
      </c>
      <c r="M420">
        <f t="shared" si="24"/>
        <v>0</v>
      </c>
      <c r="N420" s="1">
        <f>_xlfn.XLOOKUP(A420,'Product Detail'!$AG:$AG,'Product Detail'!$AH:$AH,"N/A")</f>
        <v>3.1055999999999995</v>
      </c>
      <c r="O420" s="1">
        <f t="shared" si="25"/>
        <v>0</v>
      </c>
      <c r="P420" s="4">
        <f t="shared" si="26"/>
        <v>45352</v>
      </c>
      <c r="Q420" s="4">
        <f t="shared" si="27"/>
        <v>45413</v>
      </c>
    </row>
    <row r="421" spans="1:17" x14ac:dyDescent="0.25">
      <c r="A421">
        <v>38530</v>
      </c>
      <c r="B421" t="s">
        <v>184</v>
      </c>
      <c r="C421" t="str">
        <f>_xlfn.XLOOKUP(B421,Multipliers!A:A,Multipliers!C:C)</f>
        <v>Jeffrey Weight</v>
      </c>
      <c r="D421" s="3">
        <v>45313</v>
      </c>
      <c r="E421" t="s">
        <v>1877</v>
      </c>
      <c r="F421" t="s">
        <v>2010</v>
      </c>
      <c r="G421" t="s">
        <v>744</v>
      </c>
      <c r="H421">
        <v>0</v>
      </c>
      <c r="I421" s="1">
        <v>0</v>
      </c>
      <c r="J421" s="1">
        <v>0</v>
      </c>
      <c r="K421">
        <v>1</v>
      </c>
      <c r="L421">
        <f>IF(E421="4. Renewal - MRR",IF(I421&lt;=0,0,VLOOKUP(B421,Multipliers!A:L,MATCH(K421,Multipliers!$A$1:$L$1,0),FALSE)),VLOOKUP(B421,Multipliers!A:L,MATCH(K421,Multipliers!$A$1:$L$1,0),FALSE))</f>
        <v>0</v>
      </c>
      <c r="M421">
        <f t="shared" si="24"/>
        <v>0</v>
      </c>
      <c r="N421" s="1">
        <f>_xlfn.XLOOKUP(A421,'Product Detail'!$AG:$AG,'Product Detail'!$AH:$AH,"N/A")</f>
        <v>0</v>
      </c>
      <c r="O421" s="1">
        <f t="shared" si="25"/>
        <v>0</v>
      </c>
      <c r="P421" s="4">
        <f t="shared" si="26"/>
        <v>45352</v>
      </c>
      <c r="Q421" s="4">
        <f t="shared" si="27"/>
        <v>45413</v>
      </c>
    </row>
    <row r="422" spans="1:17" x14ac:dyDescent="0.25">
      <c r="A422">
        <v>38529</v>
      </c>
      <c r="B422" t="s">
        <v>1874</v>
      </c>
      <c r="C422" t="str">
        <f>_xlfn.XLOOKUP(B422,Multipliers!A:A,Multipliers!C:C)</f>
        <v>Jeffrey Weight</v>
      </c>
      <c r="D422" s="3">
        <v>45295</v>
      </c>
      <c r="E422" t="s">
        <v>1877</v>
      </c>
      <c r="F422" t="s">
        <v>1944</v>
      </c>
      <c r="G422" t="s">
        <v>741</v>
      </c>
      <c r="H422">
        <v>0</v>
      </c>
      <c r="I422" s="1">
        <v>0</v>
      </c>
      <c r="J422" s="1">
        <v>0</v>
      </c>
      <c r="K422">
        <v>1</v>
      </c>
      <c r="L422">
        <f>IF(E422="4. Renewal - MRR",IF(I422&lt;=0,0,VLOOKUP(B422,Multipliers!A:L,MATCH(K422,Multipliers!$A$1:$L$1,0),FALSE)),VLOOKUP(B422,Multipliers!A:L,MATCH(K422,Multipliers!$A$1:$L$1,0),FALSE))</f>
        <v>0</v>
      </c>
      <c r="M422">
        <f t="shared" si="24"/>
        <v>0</v>
      </c>
      <c r="N422" s="1">
        <f>_xlfn.XLOOKUP(A422,'Product Detail'!$AG:$AG,'Product Detail'!$AH:$AH,"N/A")</f>
        <v>5.2192000000000007</v>
      </c>
      <c r="O422" s="1">
        <f t="shared" si="25"/>
        <v>0</v>
      </c>
      <c r="P422" s="4">
        <f t="shared" si="26"/>
        <v>45352</v>
      </c>
      <c r="Q422" s="4">
        <f t="shared" si="27"/>
        <v>45413</v>
      </c>
    </row>
    <row r="423" spans="1:17" x14ac:dyDescent="0.25">
      <c r="A423">
        <v>38528</v>
      </c>
      <c r="B423" t="s">
        <v>150</v>
      </c>
      <c r="C423" t="str">
        <f>_xlfn.XLOOKUP(B423,Multipliers!A:A,Multipliers!C:C)</f>
        <v>Jeffrey Weight</v>
      </c>
      <c r="D423" s="3">
        <v>45295</v>
      </c>
      <c r="E423" t="s">
        <v>1877</v>
      </c>
      <c r="F423" t="s">
        <v>2118</v>
      </c>
      <c r="G423" t="s">
        <v>738</v>
      </c>
      <c r="H423">
        <v>0</v>
      </c>
      <c r="I423" s="1">
        <v>0</v>
      </c>
      <c r="J423" s="1">
        <v>0</v>
      </c>
      <c r="K423">
        <v>1</v>
      </c>
      <c r="L423">
        <f>IF(E423="4. Renewal - MRR",IF(I423&lt;=0,0,VLOOKUP(B423,Multipliers!A:L,MATCH(K423,Multipliers!$A$1:$L$1,0),FALSE)),VLOOKUP(B423,Multipliers!A:L,MATCH(K423,Multipliers!$A$1:$L$1,0),FALSE))</f>
        <v>0</v>
      </c>
      <c r="M423">
        <f t="shared" si="24"/>
        <v>0</v>
      </c>
      <c r="N423" s="1">
        <f>_xlfn.XLOOKUP(A423,'Product Detail'!$AG:$AG,'Product Detail'!$AH:$AH,"N/A")</f>
        <v>50.537600000000005</v>
      </c>
      <c r="O423" s="1">
        <f t="shared" si="25"/>
        <v>0</v>
      </c>
      <c r="P423" s="4">
        <f t="shared" si="26"/>
        <v>45352</v>
      </c>
      <c r="Q423" s="4">
        <f t="shared" si="27"/>
        <v>45413</v>
      </c>
    </row>
    <row r="424" spans="1:17" x14ac:dyDescent="0.25">
      <c r="A424">
        <v>39380</v>
      </c>
      <c r="B424" t="s">
        <v>61</v>
      </c>
      <c r="C424" t="str">
        <f>_xlfn.XLOOKUP(B424,Multipliers!A:A,Multipliers!C:C)</f>
        <v>John Powell</v>
      </c>
      <c r="D424" s="3">
        <v>45317</v>
      </c>
      <c r="E424" t="s">
        <v>1877</v>
      </c>
      <c r="F424" t="s">
        <v>1987</v>
      </c>
      <c r="G424" t="s">
        <v>1692</v>
      </c>
      <c r="H424">
        <v>0</v>
      </c>
      <c r="I424" s="1">
        <v>0</v>
      </c>
      <c r="J424" s="1">
        <v>0</v>
      </c>
      <c r="K424">
        <v>1</v>
      </c>
      <c r="L424">
        <f>IF(E424="4. Renewal - MRR",IF(I424&lt;=0,0,VLOOKUP(B424,Multipliers!A:L,MATCH(K424,Multipliers!$A$1:$L$1,0),FALSE)),VLOOKUP(B424,Multipliers!A:L,MATCH(K424,Multipliers!$A$1:$L$1,0),FALSE))</f>
        <v>0</v>
      </c>
      <c r="M424">
        <f t="shared" si="24"/>
        <v>0</v>
      </c>
      <c r="N424" s="1">
        <f>_xlfn.XLOOKUP(A424,'Product Detail'!$AG:$AG,'Product Detail'!$AH:$AH,"N/A")</f>
        <v>0</v>
      </c>
      <c r="O424" s="1">
        <f t="shared" si="25"/>
        <v>0</v>
      </c>
      <c r="P424" s="4">
        <f t="shared" si="26"/>
        <v>45352</v>
      </c>
      <c r="Q424" s="4">
        <f t="shared" si="27"/>
        <v>45413</v>
      </c>
    </row>
    <row r="425" spans="1:17" x14ac:dyDescent="0.25">
      <c r="A425">
        <v>38524</v>
      </c>
      <c r="B425" t="s">
        <v>1874</v>
      </c>
      <c r="C425" t="str">
        <f>_xlfn.XLOOKUP(B425,Multipliers!A:A,Multipliers!C:C)</f>
        <v>Jeffrey Weight</v>
      </c>
      <c r="D425" s="3">
        <v>45303</v>
      </c>
      <c r="E425" t="s">
        <v>1881</v>
      </c>
      <c r="F425" t="s">
        <v>2119</v>
      </c>
      <c r="G425" t="s">
        <v>734</v>
      </c>
      <c r="H425">
        <v>0</v>
      </c>
      <c r="I425" s="1">
        <v>0</v>
      </c>
      <c r="J425" s="1">
        <v>0</v>
      </c>
      <c r="K425">
        <v>1</v>
      </c>
      <c r="L425">
        <f>IF(E425="4. Renewal - MRR",IF(I425&lt;=0,0,VLOOKUP(B425,Multipliers!A:L,MATCH(K425,Multipliers!$A$1:$L$1,0),FALSE)),VLOOKUP(B425,Multipliers!A:L,MATCH(K425,Multipliers!$A$1:$L$1,0),FALSE))</f>
        <v>0</v>
      </c>
      <c r="M425">
        <f t="shared" si="24"/>
        <v>0</v>
      </c>
      <c r="N425" s="1">
        <f>_xlfn.XLOOKUP(A425,'Product Detail'!$AG:$AG,'Product Detail'!$AH:$AH,"N/A")</f>
        <v>31.268799999999999</v>
      </c>
      <c r="O425" s="1">
        <f t="shared" si="25"/>
        <v>0</v>
      </c>
      <c r="P425" s="4">
        <f t="shared" si="26"/>
        <v>45352</v>
      </c>
      <c r="Q425" s="4">
        <f t="shared" si="27"/>
        <v>45413</v>
      </c>
    </row>
    <row r="426" spans="1:17" x14ac:dyDescent="0.25">
      <c r="A426">
        <v>38522</v>
      </c>
      <c r="B426" t="s">
        <v>1874</v>
      </c>
      <c r="C426" t="str">
        <f>_xlfn.XLOOKUP(B426,Multipliers!A:A,Multipliers!C:C)</f>
        <v>Jeffrey Weight</v>
      </c>
      <c r="D426" s="3">
        <v>45307</v>
      </c>
      <c r="E426" t="s">
        <v>1877</v>
      </c>
      <c r="F426" t="s">
        <v>2120</v>
      </c>
      <c r="G426" t="s">
        <v>731</v>
      </c>
      <c r="H426">
        <v>0</v>
      </c>
      <c r="I426" s="1">
        <v>0</v>
      </c>
      <c r="J426" s="1">
        <v>0</v>
      </c>
      <c r="K426">
        <v>1</v>
      </c>
      <c r="L426">
        <f>IF(E426="4. Renewal - MRR",IF(I426&lt;=0,0,VLOOKUP(B426,Multipliers!A:L,MATCH(K426,Multipliers!$A$1:$L$1,0),FALSE)),VLOOKUP(B426,Multipliers!A:L,MATCH(K426,Multipliers!$A$1:$L$1,0),FALSE))</f>
        <v>0</v>
      </c>
      <c r="M426">
        <f t="shared" si="24"/>
        <v>0</v>
      </c>
      <c r="N426" s="1">
        <f>_xlfn.XLOOKUP(A426,'Product Detail'!$AG:$AG,'Product Detail'!$AH:$AH,"N/A")</f>
        <v>76.42</v>
      </c>
      <c r="O426" s="1">
        <f t="shared" si="25"/>
        <v>0</v>
      </c>
      <c r="P426" s="4">
        <f t="shared" si="26"/>
        <v>45352</v>
      </c>
      <c r="Q426" s="4">
        <f t="shared" si="27"/>
        <v>45413</v>
      </c>
    </row>
    <row r="427" spans="1:17" x14ac:dyDescent="0.25">
      <c r="A427">
        <v>38518</v>
      </c>
      <c r="B427" t="s">
        <v>132</v>
      </c>
      <c r="C427" t="str">
        <f>_xlfn.XLOOKUP(B427,Multipliers!A:A,Multipliers!C:C)</f>
        <v>Jeffrey Weight</v>
      </c>
      <c r="D427" s="3">
        <v>45299</v>
      </c>
      <c r="E427" t="s">
        <v>1877</v>
      </c>
      <c r="F427" t="s">
        <v>1907</v>
      </c>
      <c r="G427" t="s">
        <v>724</v>
      </c>
      <c r="H427">
        <v>0</v>
      </c>
      <c r="I427" s="1">
        <v>0</v>
      </c>
      <c r="J427" s="1">
        <v>0</v>
      </c>
      <c r="K427">
        <v>1</v>
      </c>
      <c r="L427">
        <f>IF(E427="4. Renewal - MRR",IF(I427&lt;=0,0,VLOOKUP(B427,Multipliers!A:L,MATCH(K427,Multipliers!$A$1:$L$1,0),FALSE)),VLOOKUP(B427,Multipliers!A:L,MATCH(K427,Multipliers!$A$1:$L$1,0),FALSE))</f>
        <v>0</v>
      </c>
      <c r="M427">
        <f t="shared" si="24"/>
        <v>0</v>
      </c>
      <c r="N427" s="1">
        <f>_xlfn.XLOOKUP(A427,'Product Detail'!$AG:$AG,'Product Detail'!$AH:$AH,"N/A")</f>
        <v>57.7744</v>
      </c>
      <c r="O427" s="1">
        <f t="shared" si="25"/>
        <v>0</v>
      </c>
      <c r="P427" s="4">
        <f t="shared" si="26"/>
        <v>45352</v>
      </c>
      <c r="Q427" s="4">
        <f t="shared" si="27"/>
        <v>45413</v>
      </c>
    </row>
    <row r="428" spans="1:17" x14ac:dyDescent="0.25">
      <c r="A428">
        <v>38516</v>
      </c>
      <c r="B428" t="s">
        <v>132</v>
      </c>
      <c r="C428" t="str">
        <f>_xlfn.XLOOKUP(B428,Multipliers!A:A,Multipliers!C:C)</f>
        <v>Jeffrey Weight</v>
      </c>
      <c r="D428" s="3">
        <v>45295</v>
      </c>
      <c r="E428" t="s">
        <v>1877</v>
      </c>
      <c r="F428" t="s">
        <v>2121</v>
      </c>
      <c r="G428" t="s">
        <v>719</v>
      </c>
      <c r="H428">
        <v>0</v>
      </c>
      <c r="I428" s="1">
        <v>0</v>
      </c>
      <c r="J428" s="1">
        <v>0</v>
      </c>
      <c r="K428">
        <v>1</v>
      </c>
      <c r="L428">
        <f>IF(E428="4. Renewal - MRR",IF(I428&lt;=0,0,VLOOKUP(B428,Multipliers!A:L,MATCH(K428,Multipliers!$A$1:$L$1,0),FALSE)),VLOOKUP(B428,Multipliers!A:L,MATCH(K428,Multipliers!$A$1:$L$1,0),FALSE))</f>
        <v>0</v>
      </c>
      <c r="M428">
        <f t="shared" si="24"/>
        <v>0</v>
      </c>
      <c r="N428" s="1">
        <f>_xlfn.XLOOKUP(A428,'Product Detail'!$AG:$AG,'Product Detail'!$AH:$AH,"N/A")</f>
        <v>79.260799999999989</v>
      </c>
      <c r="O428" s="1">
        <f t="shared" si="25"/>
        <v>0</v>
      </c>
      <c r="P428" s="4">
        <f t="shared" si="26"/>
        <v>45352</v>
      </c>
      <c r="Q428" s="4">
        <f t="shared" si="27"/>
        <v>45413</v>
      </c>
    </row>
    <row r="429" spans="1:17" x14ac:dyDescent="0.25">
      <c r="A429">
        <v>38515</v>
      </c>
      <c r="B429" t="s">
        <v>1874</v>
      </c>
      <c r="C429" t="str">
        <f>_xlfn.XLOOKUP(B429,Multipliers!A:A,Multipliers!C:C)</f>
        <v>Jeffrey Weight</v>
      </c>
      <c r="D429" s="3">
        <v>45295</v>
      </c>
      <c r="E429" t="s">
        <v>1877</v>
      </c>
      <c r="F429" t="s">
        <v>2094</v>
      </c>
      <c r="G429" t="s">
        <v>714</v>
      </c>
      <c r="H429">
        <v>0</v>
      </c>
      <c r="I429" s="1">
        <v>0</v>
      </c>
      <c r="J429" s="1">
        <v>0</v>
      </c>
      <c r="K429">
        <v>1</v>
      </c>
      <c r="L429">
        <f>IF(E429="4. Renewal - MRR",IF(I429&lt;=0,0,VLOOKUP(B429,Multipliers!A:L,MATCH(K429,Multipliers!$A$1:$L$1,0),FALSE)),VLOOKUP(B429,Multipliers!A:L,MATCH(K429,Multipliers!$A$1:$L$1,0),FALSE))</f>
        <v>0</v>
      </c>
      <c r="M429">
        <f t="shared" si="24"/>
        <v>0</v>
      </c>
      <c r="N429" s="1">
        <f>_xlfn.XLOOKUP(A429,'Product Detail'!$AG:$AG,'Product Detail'!$AH:$AH,"N/A")</f>
        <v>35.780799999999999</v>
      </c>
      <c r="O429" s="1">
        <f t="shared" si="25"/>
        <v>0</v>
      </c>
      <c r="P429" s="4">
        <f t="shared" si="26"/>
        <v>45352</v>
      </c>
      <c r="Q429" s="4">
        <f t="shared" si="27"/>
        <v>45413</v>
      </c>
    </row>
    <row r="430" spans="1:17" x14ac:dyDescent="0.25">
      <c r="A430">
        <v>38503</v>
      </c>
      <c r="B430" t="s">
        <v>132</v>
      </c>
      <c r="C430" t="str">
        <f>_xlfn.XLOOKUP(B430,Multipliers!A:A,Multipliers!C:C)</f>
        <v>Jeffrey Weight</v>
      </c>
      <c r="D430" s="3">
        <v>45307</v>
      </c>
      <c r="E430" t="s">
        <v>1877</v>
      </c>
      <c r="F430" t="s">
        <v>1899</v>
      </c>
      <c r="G430" t="s">
        <v>700</v>
      </c>
      <c r="H430">
        <v>0</v>
      </c>
      <c r="I430" s="1">
        <v>0</v>
      </c>
      <c r="J430" s="1">
        <v>0</v>
      </c>
      <c r="K430">
        <v>1</v>
      </c>
      <c r="L430">
        <f>IF(E430="4. Renewal - MRR",IF(I430&lt;=0,0,VLOOKUP(B430,Multipliers!A:L,MATCH(K430,Multipliers!$A$1:$L$1,0),FALSE)),VLOOKUP(B430,Multipliers!A:L,MATCH(K430,Multipliers!$A$1:$L$1,0),FALSE))</f>
        <v>0</v>
      </c>
      <c r="M430">
        <f t="shared" si="24"/>
        <v>0</v>
      </c>
      <c r="N430" s="1">
        <f>_xlfn.XLOOKUP(A430,'Product Detail'!$AG:$AG,'Product Detail'!$AH:$AH,"N/A")</f>
        <v>310.61840000000001</v>
      </c>
      <c r="O430" s="1">
        <f t="shared" si="25"/>
        <v>0</v>
      </c>
      <c r="P430" s="4">
        <f t="shared" si="26"/>
        <v>45352</v>
      </c>
      <c r="Q430" s="4">
        <f t="shared" si="27"/>
        <v>45413</v>
      </c>
    </row>
    <row r="431" spans="1:17" x14ac:dyDescent="0.25">
      <c r="A431">
        <v>38496</v>
      </c>
      <c r="B431" t="s">
        <v>184</v>
      </c>
      <c r="C431" t="str">
        <f>_xlfn.XLOOKUP(B431,Multipliers!A:A,Multipliers!C:C)</f>
        <v>Jeffrey Weight</v>
      </c>
      <c r="D431" s="3">
        <v>45293</v>
      </c>
      <c r="E431" t="s">
        <v>1877</v>
      </c>
      <c r="F431" t="s">
        <v>2122</v>
      </c>
      <c r="G431" t="s">
        <v>696</v>
      </c>
      <c r="H431">
        <v>0</v>
      </c>
      <c r="I431" s="1">
        <v>0</v>
      </c>
      <c r="J431" s="1">
        <v>0</v>
      </c>
      <c r="K431">
        <v>1</v>
      </c>
      <c r="L431">
        <f>IF(E431="4. Renewal - MRR",IF(I431&lt;=0,0,VLOOKUP(B431,Multipliers!A:L,MATCH(K431,Multipliers!$A$1:$L$1,0),FALSE)),VLOOKUP(B431,Multipliers!A:L,MATCH(K431,Multipliers!$A$1:$L$1,0),FALSE))</f>
        <v>0</v>
      </c>
      <c r="M431">
        <f t="shared" si="24"/>
        <v>0</v>
      </c>
      <c r="N431" s="1">
        <f>_xlfn.XLOOKUP(A431,'Product Detail'!$AG:$AG,'Product Detail'!$AH:$AH,"N/A")</f>
        <v>0</v>
      </c>
      <c r="O431" s="1">
        <f t="shared" si="25"/>
        <v>0</v>
      </c>
      <c r="P431" s="4">
        <f t="shared" si="26"/>
        <v>45352</v>
      </c>
      <c r="Q431" s="4">
        <f t="shared" si="27"/>
        <v>45413</v>
      </c>
    </row>
    <row r="432" spans="1:17" x14ac:dyDescent="0.25">
      <c r="A432">
        <v>38494</v>
      </c>
      <c r="B432" t="s">
        <v>132</v>
      </c>
      <c r="C432" t="str">
        <f>_xlfn.XLOOKUP(B432,Multipliers!A:A,Multipliers!C:C)</f>
        <v>Jeffrey Weight</v>
      </c>
      <c r="D432" s="3">
        <v>45297</v>
      </c>
      <c r="E432" t="s">
        <v>1877</v>
      </c>
      <c r="F432" t="s">
        <v>1997</v>
      </c>
      <c r="G432" t="s">
        <v>693</v>
      </c>
      <c r="H432">
        <v>0</v>
      </c>
      <c r="I432" s="1">
        <v>0</v>
      </c>
      <c r="J432" s="1">
        <v>0</v>
      </c>
      <c r="K432">
        <v>1</v>
      </c>
      <c r="L432">
        <f>IF(E432="4. Renewal - MRR",IF(I432&lt;=0,0,VLOOKUP(B432,Multipliers!A:L,MATCH(K432,Multipliers!$A$1:$L$1,0),FALSE)),VLOOKUP(B432,Multipliers!A:L,MATCH(K432,Multipliers!$A$1:$L$1,0),FALSE))</f>
        <v>0</v>
      </c>
      <c r="M432">
        <f t="shared" si="24"/>
        <v>0</v>
      </c>
      <c r="N432" s="1">
        <f>_xlfn.XLOOKUP(A432,'Product Detail'!$AG:$AG,'Product Detail'!$AH:$AH,"N/A")</f>
        <v>1.3503999999999996</v>
      </c>
      <c r="O432" s="1">
        <f t="shared" si="25"/>
        <v>0</v>
      </c>
      <c r="P432" s="4">
        <f t="shared" si="26"/>
        <v>45352</v>
      </c>
      <c r="Q432" s="4">
        <f t="shared" si="27"/>
        <v>45413</v>
      </c>
    </row>
    <row r="433" spans="1:17" x14ac:dyDescent="0.25">
      <c r="A433" s="2">
        <v>39381</v>
      </c>
      <c r="B433" t="s">
        <v>43</v>
      </c>
      <c r="C433" t="s">
        <v>2441</v>
      </c>
      <c r="D433" s="3">
        <v>45317</v>
      </c>
      <c r="E433" t="s">
        <v>1877</v>
      </c>
      <c r="F433" t="s">
        <v>1892</v>
      </c>
      <c r="G433" t="s">
        <v>2193</v>
      </c>
      <c r="H433">
        <v>0</v>
      </c>
      <c r="I433" s="1">
        <v>19.8</v>
      </c>
      <c r="J433" s="1">
        <v>0</v>
      </c>
      <c r="K433">
        <v>36</v>
      </c>
      <c r="L433">
        <f>IF(E433="4. Renewal - MRR",IF(I433&lt;=0,0,VLOOKUP(B433,Multipliers!A:L,MATCH(K433,Multipliers!$A$1:$L$1,0),FALSE)),VLOOKUP(B433,Multipliers!A:L,MATCH(K433,Multipliers!$A$1:$L$1,0),FALSE))</f>
        <v>0.5</v>
      </c>
      <c r="M433">
        <f t="shared" si="24"/>
        <v>0</v>
      </c>
      <c r="N433" s="1" t="str">
        <f>_xlfn.XLOOKUP(A433,'Product Detail'!$AG:$AG,'Product Detail'!$AH:$AH,"N/A")</f>
        <v>N/A</v>
      </c>
      <c r="O433" s="1">
        <f t="shared" si="25"/>
        <v>9.9</v>
      </c>
      <c r="P433" s="4">
        <f t="shared" si="26"/>
        <v>45352</v>
      </c>
      <c r="Q433" s="4">
        <f t="shared" si="27"/>
        <v>45413</v>
      </c>
    </row>
    <row r="434" spans="1:17" x14ac:dyDescent="0.25">
      <c r="A434">
        <v>38488</v>
      </c>
      <c r="B434" t="s">
        <v>1874</v>
      </c>
      <c r="C434" t="str">
        <f>_xlfn.XLOOKUP(B434,Multipliers!A:A,Multipliers!C:C)</f>
        <v>Jeffrey Weight</v>
      </c>
      <c r="D434" s="3">
        <v>45295</v>
      </c>
      <c r="E434" t="s">
        <v>1877</v>
      </c>
      <c r="F434" t="s">
        <v>2000</v>
      </c>
      <c r="G434" t="s">
        <v>685</v>
      </c>
      <c r="H434">
        <v>0</v>
      </c>
      <c r="I434" s="1">
        <v>0</v>
      </c>
      <c r="J434" s="1">
        <v>0</v>
      </c>
      <c r="K434">
        <v>1</v>
      </c>
      <c r="L434">
        <f>IF(E434="4. Renewal - MRR",IF(I434&lt;=0,0,VLOOKUP(B434,Multipliers!A:L,MATCH(K434,Multipliers!$A$1:$L$1,0),FALSE)),VLOOKUP(B434,Multipliers!A:L,MATCH(K434,Multipliers!$A$1:$L$1,0),FALSE))</f>
        <v>0</v>
      </c>
      <c r="M434">
        <f t="shared" si="24"/>
        <v>0</v>
      </c>
      <c r="N434" s="1">
        <f>_xlfn.XLOOKUP(A434,'Product Detail'!$AG:$AG,'Product Detail'!$AH:$AH,"N/A")</f>
        <v>19.623200000000008</v>
      </c>
      <c r="O434" s="1">
        <f t="shared" si="25"/>
        <v>0</v>
      </c>
      <c r="P434" s="4">
        <f t="shared" si="26"/>
        <v>45352</v>
      </c>
      <c r="Q434" s="4">
        <f t="shared" si="27"/>
        <v>45413</v>
      </c>
    </row>
    <row r="435" spans="1:17" x14ac:dyDescent="0.25">
      <c r="A435">
        <v>38485</v>
      </c>
      <c r="B435" t="s">
        <v>132</v>
      </c>
      <c r="C435" t="str">
        <f>_xlfn.XLOOKUP(B435,Multipliers!A:A,Multipliers!C:C)</f>
        <v>Jeffrey Weight</v>
      </c>
      <c r="D435" s="3">
        <v>45293</v>
      </c>
      <c r="E435" t="s">
        <v>1877</v>
      </c>
      <c r="F435" t="s">
        <v>2081</v>
      </c>
      <c r="G435" t="s">
        <v>682</v>
      </c>
      <c r="H435">
        <v>0</v>
      </c>
      <c r="I435" s="1">
        <v>0</v>
      </c>
      <c r="J435" s="1">
        <v>0</v>
      </c>
      <c r="K435">
        <v>1</v>
      </c>
      <c r="L435">
        <f>IF(E435="4. Renewal - MRR",IF(I435&lt;=0,0,VLOOKUP(B435,Multipliers!A:L,MATCH(K435,Multipliers!$A$1:$L$1,0),FALSE)),VLOOKUP(B435,Multipliers!A:L,MATCH(K435,Multipliers!$A$1:$L$1,0),FALSE))</f>
        <v>0</v>
      </c>
      <c r="M435">
        <f t="shared" si="24"/>
        <v>0</v>
      </c>
      <c r="N435" s="1">
        <f>_xlfn.XLOOKUP(A435,'Product Detail'!$AG:$AG,'Product Detail'!$AH:$AH,"N/A")</f>
        <v>5.2040000000000006</v>
      </c>
      <c r="O435" s="1">
        <f t="shared" si="25"/>
        <v>0</v>
      </c>
      <c r="P435" s="4">
        <f t="shared" si="26"/>
        <v>45352</v>
      </c>
      <c r="Q435" s="4">
        <f t="shared" si="27"/>
        <v>45413</v>
      </c>
    </row>
    <row r="436" spans="1:17" x14ac:dyDescent="0.25">
      <c r="A436">
        <v>39382</v>
      </c>
      <c r="B436" t="s">
        <v>61</v>
      </c>
      <c r="C436" t="str">
        <f>_xlfn.XLOOKUP(B436,Multipliers!A:A,Multipliers!C:C)</f>
        <v>John Powell</v>
      </c>
      <c r="D436" s="3">
        <v>45317</v>
      </c>
      <c r="E436" t="s">
        <v>1877</v>
      </c>
      <c r="F436" t="s">
        <v>1987</v>
      </c>
      <c r="G436" t="s">
        <v>1693</v>
      </c>
      <c r="H436">
        <v>0</v>
      </c>
      <c r="I436" s="1">
        <v>0</v>
      </c>
      <c r="J436" s="1">
        <v>0</v>
      </c>
      <c r="K436">
        <v>1</v>
      </c>
      <c r="L436">
        <f>IF(E436="4. Renewal - MRR",IF(I436&lt;=0,0,VLOOKUP(B436,Multipliers!A:L,MATCH(K436,Multipliers!$A$1:$L$1,0),FALSE)),VLOOKUP(B436,Multipliers!A:L,MATCH(K436,Multipliers!$A$1:$L$1,0),FALSE))</f>
        <v>0</v>
      </c>
      <c r="M436">
        <f t="shared" si="24"/>
        <v>0</v>
      </c>
      <c r="N436" s="1">
        <f>_xlfn.XLOOKUP(A436,'Product Detail'!$AG:$AG,'Product Detail'!$AH:$AH,"N/A")</f>
        <v>0</v>
      </c>
      <c r="O436" s="1">
        <f t="shared" si="25"/>
        <v>0</v>
      </c>
      <c r="P436" s="4">
        <f t="shared" si="26"/>
        <v>45352</v>
      </c>
      <c r="Q436" s="4">
        <f t="shared" si="27"/>
        <v>45413</v>
      </c>
    </row>
    <row r="437" spans="1:17" x14ac:dyDescent="0.25">
      <c r="A437">
        <v>39383</v>
      </c>
      <c r="B437" t="s">
        <v>61</v>
      </c>
      <c r="C437" t="str">
        <f>_xlfn.XLOOKUP(B437,Multipliers!A:A,Multipliers!C:C)</f>
        <v>John Powell</v>
      </c>
      <c r="D437" s="3">
        <v>45317</v>
      </c>
      <c r="E437" t="s">
        <v>1877</v>
      </c>
      <c r="F437" t="s">
        <v>1987</v>
      </c>
      <c r="G437" t="s">
        <v>1694</v>
      </c>
      <c r="H437">
        <v>0</v>
      </c>
      <c r="I437" s="1">
        <v>0</v>
      </c>
      <c r="J437" s="1">
        <v>0</v>
      </c>
      <c r="K437">
        <v>1</v>
      </c>
      <c r="L437">
        <f>IF(E437="4. Renewal - MRR",IF(I437&lt;=0,0,VLOOKUP(B437,Multipliers!A:L,MATCH(K437,Multipliers!$A$1:$L$1,0),FALSE)),VLOOKUP(B437,Multipliers!A:L,MATCH(K437,Multipliers!$A$1:$L$1,0),FALSE))</f>
        <v>0</v>
      </c>
      <c r="M437">
        <f t="shared" si="24"/>
        <v>0</v>
      </c>
      <c r="N437" s="1">
        <f>_xlfn.XLOOKUP(A437,'Product Detail'!$AG:$AG,'Product Detail'!$AH:$AH,"N/A")</f>
        <v>0</v>
      </c>
      <c r="O437" s="1">
        <f t="shared" si="25"/>
        <v>0</v>
      </c>
      <c r="P437" s="4">
        <f t="shared" si="26"/>
        <v>45352</v>
      </c>
      <c r="Q437" s="4">
        <f t="shared" si="27"/>
        <v>45413</v>
      </c>
    </row>
    <row r="438" spans="1:17" x14ac:dyDescent="0.25">
      <c r="A438">
        <v>38479</v>
      </c>
      <c r="B438" t="s">
        <v>174</v>
      </c>
      <c r="C438" t="str">
        <f>_xlfn.XLOOKUP(B438,Multipliers!A:A,Multipliers!C:C)</f>
        <v>Anthony Laiewski</v>
      </c>
      <c r="D438" s="3">
        <v>45294</v>
      </c>
      <c r="E438" t="s">
        <v>1881</v>
      </c>
      <c r="F438" t="s">
        <v>2027</v>
      </c>
      <c r="G438" t="s">
        <v>669</v>
      </c>
      <c r="H438">
        <v>0</v>
      </c>
      <c r="I438" s="1">
        <v>0</v>
      </c>
      <c r="J438" s="1">
        <v>0</v>
      </c>
      <c r="K438">
        <v>1</v>
      </c>
      <c r="L438">
        <f>IF(E438="4. Renewal - MRR",IF(I438&lt;=0,0,VLOOKUP(B438,Multipliers!A:L,MATCH(K438,Multipliers!$A$1:$L$1,0),FALSE)),VLOOKUP(B438,Multipliers!A:L,MATCH(K438,Multipliers!$A$1:$L$1,0),FALSE))</f>
        <v>0</v>
      </c>
      <c r="M438">
        <f t="shared" si="24"/>
        <v>0</v>
      </c>
      <c r="N438" s="1">
        <f>_xlfn.XLOOKUP(A438,'Product Detail'!$AG:$AG,'Product Detail'!$AH:$AH,"N/A")</f>
        <v>0</v>
      </c>
      <c r="O438" s="1">
        <f t="shared" si="25"/>
        <v>0</v>
      </c>
      <c r="P438" s="4">
        <f t="shared" si="26"/>
        <v>45352</v>
      </c>
      <c r="Q438" s="4">
        <f t="shared" si="27"/>
        <v>45413</v>
      </c>
    </row>
    <row r="439" spans="1:17" x14ac:dyDescent="0.25">
      <c r="A439">
        <v>38477</v>
      </c>
      <c r="B439" t="s">
        <v>174</v>
      </c>
      <c r="C439" t="str">
        <f>_xlfn.XLOOKUP(B439,Multipliers!A:A,Multipliers!C:C)</f>
        <v>Anthony Laiewski</v>
      </c>
      <c r="D439" s="3">
        <v>45293</v>
      </c>
      <c r="E439" t="s">
        <v>1877</v>
      </c>
      <c r="F439" t="s">
        <v>2102</v>
      </c>
      <c r="G439" t="s">
        <v>666</v>
      </c>
      <c r="H439">
        <v>0</v>
      </c>
      <c r="I439" s="1">
        <v>0</v>
      </c>
      <c r="J439" s="1">
        <v>0</v>
      </c>
      <c r="K439">
        <v>1</v>
      </c>
      <c r="L439">
        <f>IF(E439="4. Renewal - MRR",IF(I439&lt;=0,0,VLOOKUP(B439,Multipliers!A:L,MATCH(K439,Multipliers!$A$1:$L$1,0),FALSE)),VLOOKUP(B439,Multipliers!A:L,MATCH(K439,Multipliers!$A$1:$L$1,0),FALSE))</f>
        <v>0</v>
      </c>
      <c r="M439">
        <f t="shared" si="24"/>
        <v>0</v>
      </c>
      <c r="N439" s="1">
        <f>_xlfn.XLOOKUP(A439,'Product Detail'!$AG:$AG,'Product Detail'!$AH:$AH,"N/A")</f>
        <v>0</v>
      </c>
      <c r="O439" s="1">
        <f t="shared" si="25"/>
        <v>0</v>
      </c>
      <c r="P439" s="4">
        <f t="shared" si="26"/>
        <v>45352</v>
      </c>
      <c r="Q439" s="4">
        <f t="shared" si="27"/>
        <v>45413</v>
      </c>
    </row>
    <row r="440" spans="1:17" x14ac:dyDescent="0.25">
      <c r="A440">
        <v>38474</v>
      </c>
      <c r="B440" t="s">
        <v>140</v>
      </c>
      <c r="C440" t="str">
        <f>_xlfn.XLOOKUP(B440,Multipliers!A:A,Multipliers!C:C)</f>
        <v>Jeffrey Weight</v>
      </c>
      <c r="D440" s="3">
        <v>45293</v>
      </c>
      <c r="E440" t="s">
        <v>1877</v>
      </c>
      <c r="F440" t="s">
        <v>2125</v>
      </c>
      <c r="G440" t="s">
        <v>662</v>
      </c>
      <c r="H440">
        <v>0</v>
      </c>
      <c r="I440" s="1">
        <v>0</v>
      </c>
      <c r="J440" s="1">
        <v>0</v>
      </c>
      <c r="K440">
        <v>1</v>
      </c>
      <c r="L440">
        <f>IF(E440="4. Renewal - MRR",IF(I440&lt;=0,0,VLOOKUP(B440,Multipliers!A:L,MATCH(K440,Multipliers!$A$1:$L$1,0),FALSE)),VLOOKUP(B440,Multipliers!A:L,MATCH(K440,Multipliers!$A$1:$L$1,0),FALSE))</f>
        <v>0</v>
      </c>
      <c r="M440">
        <f t="shared" si="24"/>
        <v>0</v>
      </c>
      <c r="N440" s="1">
        <f>_xlfn.XLOOKUP(A440,'Product Detail'!$AG:$AG,'Product Detail'!$AH:$AH,"N/A")</f>
        <v>26.240000000000002</v>
      </c>
      <c r="O440" s="1">
        <f t="shared" si="25"/>
        <v>0</v>
      </c>
      <c r="P440" s="4">
        <f t="shared" si="26"/>
        <v>45352</v>
      </c>
      <c r="Q440" s="4">
        <f t="shared" si="27"/>
        <v>45413</v>
      </c>
    </row>
    <row r="441" spans="1:17" x14ac:dyDescent="0.25">
      <c r="A441">
        <v>38473</v>
      </c>
      <c r="B441" t="s">
        <v>1874</v>
      </c>
      <c r="C441" t="str">
        <f>_xlfn.XLOOKUP(B441,Multipliers!A:A,Multipliers!C:C)</f>
        <v>Jeffrey Weight</v>
      </c>
      <c r="D441" s="3">
        <v>45307</v>
      </c>
      <c r="E441" t="s">
        <v>1877</v>
      </c>
      <c r="F441" t="s">
        <v>2018</v>
      </c>
      <c r="G441" t="s">
        <v>656</v>
      </c>
      <c r="H441">
        <v>0</v>
      </c>
      <c r="I441" s="1">
        <v>0</v>
      </c>
      <c r="J441" s="1">
        <v>0</v>
      </c>
      <c r="K441">
        <v>1</v>
      </c>
      <c r="L441">
        <f>IF(E441="4. Renewal - MRR",IF(I441&lt;=0,0,VLOOKUP(B441,Multipliers!A:L,MATCH(K441,Multipliers!$A$1:$L$1,0),FALSE)),VLOOKUP(B441,Multipliers!A:L,MATCH(K441,Multipliers!$A$1:$L$1,0),FALSE))</f>
        <v>0</v>
      </c>
      <c r="M441">
        <f t="shared" si="24"/>
        <v>0</v>
      </c>
      <c r="N441" s="1">
        <f>_xlfn.XLOOKUP(A441,'Product Detail'!$AG:$AG,'Product Detail'!$AH:$AH,"N/A")</f>
        <v>90.455999999999989</v>
      </c>
      <c r="O441" s="1">
        <f t="shared" si="25"/>
        <v>0</v>
      </c>
      <c r="P441" s="4">
        <f t="shared" si="26"/>
        <v>45352</v>
      </c>
      <c r="Q441" s="4">
        <f t="shared" si="27"/>
        <v>45413</v>
      </c>
    </row>
    <row r="442" spans="1:17" x14ac:dyDescent="0.25">
      <c r="A442">
        <v>38463</v>
      </c>
      <c r="B442" t="s">
        <v>132</v>
      </c>
      <c r="C442" t="str">
        <f>_xlfn.XLOOKUP(B442,Multipliers!A:A,Multipliers!C:C)</f>
        <v>Jeffrey Weight</v>
      </c>
      <c r="D442" s="3">
        <v>45293</v>
      </c>
      <c r="E442" t="s">
        <v>1877</v>
      </c>
      <c r="F442" t="s">
        <v>1973</v>
      </c>
      <c r="G442" t="s">
        <v>653</v>
      </c>
      <c r="H442">
        <v>0</v>
      </c>
      <c r="I442" s="1">
        <v>0</v>
      </c>
      <c r="J442" s="1">
        <v>0</v>
      </c>
      <c r="K442">
        <v>1</v>
      </c>
      <c r="L442">
        <f>IF(E442="4. Renewal - MRR",IF(I442&lt;=0,0,VLOOKUP(B442,Multipliers!A:L,MATCH(K442,Multipliers!$A$1:$L$1,0),FALSE)),VLOOKUP(B442,Multipliers!A:L,MATCH(K442,Multipliers!$A$1:$L$1,0),FALSE))</f>
        <v>0</v>
      </c>
      <c r="M442">
        <f t="shared" si="24"/>
        <v>0</v>
      </c>
      <c r="N442" s="1">
        <f>_xlfn.XLOOKUP(A442,'Product Detail'!$AG:$AG,'Product Detail'!$AH:$AH,"N/A")</f>
        <v>8.3552000000000053</v>
      </c>
      <c r="O442" s="1">
        <f t="shared" si="25"/>
        <v>0</v>
      </c>
      <c r="P442" s="4">
        <f t="shared" si="26"/>
        <v>45352</v>
      </c>
      <c r="Q442" s="4">
        <f t="shared" si="27"/>
        <v>45413</v>
      </c>
    </row>
    <row r="443" spans="1:17" x14ac:dyDescent="0.25">
      <c r="A443">
        <v>38455</v>
      </c>
      <c r="B443" t="s">
        <v>132</v>
      </c>
      <c r="C443" t="str">
        <f>_xlfn.XLOOKUP(B443,Multipliers!A:A,Multipliers!C:C)</f>
        <v>Jeffrey Weight</v>
      </c>
      <c r="D443" s="3">
        <v>45316</v>
      </c>
      <c r="E443" t="s">
        <v>1877</v>
      </c>
      <c r="F443" t="s">
        <v>1910</v>
      </c>
      <c r="G443" t="s">
        <v>648</v>
      </c>
      <c r="H443">
        <v>0</v>
      </c>
      <c r="I443" s="1">
        <v>0</v>
      </c>
      <c r="J443" s="1">
        <v>0</v>
      </c>
      <c r="K443">
        <v>1</v>
      </c>
      <c r="L443">
        <f>IF(E443="4. Renewal - MRR",IF(I443&lt;=0,0,VLOOKUP(B443,Multipliers!A:L,MATCH(K443,Multipliers!$A$1:$L$1,0),FALSE)),VLOOKUP(B443,Multipliers!A:L,MATCH(K443,Multipliers!$A$1:$L$1,0),FALSE))</f>
        <v>0</v>
      </c>
      <c r="M443">
        <f t="shared" si="24"/>
        <v>0</v>
      </c>
      <c r="N443" s="1">
        <f>_xlfn.XLOOKUP(A443,'Product Detail'!$AG:$AG,'Product Detail'!$AH:$AH,"N/A")</f>
        <v>50.5608</v>
      </c>
      <c r="O443" s="1">
        <f t="shared" si="25"/>
        <v>0</v>
      </c>
      <c r="P443" s="4">
        <f t="shared" si="26"/>
        <v>45352</v>
      </c>
      <c r="Q443" s="4">
        <f t="shared" si="27"/>
        <v>45413</v>
      </c>
    </row>
    <row r="444" spans="1:17" x14ac:dyDescent="0.25">
      <c r="A444">
        <v>38447</v>
      </c>
      <c r="B444" t="s">
        <v>174</v>
      </c>
      <c r="C444" t="str">
        <f>_xlfn.XLOOKUP(B444,Multipliers!A:A,Multipliers!C:C)</f>
        <v>Anthony Laiewski</v>
      </c>
      <c r="D444" s="3">
        <v>45296</v>
      </c>
      <c r="E444" t="s">
        <v>1877</v>
      </c>
      <c r="F444" t="s">
        <v>2126</v>
      </c>
      <c r="G444" t="s">
        <v>640</v>
      </c>
      <c r="H444">
        <v>0</v>
      </c>
      <c r="I444" s="1">
        <v>0</v>
      </c>
      <c r="J444" s="1">
        <v>0</v>
      </c>
      <c r="K444">
        <v>1</v>
      </c>
      <c r="L444">
        <f>IF(E444="4. Renewal - MRR",IF(I444&lt;=0,0,VLOOKUP(B444,Multipliers!A:L,MATCH(K444,Multipliers!$A$1:$L$1,0),FALSE)),VLOOKUP(B444,Multipliers!A:L,MATCH(K444,Multipliers!$A$1:$L$1,0),FALSE))</f>
        <v>0</v>
      </c>
      <c r="M444">
        <f t="shared" si="24"/>
        <v>0</v>
      </c>
      <c r="N444" s="1">
        <f>_xlfn.XLOOKUP(A444,'Product Detail'!$AG:$AG,'Product Detail'!$AH:$AH,"N/A")</f>
        <v>0</v>
      </c>
      <c r="O444" s="1">
        <f t="shared" si="25"/>
        <v>0</v>
      </c>
      <c r="P444" s="4">
        <f t="shared" si="26"/>
        <v>45352</v>
      </c>
      <c r="Q444" s="4">
        <f t="shared" si="27"/>
        <v>45413</v>
      </c>
    </row>
    <row r="445" spans="1:17" x14ac:dyDescent="0.25">
      <c r="A445">
        <v>38421</v>
      </c>
      <c r="B445" t="s">
        <v>184</v>
      </c>
      <c r="C445" t="str">
        <f>_xlfn.XLOOKUP(B445,Multipliers!A:A,Multipliers!C:C)</f>
        <v>Jeffrey Weight</v>
      </c>
      <c r="D445" s="3">
        <v>45295</v>
      </c>
      <c r="E445" t="s">
        <v>1877</v>
      </c>
      <c r="F445" t="s">
        <v>2127</v>
      </c>
      <c r="G445" t="s">
        <v>635</v>
      </c>
      <c r="H445">
        <v>0</v>
      </c>
      <c r="I445" s="1">
        <v>0</v>
      </c>
      <c r="J445" s="1">
        <v>0</v>
      </c>
      <c r="K445">
        <v>1</v>
      </c>
      <c r="L445">
        <f>IF(E445="4. Renewal - MRR",IF(I445&lt;=0,0,VLOOKUP(B445,Multipliers!A:L,MATCH(K445,Multipliers!$A$1:$L$1,0),FALSE)),VLOOKUP(B445,Multipliers!A:L,MATCH(K445,Multipliers!$A$1:$L$1,0),FALSE))</f>
        <v>0</v>
      </c>
      <c r="M445">
        <f t="shared" si="24"/>
        <v>0</v>
      </c>
      <c r="N445" s="1">
        <f>_xlfn.XLOOKUP(A445,'Product Detail'!$AG:$AG,'Product Detail'!$AH:$AH,"N/A")</f>
        <v>0</v>
      </c>
      <c r="O445" s="1">
        <f t="shared" si="25"/>
        <v>0</v>
      </c>
      <c r="P445" s="4">
        <f t="shared" si="26"/>
        <v>45352</v>
      </c>
      <c r="Q445" s="4">
        <f t="shared" si="27"/>
        <v>45413</v>
      </c>
    </row>
    <row r="446" spans="1:17" x14ac:dyDescent="0.25">
      <c r="A446">
        <v>38415</v>
      </c>
      <c r="B446" t="s">
        <v>132</v>
      </c>
      <c r="C446" t="str">
        <f>_xlfn.XLOOKUP(B446,Multipliers!A:A,Multipliers!C:C)</f>
        <v>Jeffrey Weight</v>
      </c>
      <c r="D446" s="3">
        <v>45293</v>
      </c>
      <c r="E446" t="s">
        <v>1877</v>
      </c>
      <c r="F446" t="s">
        <v>1973</v>
      </c>
      <c r="G446" t="s">
        <v>632</v>
      </c>
      <c r="H446">
        <v>0</v>
      </c>
      <c r="I446" s="1">
        <v>0</v>
      </c>
      <c r="J446" s="1">
        <v>0</v>
      </c>
      <c r="K446">
        <v>1</v>
      </c>
      <c r="L446">
        <f>IF(E446="4. Renewal - MRR",IF(I446&lt;=0,0,VLOOKUP(B446,Multipliers!A:L,MATCH(K446,Multipliers!$A$1:$L$1,0),FALSE)),VLOOKUP(B446,Multipliers!A:L,MATCH(K446,Multipliers!$A$1:$L$1,0),FALSE))</f>
        <v>0</v>
      </c>
      <c r="M446">
        <f t="shared" si="24"/>
        <v>0</v>
      </c>
      <c r="N446" s="1">
        <f>_xlfn.XLOOKUP(A446,'Product Detail'!$AG:$AG,'Product Detail'!$AH:$AH,"N/A")</f>
        <v>16.274400000000007</v>
      </c>
      <c r="O446" s="1">
        <f t="shared" si="25"/>
        <v>0</v>
      </c>
      <c r="P446" s="4">
        <f t="shared" si="26"/>
        <v>45352</v>
      </c>
      <c r="Q446" s="4">
        <f t="shared" si="27"/>
        <v>45413</v>
      </c>
    </row>
    <row r="447" spans="1:17" x14ac:dyDescent="0.25">
      <c r="A447">
        <v>38396</v>
      </c>
      <c r="B447" t="s">
        <v>184</v>
      </c>
      <c r="C447" t="str">
        <f>_xlfn.XLOOKUP(B447,Multipliers!A:A,Multipliers!C:C)</f>
        <v>Jeffrey Weight</v>
      </c>
      <c r="D447" s="3">
        <v>45295</v>
      </c>
      <c r="E447" t="s">
        <v>1877</v>
      </c>
      <c r="F447" t="s">
        <v>1998</v>
      </c>
      <c r="G447" t="s">
        <v>626</v>
      </c>
      <c r="H447">
        <v>0</v>
      </c>
      <c r="I447" s="1">
        <v>0</v>
      </c>
      <c r="J447" s="1">
        <v>0</v>
      </c>
      <c r="K447">
        <v>1</v>
      </c>
      <c r="L447">
        <f>IF(E447="4. Renewal - MRR",IF(I447&lt;=0,0,VLOOKUP(B447,Multipliers!A:L,MATCH(K447,Multipliers!$A$1:$L$1,0),FALSE)),VLOOKUP(B447,Multipliers!A:L,MATCH(K447,Multipliers!$A$1:$L$1,0),FALSE))</f>
        <v>0</v>
      </c>
      <c r="M447">
        <f t="shared" si="24"/>
        <v>0</v>
      </c>
      <c r="N447" s="1">
        <f>_xlfn.XLOOKUP(A447,'Product Detail'!$AG:$AG,'Product Detail'!$AH:$AH,"N/A")</f>
        <v>0</v>
      </c>
      <c r="O447" s="1">
        <f t="shared" si="25"/>
        <v>0</v>
      </c>
      <c r="P447" s="4">
        <f t="shared" si="26"/>
        <v>45352</v>
      </c>
      <c r="Q447" s="4">
        <f t="shared" si="27"/>
        <v>45413</v>
      </c>
    </row>
    <row r="448" spans="1:17" x14ac:dyDescent="0.25">
      <c r="A448">
        <v>38380</v>
      </c>
      <c r="B448" t="s">
        <v>140</v>
      </c>
      <c r="C448" t="str">
        <f>_xlfn.XLOOKUP(B448,Multipliers!A:A,Multipliers!C:C)</f>
        <v>Jeffrey Weight</v>
      </c>
      <c r="D448" s="3">
        <v>45315</v>
      </c>
      <c r="E448" t="s">
        <v>1881</v>
      </c>
      <c r="F448" t="s">
        <v>2128</v>
      </c>
      <c r="G448" t="s">
        <v>614</v>
      </c>
      <c r="H448">
        <v>0</v>
      </c>
      <c r="I448" s="1">
        <v>0</v>
      </c>
      <c r="J448" s="1">
        <v>0</v>
      </c>
      <c r="K448">
        <v>1</v>
      </c>
      <c r="L448">
        <f>IF(E448="4. Renewal - MRR",IF(I448&lt;=0,0,VLOOKUP(B448,Multipliers!A:L,MATCH(K448,Multipliers!$A$1:$L$1,0),FALSE)),VLOOKUP(B448,Multipliers!A:L,MATCH(K448,Multipliers!$A$1:$L$1,0),FALSE))</f>
        <v>0</v>
      </c>
      <c r="M448">
        <f t="shared" si="24"/>
        <v>0</v>
      </c>
      <c r="N448" s="1">
        <f>_xlfn.XLOOKUP(A448,'Product Detail'!$AG:$AG,'Product Detail'!$AH:$AH,"N/A")</f>
        <v>73.972799999999992</v>
      </c>
      <c r="O448" s="1">
        <f t="shared" si="25"/>
        <v>0</v>
      </c>
      <c r="P448" s="4">
        <f t="shared" si="26"/>
        <v>45352</v>
      </c>
      <c r="Q448" s="4">
        <f t="shared" si="27"/>
        <v>45413</v>
      </c>
    </row>
    <row r="449" spans="1:17" x14ac:dyDescent="0.25">
      <c r="A449">
        <v>38377</v>
      </c>
      <c r="B449" t="s">
        <v>150</v>
      </c>
      <c r="C449" t="str">
        <f>_xlfn.XLOOKUP(B449,Multipliers!A:A,Multipliers!C:C)</f>
        <v>Jeffrey Weight</v>
      </c>
      <c r="D449" s="3">
        <v>45300</v>
      </c>
      <c r="E449" t="s">
        <v>1877</v>
      </c>
      <c r="F449" t="s">
        <v>1898</v>
      </c>
      <c r="G449" t="s">
        <v>611</v>
      </c>
      <c r="H449">
        <v>0</v>
      </c>
      <c r="I449" s="1">
        <v>0</v>
      </c>
      <c r="J449" s="1">
        <v>0</v>
      </c>
      <c r="K449">
        <v>1</v>
      </c>
      <c r="L449">
        <f>IF(E449="4. Renewal - MRR",IF(I449&lt;=0,0,VLOOKUP(B449,Multipliers!A:L,MATCH(K449,Multipliers!$A$1:$L$1,0),FALSE)),VLOOKUP(B449,Multipliers!A:L,MATCH(K449,Multipliers!$A$1:$L$1,0),FALSE))</f>
        <v>0</v>
      </c>
      <c r="M449">
        <f t="shared" si="24"/>
        <v>0</v>
      </c>
      <c r="N449" s="1">
        <f>_xlfn.XLOOKUP(A449,'Product Detail'!$AG:$AG,'Product Detail'!$AH:$AH,"N/A")</f>
        <v>4.3488000000000016</v>
      </c>
      <c r="O449" s="1">
        <f t="shared" si="25"/>
        <v>0</v>
      </c>
      <c r="P449" s="4">
        <f t="shared" si="26"/>
        <v>45352</v>
      </c>
      <c r="Q449" s="4">
        <f t="shared" si="27"/>
        <v>45413</v>
      </c>
    </row>
    <row r="450" spans="1:17" x14ac:dyDescent="0.25">
      <c r="A450">
        <v>38334</v>
      </c>
      <c r="B450" t="s">
        <v>184</v>
      </c>
      <c r="C450" t="str">
        <f>_xlfn.XLOOKUP(B450,Multipliers!A:A,Multipliers!C:C)</f>
        <v>Jeffrey Weight</v>
      </c>
      <c r="D450" s="3">
        <v>45299</v>
      </c>
      <c r="E450" t="s">
        <v>1877</v>
      </c>
      <c r="F450" t="s">
        <v>2129</v>
      </c>
      <c r="G450" t="s">
        <v>604</v>
      </c>
      <c r="H450">
        <v>0</v>
      </c>
      <c r="I450" s="1">
        <v>0</v>
      </c>
      <c r="J450" s="1">
        <v>0</v>
      </c>
      <c r="K450">
        <v>1</v>
      </c>
      <c r="L450">
        <f>IF(E450="4. Renewal - MRR",IF(I450&lt;=0,0,VLOOKUP(B450,Multipliers!A:L,MATCH(K450,Multipliers!$A$1:$L$1,0),FALSE)),VLOOKUP(B450,Multipliers!A:L,MATCH(K450,Multipliers!$A$1:$L$1,0),FALSE))</f>
        <v>0</v>
      </c>
      <c r="M450">
        <f t="shared" ref="M450:M513" si="28">IF(E450="4. Renewal - MRR",IF(K450&gt;24,0.25,0),0)</f>
        <v>0</v>
      </c>
      <c r="N450" s="1">
        <f>_xlfn.XLOOKUP(A450,'Product Detail'!$AG:$AG,'Product Detail'!$AH:$AH,"N/A")</f>
        <v>0</v>
      </c>
      <c r="O450" s="1">
        <f t="shared" ref="O450:O513" si="29">I450*L450+J450*M450</f>
        <v>0</v>
      </c>
      <c r="P450" s="4">
        <f t="shared" ref="P450:P513" si="30">EOMONTH(D450,1)+1</f>
        <v>45352</v>
      </c>
      <c r="Q450" s="4">
        <f t="shared" ref="Q450:Q513" si="31">EOMONTH(D450,3)+1</f>
        <v>45413</v>
      </c>
    </row>
    <row r="451" spans="1:17" x14ac:dyDescent="0.25">
      <c r="A451">
        <v>38331</v>
      </c>
      <c r="B451" t="s">
        <v>1874</v>
      </c>
      <c r="C451" t="str">
        <f>_xlfn.XLOOKUP(B451,Multipliers!A:A,Multipliers!C:C)</f>
        <v>Jeffrey Weight</v>
      </c>
      <c r="D451" s="3">
        <v>45295</v>
      </c>
      <c r="E451" t="s">
        <v>1877</v>
      </c>
      <c r="F451" t="s">
        <v>2130</v>
      </c>
      <c r="G451" t="s">
        <v>599</v>
      </c>
      <c r="H451">
        <v>0</v>
      </c>
      <c r="I451" s="1">
        <v>0</v>
      </c>
      <c r="J451" s="1">
        <v>0</v>
      </c>
      <c r="K451">
        <v>1</v>
      </c>
      <c r="L451">
        <f>IF(E451="4. Renewal - MRR",IF(I451&lt;=0,0,VLOOKUP(B451,Multipliers!A:L,MATCH(K451,Multipliers!$A$1:$L$1,0),FALSE)),VLOOKUP(B451,Multipliers!A:L,MATCH(K451,Multipliers!$A$1:$L$1,0),FALSE))</f>
        <v>0</v>
      </c>
      <c r="M451">
        <f t="shared" si="28"/>
        <v>0</v>
      </c>
      <c r="N451" s="1">
        <f>_xlfn.XLOOKUP(A451,'Product Detail'!$AG:$AG,'Product Detail'!$AH:$AH,"N/A")</f>
        <v>24.908799999999999</v>
      </c>
      <c r="O451" s="1">
        <f t="shared" si="29"/>
        <v>0</v>
      </c>
      <c r="P451" s="4">
        <f t="shared" si="30"/>
        <v>45352</v>
      </c>
      <c r="Q451" s="4">
        <f t="shared" si="31"/>
        <v>45413</v>
      </c>
    </row>
    <row r="452" spans="1:17" x14ac:dyDescent="0.25">
      <c r="A452">
        <v>39386</v>
      </c>
      <c r="B452" t="s">
        <v>61</v>
      </c>
      <c r="C452" t="str">
        <f>_xlfn.XLOOKUP(B452,Multipliers!A:A,Multipliers!C:C)</f>
        <v>John Powell</v>
      </c>
      <c r="D452" s="3">
        <v>45317</v>
      </c>
      <c r="E452" t="s">
        <v>1877</v>
      </c>
      <c r="F452" t="s">
        <v>1987</v>
      </c>
      <c r="G452" t="s">
        <v>1699</v>
      </c>
      <c r="H452">
        <v>0</v>
      </c>
      <c r="I452" s="1">
        <v>0</v>
      </c>
      <c r="J452" s="1">
        <v>0</v>
      </c>
      <c r="K452">
        <v>1</v>
      </c>
      <c r="L452">
        <f>IF(E452="4. Renewal - MRR",IF(I452&lt;=0,0,VLOOKUP(B452,Multipliers!A:L,MATCH(K452,Multipliers!$A$1:$L$1,0),FALSE)),VLOOKUP(B452,Multipliers!A:L,MATCH(K452,Multipliers!$A$1:$L$1,0),FALSE))</f>
        <v>0</v>
      </c>
      <c r="M452">
        <f t="shared" si="28"/>
        <v>0</v>
      </c>
      <c r="N452" s="1">
        <f>_xlfn.XLOOKUP(A452,'Product Detail'!$AG:$AG,'Product Detail'!$AH:$AH,"N/A")</f>
        <v>0</v>
      </c>
      <c r="O452" s="1">
        <f t="shared" si="29"/>
        <v>0</v>
      </c>
      <c r="P452" s="4">
        <f t="shared" si="30"/>
        <v>45352</v>
      </c>
      <c r="Q452" s="4">
        <f t="shared" si="31"/>
        <v>45413</v>
      </c>
    </row>
    <row r="453" spans="1:17" x14ac:dyDescent="0.25">
      <c r="A453">
        <v>39387</v>
      </c>
      <c r="B453" t="s">
        <v>61</v>
      </c>
      <c r="C453" t="str">
        <f>_xlfn.XLOOKUP(B453,Multipliers!A:A,Multipliers!C:C)</f>
        <v>John Powell</v>
      </c>
      <c r="D453" s="3">
        <v>45317</v>
      </c>
      <c r="E453" t="s">
        <v>1877</v>
      </c>
      <c r="F453" t="s">
        <v>1987</v>
      </c>
      <c r="G453" t="s">
        <v>1700</v>
      </c>
      <c r="H453">
        <v>0</v>
      </c>
      <c r="I453" s="1">
        <v>0</v>
      </c>
      <c r="J453" s="1">
        <v>0</v>
      </c>
      <c r="K453">
        <v>1</v>
      </c>
      <c r="L453">
        <f>IF(E453="4. Renewal - MRR",IF(I453&lt;=0,0,VLOOKUP(B453,Multipliers!A:L,MATCH(K453,Multipliers!$A$1:$L$1,0),FALSE)),VLOOKUP(B453,Multipliers!A:L,MATCH(K453,Multipliers!$A$1:$L$1,0),FALSE))</f>
        <v>0</v>
      </c>
      <c r="M453">
        <f t="shared" si="28"/>
        <v>0</v>
      </c>
      <c r="N453" s="1">
        <f>_xlfn.XLOOKUP(A453,'Product Detail'!$AG:$AG,'Product Detail'!$AH:$AH,"N/A")</f>
        <v>0</v>
      </c>
      <c r="O453" s="1">
        <f t="shared" si="29"/>
        <v>0</v>
      </c>
      <c r="P453" s="4">
        <f t="shared" si="30"/>
        <v>45352</v>
      </c>
      <c r="Q453" s="4">
        <f t="shared" si="31"/>
        <v>45413</v>
      </c>
    </row>
    <row r="454" spans="1:17" x14ac:dyDescent="0.25">
      <c r="A454">
        <v>39388</v>
      </c>
      <c r="B454" t="s">
        <v>61</v>
      </c>
      <c r="C454" t="str">
        <f>_xlfn.XLOOKUP(B454,Multipliers!A:A,Multipliers!C:C)</f>
        <v>John Powell</v>
      </c>
      <c r="D454" s="3">
        <v>45317</v>
      </c>
      <c r="E454" t="s">
        <v>1877</v>
      </c>
      <c r="F454" t="s">
        <v>1987</v>
      </c>
      <c r="G454" t="s">
        <v>1701</v>
      </c>
      <c r="H454">
        <v>0</v>
      </c>
      <c r="I454" s="1">
        <v>0</v>
      </c>
      <c r="J454" s="1">
        <v>0</v>
      </c>
      <c r="K454">
        <v>1</v>
      </c>
      <c r="L454">
        <f>IF(E454="4. Renewal - MRR",IF(I454&lt;=0,0,VLOOKUP(B454,Multipliers!A:L,MATCH(K454,Multipliers!$A$1:$L$1,0),FALSE)),VLOOKUP(B454,Multipliers!A:L,MATCH(K454,Multipliers!$A$1:$L$1,0),FALSE))</f>
        <v>0</v>
      </c>
      <c r="M454">
        <f t="shared" si="28"/>
        <v>0</v>
      </c>
      <c r="N454" s="1">
        <f>_xlfn.XLOOKUP(A454,'Product Detail'!$AG:$AG,'Product Detail'!$AH:$AH,"N/A")</f>
        <v>0</v>
      </c>
      <c r="O454" s="1">
        <f t="shared" si="29"/>
        <v>0</v>
      </c>
      <c r="P454" s="4">
        <f t="shared" si="30"/>
        <v>45352</v>
      </c>
      <c r="Q454" s="4">
        <f t="shared" si="31"/>
        <v>45413</v>
      </c>
    </row>
    <row r="455" spans="1:17" x14ac:dyDescent="0.25">
      <c r="A455">
        <v>38292</v>
      </c>
      <c r="B455" t="s">
        <v>132</v>
      </c>
      <c r="C455" t="str">
        <f>_xlfn.XLOOKUP(B455,Multipliers!A:A,Multipliers!C:C)</f>
        <v>Jeffrey Weight</v>
      </c>
      <c r="D455" s="3">
        <v>45306</v>
      </c>
      <c r="E455" t="s">
        <v>1877</v>
      </c>
      <c r="F455" t="s">
        <v>2022</v>
      </c>
      <c r="G455" t="s">
        <v>563</v>
      </c>
      <c r="H455">
        <v>0</v>
      </c>
      <c r="I455" s="1">
        <v>0</v>
      </c>
      <c r="J455" s="1">
        <v>0</v>
      </c>
      <c r="K455">
        <v>1</v>
      </c>
      <c r="L455">
        <f>IF(E455="4. Renewal - MRR",IF(I455&lt;=0,0,VLOOKUP(B455,Multipliers!A:L,MATCH(K455,Multipliers!$A$1:$L$1,0),FALSE)),VLOOKUP(B455,Multipliers!A:L,MATCH(K455,Multipliers!$A$1:$L$1,0),FALSE))</f>
        <v>0</v>
      </c>
      <c r="M455">
        <f t="shared" si="28"/>
        <v>0</v>
      </c>
      <c r="N455" s="1">
        <f>_xlfn.XLOOKUP(A455,'Product Detail'!$AG:$AG,'Product Detail'!$AH:$AH,"N/A")</f>
        <v>52.193599999999989</v>
      </c>
      <c r="O455" s="1">
        <f t="shared" si="29"/>
        <v>0</v>
      </c>
      <c r="P455" s="4">
        <f t="shared" si="30"/>
        <v>45352</v>
      </c>
      <c r="Q455" s="4">
        <f t="shared" si="31"/>
        <v>45413</v>
      </c>
    </row>
    <row r="456" spans="1:17" x14ac:dyDescent="0.25">
      <c r="A456">
        <v>38291</v>
      </c>
      <c r="B456" t="s">
        <v>184</v>
      </c>
      <c r="C456" t="str">
        <f>_xlfn.XLOOKUP(B456,Multipliers!A:A,Multipliers!C:C)</f>
        <v>Jeffrey Weight</v>
      </c>
      <c r="D456" s="3">
        <v>45300</v>
      </c>
      <c r="E456" t="s">
        <v>1877</v>
      </c>
      <c r="F456" t="s">
        <v>2133</v>
      </c>
      <c r="G456" t="s">
        <v>560</v>
      </c>
      <c r="H456">
        <v>0</v>
      </c>
      <c r="I456" s="1">
        <v>0</v>
      </c>
      <c r="J456" s="1">
        <v>0</v>
      </c>
      <c r="K456">
        <v>1</v>
      </c>
      <c r="L456">
        <f>IF(E456="4. Renewal - MRR",IF(I456&lt;=0,0,VLOOKUP(B456,Multipliers!A:L,MATCH(K456,Multipliers!$A$1:$L$1,0),FALSE)),VLOOKUP(B456,Multipliers!A:L,MATCH(K456,Multipliers!$A$1:$L$1,0),FALSE))</f>
        <v>0</v>
      </c>
      <c r="M456">
        <f t="shared" si="28"/>
        <v>0</v>
      </c>
      <c r="N456" s="1">
        <f>_xlfn.XLOOKUP(A456,'Product Detail'!$AG:$AG,'Product Detail'!$AH:$AH,"N/A")</f>
        <v>0</v>
      </c>
      <c r="O456" s="1">
        <f t="shared" si="29"/>
        <v>0</v>
      </c>
      <c r="P456" s="4">
        <f t="shared" si="30"/>
        <v>45352</v>
      </c>
      <c r="Q456" s="4">
        <f t="shared" si="31"/>
        <v>45413</v>
      </c>
    </row>
    <row r="457" spans="1:17" x14ac:dyDescent="0.25">
      <c r="A457">
        <v>38284</v>
      </c>
      <c r="B457" t="s">
        <v>132</v>
      </c>
      <c r="C457" t="str">
        <f>_xlfn.XLOOKUP(B457,Multipliers!A:A,Multipliers!C:C)</f>
        <v>Jeffrey Weight</v>
      </c>
      <c r="D457" s="3">
        <v>45306</v>
      </c>
      <c r="E457" t="s">
        <v>1877</v>
      </c>
      <c r="F457" t="s">
        <v>2134</v>
      </c>
      <c r="G457" t="s">
        <v>551</v>
      </c>
      <c r="H457">
        <v>0</v>
      </c>
      <c r="I457" s="1">
        <v>0</v>
      </c>
      <c r="J457" s="1">
        <v>0</v>
      </c>
      <c r="K457">
        <v>1</v>
      </c>
      <c r="L457">
        <f>IF(E457="4. Renewal - MRR",IF(I457&lt;=0,0,VLOOKUP(B457,Multipliers!A:L,MATCH(K457,Multipliers!$A$1:$L$1,0),FALSE)),VLOOKUP(B457,Multipliers!A:L,MATCH(K457,Multipliers!$A$1:$L$1,0),FALSE))</f>
        <v>0</v>
      </c>
      <c r="M457">
        <f t="shared" si="28"/>
        <v>0</v>
      </c>
      <c r="N457" s="1">
        <f>_xlfn.XLOOKUP(A457,'Product Detail'!$AG:$AG,'Product Detail'!$AH:$AH,"N/A")</f>
        <v>111.78959999999999</v>
      </c>
      <c r="O457" s="1">
        <f t="shared" si="29"/>
        <v>0</v>
      </c>
      <c r="P457" s="4">
        <f t="shared" si="30"/>
        <v>45352</v>
      </c>
      <c r="Q457" s="4">
        <f t="shared" si="31"/>
        <v>45413</v>
      </c>
    </row>
    <row r="458" spans="1:17" x14ac:dyDescent="0.25">
      <c r="A458">
        <v>38272</v>
      </c>
      <c r="B458" t="s">
        <v>1874</v>
      </c>
      <c r="C458" t="str">
        <f>_xlfn.XLOOKUP(B458,Multipliers!A:A,Multipliers!C:C)</f>
        <v>Jeffrey Weight</v>
      </c>
      <c r="D458" s="3">
        <v>45296</v>
      </c>
      <c r="E458" t="s">
        <v>1877</v>
      </c>
      <c r="F458" t="s">
        <v>2000</v>
      </c>
      <c r="G458" t="s">
        <v>532</v>
      </c>
      <c r="H458">
        <v>0</v>
      </c>
      <c r="I458" s="1">
        <v>0</v>
      </c>
      <c r="J458" s="1">
        <v>0</v>
      </c>
      <c r="K458">
        <v>1</v>
      </c>
      <c r="L458">
        <f>IF(E458="4. Renewal - MRR",IF(I458&lt;=0,0,VLOOKUP(B458,Multipliers!A:L,MATCH(K458,Multipliers!$A$1:$L$1,0),FALSE)),VLOOKUP(B458,Multipliers!A:L,MATCH(K458,Multipliers!$A$1:$L$1,0),FALSE))</f>
        <v>0</v>
      </c>
      <c r="M458">
        <f t="shared" si="28"/>
        <v>0</v>
      </c>
      <c r="N458" s="1">
        <f>_xlfn.XLOOKUP(A458,'Product Detail'!$AG:$AG,'Product Detail'!$AH:$AH,"N/A")</f>
        <v>23.491199999999996</v>
      </c>
      <c r="O458" s="1">
        <f t="shared" si="29"/>
        <v>0</v>
      </c>
      <c r="P458" s="4">
        <f t="shared" si="30"/>
        <v>45352</v>
      </c>
      <c r="Q458" s="4">
        <f t="shared" si="31"/>
        <v>45413</v>
      </c>
    </row>
    <row r="459" spans="1:17" x14ac:dyDescent="0.25">
      <c r="A459">
        <v>39389</v>
      </c>
      <c r="B459" t="s">
        <v>61</v>
      </c>
      <c r="C459" t="str">
        <f>_xlfn.XLOOKUP(B459,Multipliers!A:A,Multipliers!C:C)</f>
        <v>John Powell</v>
      </c>
      <c r="D459" s="3">
        <v>45317</v>
      </c>
      <c r="E459" t="s">
        <v>1877</v>
      </c>
      <c r="F459" t="s">
        <v>1987</v>
      </c>
      <c r="G459" t="s">
        <v>1702</v>
      </c>
      <c r="H459">
        <v>0</v>
      </c>
      <c r="I459" s="1">
        <v>0</v>
      </c>
      <c r="J459" s="1">
        <v>0</v>
      </c>
      <c r="K459">
        <v>1</v>
      </c>
      <c r="L459">
        <f>IF(E459="4. Renewal - MRR",IF(I459&lt;=0,0,VLOOKUP(B459,Multipliers!A:L,MATCH(K459,Multipliers!$A$1:$L$1,0),FALSE)),VLOOKUP(B459,Multipliers!A:L,MATCH(K459,Multipliers!$A$1:$L$1,0),FALSE))</f>
        <v>0</v>
      </c>
      <c r="M459">
        <f t="shared" si="28"/>
        <v>0</v>
      </c>
      <c r="N459" s="1">
        <f>_xlfn.XLOOKUP(A459,'Product Detail'!$AG:$AG,'Product Detail'!$AH:$AH,"N/A")</f>
        <v>0</v>
      </c>
      <c r="O459" s="1">
        <f t="shared" si="29"/>
        <v>0</v>
      </c>
      <c r="P459" s="4">
        <f t="shared" si="30"/>
        <v>45352</v>
      </c>
      <c r="Q459" s="4">
        <f t="shared" si="31"/>
        <v>45413</v>
      </c>
    </row>
    <row r="460" spans="1:17" x14ac:dyDescent="0.25">
      <c r="A460">
        <v>38254</v>
      </c>
      <c r="B460" t="s">
        <v>107</v>
      </c>
      <c r="C460" t="str">
        <f>_xlfn.XLOOKUP(B460,Multipliers!A:A,Multipliers!C:C)</f>
        <v>Luis Blanco</v>
      </c>
      <c r="D460" s="3">
        <v>45306</v>
      </c>
      <c r="E460" t="s">
        <v>1881</v>
      </c>
      <c r="F460" t="s">
        <v>2135</v>
      </c>
      <c r="G460" t="s">
        <v>524</v>
      </c>
      <c r="H460">
        <v>0</v>
      </c>
      <c r="I460" s="1">
        <v>0</v>
      </c>
      <c r="J460" s="1">
        <v>0</v>
      </c>
      <c r="K460">
        <v>1</v>
      </c>
      <c r="L460">
        <f>IF(E460="4. Renewal - MRR",IF(I460&lt;=0,0,VLOOKUP(B460,Multipliers!A:L,MATCH(K460,Multipliers!$A$1:$L$1,0),FALSE)),VLOOKUP(B460,Multipliers!A:L,MATCH(K460,Multipliers!$A$1:$L$1,0),FALSE))</f>
        <v>0</v>
      </c>
      <c r="M460">
        <f t="shared" si="28"/>
        <v>0</v>
      </c>
      <c r="N460" s="1">
        <f>_xlfn.XLOOKUP(A460,'Product Detail'!$AG:$AG,'Product Detail'!$AH:$AH,"N/A")</f>
        <v>32.548000000000002</v>
      </c>
      <c r="O460" s="1">
        <f t="shared" si="29"/>
        <v>0</v>
      </c>
      <c r="P460" s="4">
        <f t="shared" si="30"/>
        <v>45352</v>
      </c>
      <c r="Q460" s="4">
        <f t="shared" si="31"/>
        <v>45413</v>
      </c>
    </row>
    <row r="461" spans="1:17" x14ac:dyDescent="0.25">
      <c r="A461">
        <v>38229</v>
      </c>
      <c r="B461" t="s">
        <v>132</v>
      </c>
      <c r="C461" t="str">
        <f>_xlfn.XLOOKUP(B461,Multipliers!A:A,Multipliers!C:C)</f>
        <v>Jeffrey Weight</v>
      </c>
      <c r="D461" s="3">
        <v>45303</v>
      </c>
      <c r="E461" t="s">
        <v>1877</v>
      </c>
      <c r="F461" t="s">
        <v>2136</v>
      </c>
      <c r="G461" t="s">
        <v>522</v>
      </c>
      <c r="H461">
        <v>0</v>
      </c>
      <c r="I461" s="1">
        <v>0</v>
      </c>
      <c r="J461" s="1">
        <v>0</v>
      </c>
      <c r="K461">
        <v>1</v>
      </c>
      <c r="L461">
        <f>IF(E461="4. Renewal - MRR",IF(I461&lt;=0,0,VLOOKUP(B461,Multipliers!A:L,MATCH(K461,Multipliers!$A$1:$L$1,0),FALSE)),VLOOKUP(B461,Multipliers!A:L,MATCH(K461,Multipliers!$A$1:$L$1,0),FALSE))</f>
        <v>0</v>
      </c>
      <c r="M461">
        <f t="shared" si="28"/>
        <v>0</v>
      </c>
      <c r="N461" s="1">
        <f>_xlfn.XLOOKUP(A461,'Product Detail'!$AG:$AG,'Product Detail'!$AH:$AH,"N/A")</f>
        <v>12</v>
      </c>
      <c r="O461" s="1">
        <f t="shared" si="29"/>
        <v>0</v>
      </c>
      <c r="P461" s="4">
        <f t="shared" si="30"/>
        <v>45352</v>
      </c>
      <c r="Q461" s="4">
        <f t="shared" si="31"/>
        <v>45413</v>
      </c>
    </row>
    <row r="462" spans="1:17" x14ac:dyDescent="0.25">
      <c r="A462">
        <v>38217</v>
      </c>
      <c r="B462" t="s">
        <v>184</v>
      </c>
      <c r="C462" t="str">
        <f>_xlfn.XLOOKUP(B462,Multipliers!A:A,Multipliers!C:C)</f>
        <v>Jeffrey Weight</v>
      </c>
      <c r="D462" s="3">
        <v>45301</v>
      </c>
      <c r="E462" t="s">
        <v>1877</v>
      </c>
      <c r="F462" t="s">
        <v>2137</v>
      </c>
      <c r="G462" t="s">
        <v>517</v>
      </c>
      <c r="H462">
        <v>0</v>
      </c>
      <c r="I462" s="1">
        <v>0</v>
      </c>
      <c r="J462" s="1">
        <v>0</v>
      </c>
      <c r="K462">
        <v>1</v>
      </c>
      <c r="L462">
        <f>IF(E462="4. Renewal - MRR",IF(I462&lt;=0,0,VLOOKUP(B462,Multipliers!A:L,MATCH(K462,Multipliers!$A$1:$L$1,0),FALSE)),VLOOKUP(B462,Multipliers!A:L,MATCH(K462,Multipliers!$A$1:$L$1,0),FALSE))</f>
        <v>0</v>
      </c>
      <c r="M462">
        <f t="shared" si="28"/>
        <v>0</v>
      </c>
      <c r="N462" s="1">
        <f>_xlfn.XLOOKUP(A462,'Product Detail'!$AG:$AG,'Product Detail'!$AH:$AH,"N/A")</f>
        <v>0</v>
      </c>
      <c r="O462" s="1">
        <f t="shared" si="29"/>
        <v>0</v>
      </c>
      <c r="P462" s="4">
        <f t="shared" si="30"/>
        <v>45352</v>
      </c>
      <c r="Q462" s="4">
        <f t="shared" si="31"/>
        <v>45413</v>
      </c>
    </row>
    <row r="463" spans="1:17" x14ac:dyDescent="0.25">
      <c r="A463">
        <v>38171</v>
      </c>
      <c r="B463" t="s">
        <v>105</v>
      </c>
      <c r="C463" t="str">
        <f>_xlfn.XLOOKUP(B463,Multipliers!A:A,Multipliers!C:C)</f>
        <v>Luis Blanco</v>
      </c>
      <c r="D463" s="3">
        <v>45299</v>
      </c>
      <c r="E463" t="s">
        <v>1877</v>
      </c>
      <c r="F463" t="s">
        <v>1914</v>
      </c>
      <c r="G463" t="s">
        <v>509</v>
      </c>
      <c r="H463">
        <v>0</v>
      </c>
      <c r="I463" s="1">
        <v>0</v>
      </c>
      <c r="J463" s="1">
        <v>0</v>
      </c>
      <c r="K463">
        <v>1</v>
      </c>
      <c r="L463">
        <f>IF(E463="4. Renewal - MRR",IF(I463&lt;=0,0,VLOOKUP(B463,Multipliers!A:L,MATCH(K463,Multipliers!$A$1:$L$1,0),FALSE)),VLOOKUP(B463,Multipliers!A:L,MATCH(K463,Multipliers!$A$1:$L$1,0),FALSE))</f>
        <v>0</v>
      </c>
      <c r="M463">
        <f t="shared" si="28"/>
        <v>0</v>
      </c>
      <c r="N463" s="1">
        <f>_xlfn.XLOOKUP(A463,'Product Detail'!$AG:$AG,'Product Detail'!$AH:$AH,"N/A")</f>
        <v>4</v>
      </c>
      <c r="O463" s="1">
        <f t="shared" si="29"/>
        <v>0</v>
      </c>
      <c r="P463" s="4">
        <f t="shared" si="30"/>
        <v>45352</v>
      </c>
      <c r="Q463" s="4">
        <f t="shared" si="31"/>
        <v>45413</v>
      </c>
    </row>
    <row r="464" spans="1:17" x14ac:dyDescent="0.25">
      <c r="A464">
        <v>38140</v>
      </c>
      <c r="B464" t="s">
        <v>140</v>
      </c>
      <c r="C464" t="str">
        <f>_xlfn.XLOOKUP(B464,Multipliers!A:A,Multipliers!C:C)</f>
        <v>Jeffrey Weight</v>
      </c>
      <c r="D464" s="3">
        <v>45316</v>
      </c>
      <c r="E464" t="s">
        <v>1877</v>
      </c>
      <c r="F464" t="s">
        <v>2138</v>
      </c>
      <c r="G464" t="s">
        <v>497</v>
      </c>
      <c r="H464">
        <v>0</v>
      </c>
      <c r="I464" s="1">
        <v>0</v>
      </c>
      <c r="J464" s="1">
        <v>0</v>
      </c>
      <c r="K464">
        <v>1</v>
      </c>
      <c r="L464">
        <f>IF(E464="4. Renewal - MRR",IF(I464&lt;=0,0,VLOOKUP(B464,Multipliers!A:L,MATCH(K464,Multipliers!$A$1:$L$1,0),FALSE)),VLOOKUP(B464,Multipliers!A:L,MATCH(K464,Multipliers!$A$1:$L$1,0),FALSE))</f>
        <v>0</v>
      </c>
      <c r="M464">
        <f t="shared" si="28"/>
        <v>0</v>
      </c>
      <c r="N464" s="1">
        <f>_xlfn.XLOOKUP(A464,'Product Detail'!$AG:$AG,'Product Detail'!$AH:$AH,"N/A")</f>
        <v>35.945600000000006</v>
      </c>
      <c r="O464" s="1">
        <f t="shared" si="29"/>
        <v>0</v>
      </c>
      <c r="P464" s="4">
        <f t="shared" si="30"/>
        <v>45352</v>
      </c>
      <c r="Q464" s="4">
        <f t="shared" si="31"/>
        <v>45413</v>
      </c>
    </row>
    <row r="465" spans="1:17" x14ac:dyDescent="0.25">
      <c r="A465">
        <v>38116</v>
      </c>
      <c r="B465" t="s">
        <v>132</v>
      </c>
      <c r="C465" t="str">
        <f>_xlfn.XLOOKUP(B465,Multipliers!A:A,Multipliers!C:C)</f>
        <v>Jeffrey Weight</v>
      </c>
      <c r="D465" s="3">
        <v>45301</v>
      </c>
      <c r="E465" t="s">
        <v>1877</v>
      </c>
      <c r="F465" t="s">
        <v>1921</v>
      </c>
      <c r="G465" t="s">
        <v>473</v>
      </c>
      <c r="H465">
        <v>0</v>
      </c>
      <c r="I465" s="1">
        <v>0</v>
      </c>
      <c r="J465" s="1">
        <v>0</v>
      </c>
      <c r="K465">
        <v>1</v>
      </c>
      <c r="L465">
        <f>IF(E465="4. Renewal - MRR",IF(I465&lt;=0,0,VLOOKUP(B465,Multipliers!A:L,MATCH(K465,Multipliers!$A$1:$L$1,0),FALSE)),VLOOKUP(B465,Multipliers!A:L,MATCH(K465,Multipliers!$A$1:$L$1,0),FALSE))</f>
        <v>0</v>
      </c>
      <c r="M465">
        <f t="shared" si="28"/>
        <v>0</v>
      </c>
      <c r="N465" s="1">
        <f>_xlfn.XLOOKUP(A465,'Product Detail'!$AG:$AG,'Product Detail'!$AH:$AH,"N/A")</f>
        <v>467.92960000000005</v>
      </c>
      <c r="O465" s="1">
        <f t="shared" si="29"/>
        <v>0</v>
      </c>
      <c r="P465" s="4">
        <f t="shared" si="30"/>
        <v>45352</v>
      </c>
      <c r="Q465" s="4">
        <f t="shared" si="31"/>
        <v>45413</v>
      </c>
    </row>
    <row r="466" spans="1:17" x14ac:dyDescent="0.25">
      <c r="A466">
        <v>39390</v>
      </c>
      <c r="B466" t="s">
        <v>61</v>
      </c>
      <c r="C466" t="str">
        <f>_xlfn.XLOOKUP(B466,Multipliers!A:A,Multipliers!C:C)</f>
        <v>John Powell</v>
      </c>
      <c r="D466" s="3">
        <v>45317</v>
      </c>
      <c r="E466" t="s">
        <v>1877</v>
      </c>
      <c r="F466" t="s">
        <v>1987</v>
      </c>
      <c r="G466" t="s">
        <v>1703</v>
      </c>
      <c r="H466">
        <v>0</v>
      </c>
      <c r="I466" s="1">
        <v>0</v>
      </c>
      <c r="J466" s="1">
        <v>0</v>
      </c>
      <c r="K466">
        <v>1</v>
      </c>
      <c r="L466">
        <f>IF(E466="4. Renewal - MRR",IF(I466&lt;=0,0,VLOOKUP(B466,Multipliers!A:L,MATCH(K466,Multipliers!$A$1:$L$1,0),FALSE)),VLOOKUP(B466,Multipliers!A:L,MATCH(K466,Multipliers!$A$1:$L$1,0),FALSE))</f>
        <v>0</v>
      </c>
      <c r="M466">
        <f t="shared" si="28"/>
        <v>0</v>
      </c>
      <c r="N466" s="1">
        <f>_xlfn.XLOOKUP(A466,'Product Detail'!$AG:$AG,'Product Detail'!$AH:$AH,"N/A")</f>
        <v>0</v>
      </c>
      <c r="O466" s="1">
        <f t="shared" si="29"/>
        <v>0</v>
      </c>
      <c r="P466" s="4">
        <f t="shared" si="30"/>
        <v>45352</v>
      </c>
      <c r="Q466" s="4">
        <f t="shared" si="31"/>
        <v>45413</v>
      </c>
    </row>
    <row r="467" spans="1:17" x14ac:dyDescent="0.25">
      <c r="A467">
        <v>38085</v>
      </c>
      <c r="B467" t="s">
        <v>132</v>
      </c>
      <c r="C467" t="str">
        <f>_xlfn.XLOOKUP(B467,Multipliers!A:A,Multipliers!C:C)</f>
        <v>Jeffrey Weight</v>
      </c>
      <c r="D467" s="3">
        <v>45302</v>
      </c>
      <c r="E467" t="s">
        <v>1877</v>
      </c>
      <c r="F467" t="s">
        <v>2099</v>
      </c>
      <c r="G467" t="s">
        <v>469</v>
      </c>
      <c r="H467">
        <v>0</v>
      </c>
      <c r="I467" s="1">
        <v>0</v>
      </c>
      <c r="J467" s="1">
        <v>0</v>
      </c>
      <c r="K467">
        <v>1</v>
      </c>
      <c r="L467">
        <f>IF(E467="4. Renewal - MRR",IF(I467&lt;=0,0,VLOOKUP(B467,Multipliers!A:L,MATCH(K467,Multipliers!$A$1:$L$1,0),FALSE)),VLOOKUP(B467,Multipliers!A:L,MATCH(K467,Multipliers!$A$1:$L$1,0),FALSE))</f>
        <v>0</v>
      </c>
      <c r="M467">
        <f t="shared" si="28"/>
        <v>0</v>
      </c>
      <c r="N467" s="1">
        <f>_xlfn.XLOOKUP(A467,'Product Detail'!$AG:$AG,'Product Detail'!$AH:$AH,"N/A")</f>
        <v>708</v>
      </c>
      <c r="O467" s="1">
        <f t="shared" si="29"/>
        <v>0</v>
      </c>
      <c r="P467" s="4">
        <f t="shared" si="30"/>
        <v>45352</v>
      </c>
      <c r="Q467" s="4">
        <f t="shared" si="31"/>
        <v>45413</v>
      </c>
    </row>
    <row r="468" spans="1:17" x14ac:dyDescent="0.25">
      <c r="A468">
        <v>38074</v>
      </c>
      <c r="B468" t="s">
        <v>184</v>
      </c>
      <c r="C468" t="str">
        <f>_xlfn.XLOOKUP(B468,Multipliers!A:A,Multipliers!C:C)</f>
        <v>Jeffrey Weight</v>
      </c>
      <c r="D468" s="3">
        <v>45294</v>
      </c>
      <c r="E468" t="s">
        <v>1877</v>
      </c>
      <c r="F468" t="s">
        <v>2139</v>
      </c>
      <c r="G468" t="s">
        <v>465</v>
      </c>
      <c r="H468">
        <v>0</v>
      </c>
      <c r="I468" s="1">
        <v>0</v>
      </c>
      <c r="J468" s="1">
        <v>0</v>
      </c>
      <c r="K468">
        <v>1</v>
      </c>
      <c r="L468">
        <f>IF(E468="4. Renewal - MRR",IF(I468&lt;=0,0,VLOOKUP(B468,Multipliers!A:L,MATCH(K468,Multipliers!$A$1:$L$1,0),FALSE)),VLOOKUP(B468,Multipliers!A:L,MATCH(K468,Multipliers!$A$1:$L$1,0),FALSE))</f>
        <v>0</v>
      </c>
      <c r="M468">
        <f t="shared" si="28"/>
        <v>0</v>
      </c>
      <c r="N468" s="1">
        <f>_xlfn.XLOOKUP(A468,'Product Detail'!$AG:$AG,'Product Detail'!$AH:$AH,"N/A")</f>
        <v>0</v>
      </c>
      <c r="O468" s="1">
        <f t="shared" si="29"/>
        <v>0</v>
      </c>
      <c r="P468" s="4">
        <f t="shared" si="30"/>
        <v>45352</v>
      </c>
      <c r="Q468" s="4">
        <f t="shared" si="31"/>
        <v>45413</v>
      </c>
    </row>
    <row r="469" spans="1:17" x14ac:dyDescent="0.25">
      <c r="A469">
        <v>38066</v>
      </c>
      <c r="B469" t="s">
        <v>1874</v>
      </c>
      <c r="C469" t="str">
        <f>_xlfn.XLOOKUP(B469,Multipliers!A:A,Multipliers!C:C)</f>
        <v>Jeffrey Weight</v>
      </c>
      <c r="D469" s="3">
        <v>45300</v>
      </c>
      <c r="E469" t="s">
        <v>1877</v>
      </c>
      <c r="F469" t="s">
        <v>1961</v>
      </c>
      <c r="G469" t="s">
        <v>457</v>
      </c>
      <c r="H469">
        <v>0</v>
      </c>
      <c r="I469" s="1">
        <v>0</v>
      </c>
      <c r="J469" s="1">
        <v>0</v>
      </c>
      <c r="K469">
        <v>1</v>
      </c>
      <c r="L469">
        <f>IF(E469="4. Renewal - MRR",IF(I469&lt;=0,0,VLOOKUP(B469,Multipliers!A:L,MATCH(K469,Multipliers!$A$1:$L$1,0),FALSE)),VLOOKUP(B469,Multipliers!A:L,MATCH(K469,Multipliers!$A$1:$L$1,0),FALSE))</f>
        <v>0</v>
      </c>
      <c r="M469">
        <f t="shared" si="28"/>
        <v>0</v>
      </c>
      <c r="N469" s="1">
        <f>_xlfn.XLOOKUP(A469,'Product Detail'!$AG:$AG,'Product Detail'!$AH:$AH,"N/A")</f>
        <v>19.929600000000001</v>
      </c>
      <c r="O469" s="1">
        <f t="shared" si="29"/>
        <v>0</v>
      </c>
      <c r="P469" s="4">
        <f t="shared" si="30"/>
        <v>45352</v>
      </c>
      <c r="Q469" s="4">
        <f t="shared" si="31"/>
        <v>45413</v>
      </c>
    </row>
    <row r="470" spans="1:17" x14ac:dyDescent="0.25">
      <c r="A470">
        <v>38045</v>
      </c>
      <c r="B470" t="s">
        <v>132</v>
      </c>
      <c r="C470" t="str">
        <f>_xlfn.XLOOKUP(B470,Multipliers!A:A,Multipliers!C:C)</f>
        <v>Jeffrey Weight</v>
      </c>
      <c r="D470" s="3">
        <v>45303</v>
      </c>
      <c r="E470" t="s">
        <v>1877</v>
      </c>
      <c r="F470" t="s">
        <v>2108</v>
      </c>
      <c r="G470" t="s">
        <v>454</v>
      </c>
      <c r="H470">
        <v>0</v>
      </c>
      <c r="I470" s="1">
        <v>0</v>
      </c>
      <c r="J470" s="1">
        <v>0</v>
      </c>
      <c r="K470">
        <v>1</v>
      </c>
      <c r="L470">
        <f>IF(E470="4. Renewal - MRR",IF(I470&lt;=0,0,VLOOKUP(B470,Multipliers!A:L,MATCH(K470,Multipliers!$A$1:$L$1,0),FALSE)),VLOOKUP(B470,Multipliers!A:L,MATCH(K470,Multipliers!$A$1:$L$1,0),FALSE))</f>
        <v>0</v>
      </c>
      <c r="M470">
        <f t="shared" si="28"/>
        <v>0</v>
      </c>
      <c r="N470" s="1">
        <f>_xlfn.XLOOKUP(A470,'Product Detail'!$AG:$AG,'Product Detail'!$AH:$AH,"N/A")</f>
        <v>328.8</v>
      </c>
      <c r="O470" s="1">
        <f t="shared" si="29"/>
        <v>0</v>
      </c>
      <c r="P470" s="4">
        <f t="shared" si="30"/>
        <v>45352</v>
      </c>
      <c r="Q470" s="4">
        <f t="shared" si="31"/>
        <v>45413</v>
      </c>
    </row>
    <row r="471" spans="1:17" x14ac:dyDescent="0.25">
      <c r="A471">
        <v>37992</v>
      </c>
      <c r="B471" t="s">
        <v>184</v>
      </c>
      <c r="C471" t="str">
        <f>_xlfn.XLOOKUP(B471,Multipliers!A:A,Multipliers!C:C)</f>
        <v>Jeffrey Weight</v>
      </c>
      <c r="D471" s="3">
        <v>45295</v>
      </c>
      <c r="E471" t="s">
        <v>1877</v>
      </c>
      <c r="F471" t="s">
        <v>2140</v>
      </c>
      <c r="G471" t="s">
        <v>449</v>
      </c>
      <c r="H471">
        <v>0</v>
      </c>
      <c r="I471" s="1">
        <v>0</v>
      </c>
      <c r="J471" s="1">
        <v>0</v>
      </c>
      <c r="K471">
        <v>1</v>
      </c>
      <c r="L471">
        <f>IF(E471="4. Renewal - MRR",IF(I471&lt;=0,0,VLOOKUP(B471,Multipliers!A:L,MATCH(K471,Multipliers!$A$1:$L$1,0),FALSE)),VLOOKUP(B471,Multipliers!A:L,MATCH(K471,Multipliers!$A$1:$L$1,0),FALSE))</f>
        <v>0</v>
      </c>
      <c r="M471">
        <f t="shared" si="28"/>
        <v>0</v>
      </c>
      <c r="N471" s="1">
        <f>_xlfn.XLOOKUP(A471,'Product Detail'!$AG:$AG,'Product Detail'!$AH:$AH,"N/A")</f>
        <v>0</v>
      </c>
      <c r="O471" s="1">
        <f t="shared" si="29"/>
        <v>0</v>
      </c>
      <c r="P471" s="4">
        <f t="shared" si="30"/>
        <v>45352</v>
      </c>
      <c r="Q471" s="4">
        <f t="shared" si="31"/>
        <v>45413</v>
      </c>
    </row>
    <row r="472" spans="1:17" x14ac:dyDescent="0.25">
      <c r="A472">
        <v>37983</v>
      </c>
      <c r="B472" t="s">
        <v>1874</v>
      </c>
      <c r="C472" t="str">
        <f>_xlfn.XLOOKUP(B472,Multipliers!A:A,Multipliers!C:C)</f>
        <v>Jeffrey Weight</v>
      </c>
      <c r="D472" s="3">
        <v>45306</v>
      </c>
      <c r="E472" t="s">
        <v>1877</v>
      </c>
      <c r="F472" t="s">
        <v>2141</v>
      </c>
      <c r="G472" t="s">
        <v>446</v>
      </c>
      <c r="H472">
        <v>0</v>
      </c>
      <c r="I472" s="1">
        <v>0</v>
      </c>
      <c r="J472" s="1">
        <v>0</v>
      </c>
      <c r="K472">
        <v>1</v>
      </c>
      <c r="L472">
        <f>IF(E472="4. Renewal - MRR",IF(I472&lt;=0,0,VLOOKUP(B472,Multipliers!A:L,MATCH(K472,Multipliers!$A$1:$L$1,0),FALSE)),VLOOKUP(B472,Multipliers!A:L,MATCH(K472,Multipliers!$A$1:$L$1,0),FALSE))</f>
        <v>0</v>
      </c>
      <c r="M472">
        <f t="shared" si="28"/>
        <v>0</v>
      </c>
      <c r="N472" s="1">
        <f>_xlfn.XLOOKUP(A472,'Product Detail'!$AG:$AG,'Product Detail'!$AH:$AH,"N/A")</f>
        <v>0.88879999999999992</v>
      </c>
      <c r="O472" s="1">
        <f t="shared" si="29"/>
        <v>0</v>
      </c>
      <c r="P472" s="4">
        <f t="shared" si="30"/>
        <v>45352</v>
      </c>
      <c r="Q472" s="4">
        <f t="shared" si="31"/>
        <v>45413</v>
      </c>
    </row>
    <row r="473" spans="1:17" x14ac:dyDescent="0.25">
      <c r="A473">
        <v>37950</v>
      </c>
      <c r="B473" t="s">
        <v>132</v>
      </c>
      <c r="C473" t="str">
        <f>_xlfn.XLOOKUP(B473,Multipliers!A:A,Multipliers!C:C)</f>
        <v>Jeffrey Weight</v>
      </c>
      <c r="D473" s="3">
        <v>45300</v>
      </c>
      <c r="E473" t="s">
        <v>1877</v>
      </c>
      <c r="F473" t="s">
        <v>1896</v>
      </c>
      <c r="G473" t="s">
        <v>443</v>
      </c>
      <c r="H473">
        <v>0</v>
      </c>
      <c r="I473" s="1">
        <v>0</v>
      </c>
      <c r="J473" s="1">
        <v>0</v>
      </c>
      <c r="K473">
        <v>1</v>
      </c>
      <c r="L473">
        <f>IF(E473="4. Renewal - MRR",IF(I473&lt;=0,0,VLOOKUP(B473,Multipliers!A:L,MATCH(K473,Multipliers!$A$1:$L$1,0),FALSE)),VLOOKUP(B473,Multipliers!A:L,MATCH(K473,Multipliers!$A$1:$L$1,0),FALSE))</f>
        <v>0</v>
      </c>
      <c r="M473">
        <f t="shared" si="28"/>
        <v>0</v>
      </c>
      <c r="N473" s="1">
        <f>_xlfn.XLOOKUP(A473,'Product Detail'!$AG:$AG,'Product Detail'!$AH:$AH,"N/A")</f>
        <v>9.788000000000002</v>
      </c>
      <c r="O473" s="1">
        <f t="shared" si="29"/>
        <v>0</v>
      </c>
      <c r="P473" s="4">
        <f t="shared" si="30"/>
        <v>45352</v>
      </c>
      <c r="Q473" s="4">
        <f t="shared" si="31"/>
        <v>45413</v>
      </c>
    </row>
    <row r="474" spans="1:17" x14ac:dyDescent="0.25">
      <c r="A474">
        <v>37915</v>
      </c>
      <c r="B474" t="s">
        <v>132</v>
      </c>
      <c r="C474" t="str">
        <f>_xlfn.XLOOKUP(B474,Multipliers!A:A,Multipliers!C:C)</f>
        <v>Jeffrey Weight</v>
      </c>
      <c r="D474" s="3">
        <v>45295</v>
      </c>
      <c r="E474" t="s">
        <v>1877</v>
      </c>
      <c r="F474" t="s">
        <v>2142</v>
      </c>
      <c r="G474" t="s">
        <v>438</v>
      </c>
      <c r="H474">
        <v>0</v>
      </c>
      <c r="I474" s="1">
        <v>0</v>
      </c>
      <c r="J474" s="1">
        <v>0</v>
      </c>
      <c r="K474">
        <v>1</v>
      </c>
      <c r="L474">
        <f>IF(E474="4. Renewal - MRR",IF(I474&lt;=0,0,VLOOKUP(B474,Multipliers!A:L,MATCH(K474,Multipliers!$A$1:$L$1,0),FALSE)),VLOOKUP(B474,Multipliers!A:L,MATCH(K474,Multipliers!$A$1:$L$1,0),FALSE))</f>
        <v>0</v>
      </c>
      <c r="M474">
        <f t="shared" si="28"/>
        <v>0</v>
      </c>
      <c r="N474" s="1">
        <f>_xlfn.XLOOKUP(A474,'Product Detail'!$AG:$AG,'Product Detail'!$AH:$AH,"N/A")</f>
        <v>6.7423999999999982</v>
      </c>
      <c r="O474" s="1">
        <f t="shared" si="29"/>
        <v>0</v>
      </c>
      <c r="P474" s="4">
        <f t="shared" si="30"/>
        <v>45352</v>
      </c>
      <c r="Q474" s="4">
        <f t="shared" si="31"/>
        <v>45413</v>
      </c>
    </row>
    <row r="475" spans="1:17" x14ac:dyDescent="0.25">
      <c r="A475">
        <v>37914</v>
      </c>
      <c r="B475" t="s">
        <v>140</v>
      </c>
      <c r="C475" t="str">
        <f>_xlfn.XLOOKUP(B475,Multipliers!A:A,Multipliers!C:C)</f>
        <v>Jeffrey Weight</v>
      </c>
      <c r="D475" s="3">
        <v>45293</v>
      </c>
      <c r="E475" t="s">
        <v>1877</v>
      </c>
      <c r="F475" t="s">
        <v>2039</v>
      </c>
      <c r="G475" t="s">
        <v>435</v>
      </c>
      <c r="H475">
        <v>0</v>
      </c>
      <c r="I475" s="1">
        <v>0</v>
      </c>
      <c r="J475" s="1">
        <v>0</v>
      </c>
      <c r="K475">
        <v>1</v>
      </c>
      <c r="L475">
        <f>IF(E475="4. Renewal - MRR",IF(I475&lt;=0,0,VLOOKUP(B475,Multipliers!A:L,MATCH(K475,Multipliers!$A$1:$L$1,0),FALSE)),VLOOKUP(B475,Multipliers!A:L,MATCH(K475,Multipliers!$A$1:$L$1,0),FALSE))</f>
        <v>0</v>
      </c>
      <c r="M475">
        <f t="shared" si="28"/>
        <v>0</v>
      </c>
      <c r="N475" s="1">
        <f>_xlfn.XLOOKUP(A475,'Product Detail'!$AG:$AG,'Product Detail'!$AH:$AH,"N/A")</f>
        <v>7.0399999999999643E-2</v>
      </c>
      <c r="O475" s="1">
        <f t="shared" si="29"/>
        <v>0</v>
      </c>
      <c r="P475" s="4">
        <f t="shared" si="30"/>
        <v>45352</v>
      </c>
      <c r="Q475" s="4">
        <f t="shared" si="31"/>
        <v>45413</v>
      </c>
    </row>
    <row r="476" spans="1:17" x14ac:dyDescent="0.25">
      <c r="A476">
        <v>37894</v>
      </c>
      <c r="B476" t="s">
        <v>140</v>
      </c>
      <c r="C476" t="str">
        <f>_xlfn.XLOOKUP(B476,Multipliers!A:A,Multipliers!C:C)</f>
        <v>Jeffrey Weight</v>
      </c>
      <c r="D476" s="3">
        <v>45294</v>
      </c>
      <c r="E476" t="s">
        <v>1877</v>
      </c>
      <c r="F476" t="s">
        <v>1968</v>
      </c>
      <c r="G476" t="s">
        <v>426</v>
      </c>
      <c r="H476">
        <v>0</v>
      </c>
      <c r="I476" s="1">
        <v>0</v>
      </c>
      <c r="J476" s="1">
        <v>0</v>
      </c>
      <c r="K476">
        <v>1</v>
      </c>
      <c r="L476">
        <f>IF(E476="4. Renewal - MRR",IF(I476&lt;=0,0,VLOOKUP(B476,Multipliers!A:L,MATCH(K476,Multipliers!$A$1:$L$1,0),FALSE)),VLOOKUP(B476,Multipliers!A:L,MATCH(K476,Multipliers!$A$1:$L$1,0),FALSE))</f>
        <v>0</v>
      </c>
      <c r="M476">
        <f t="shared" si="28"/>
        <v>0</v>
      </c>
      <c r="N476" s="1">
        <f>_xlfn.XLOOKUP(A476,'Product Detail'!$AG:$AG,'Product Detail'!$AH:$AH,"N/A")</f>
        <v>41.8</v>
      </c>
      <c r="O476" s="1">
        <f t="shared" si="29"/>
        <v>0</v>
      </c>
      <c r="P476" s="4">
        <f t="shared" si="30"/>
        <v>45352</v>
      </c>
      <c r="Q476" s="4">
        <f t="shared" si="31"/>
        <v>45413</v>
      </c>
    </row>
    <row r="477" spans="1:17" x14ac:dyDescent="0.25">
      <c r="A477">
        <v>37888</v>
      </c>
      <c r="B477" t="s">
        <v>132</v>
      </c>
      <c r="C477" t="str">
        <f>_xlfn.XLOOKUP(B477,Multipliers!A:A,Multipliers!C:C)</f>
        <v>Jeffrey Weight</v>
      </c>
      <c r="D477" s="3">
        <v>45300</v>
      </c>
      <c r="E477" t="s">
        <v>1877</v>
      </c>
      <c r="F477" t="s">
        <v>2143</v>
      </c>
      <c r="G477" t="s">
        <v>425</v>
      </c>
      <c r="H477">
        <v>0</v>
      </c>
      <c r="I477" s="1">
        <v>0</v>
      </c>
      <c r="J477" s="1">
        <v>0</v>
      </c>
      <c r="K477">
        <v>1</v>
      </c>
      <c r="L477">
        <f>IF(E477="4. Renewal - MRR",IF(I477&lt;=0,0,VLOOKUP(B477,Multipliers!A:L,MATCH(K477,Multipliers!$A$1:$L$1,0),FALSE)),VLOOKUP(B477,Multipliers!A:L,MATCH(K477,Multipliers!$A$1:$L$1,0),FALSE))</f>
        <v>0</v>
      </c>
      <c r="M477">
        <f t="shared" si="28"/>
        <v>0</v>
      </c>
      <c r="N477" s="1">
        <f>_xlfn.XLOOKUP(A477,'Product Detail'!$AG:$AG,'Product Detail'!$AH:$AH,"N/A")</f>
        <v>60.2</v>
      </c>
      <c r="O477" s="1">
        <f t="shared" si="29"/>
        <v>0</v>
      </c>
      <c r="P477" s="4">
        <f t="shared" si="30"/>
        <v>45352</v>
      </c>
      <c r="Q477" s="4">
        <f t="shared" si="31"/>
        <v>45413</v>
      </c>
    </row>
    <row r="478" spans="1:17" x14ac:dyDescent="0.25">
      <c r="A478">
        <v>39401</v>
      </c>
      <c r="B478" t="s">
        <v>61</v>
      </c>
      <c r="C478" t="str">
        <f>_xlfn.XLOOKUP(B478,Multipliers!A:A,Multipliers!C:C)</f>
        <v>John Powell</v>
      </c>
      <c r="D478" s="3">
        <v>45317</v>
      </c>
      <c r="E478" t="s">
        <v>1877</v>
      </c>
      <c r="F478" t="s">
        <v>1987</v>
      </c>
      <c r="G478" t="s">
        <v>1713</v>
      </c>
      <c r="H478">
        <v>0</v>
      </c>
      <c r="I478" s="1">
        <v>0</v>
      </c>
      <c r="J478" s="1">
        <v>0</v>
      </c>
      <c r="K478">
        <v>1</v>
      </c>
      <c r="L478">
        <f>IF(E478="4. Renewal - MRR",IF(I478&lt;=0,0,VLOOKUP(B478,Multipliers!A:L,MATCH(K478,Multipliers!$A$1:$L$1,0),FALSE)),VLOOKUP(B478,Multipliers!A:L,MATCH(K478,Multipliers!$A$1:$L$1,0),FALSE))</f>
        <v>0</v>
      </c>
      <c r="M478">
        <f t="shared" si="28"/>
        <v>0</v>
      </c>
      <c r="N478" s="1">
        <f>_xlfn.XLOOKUP(A478,'Product Detail'!$AG:$AG,'Product Detail'!$AH:$AH,"N/A")</f>
        <v>0</v>
      </c>
      <c r="O478" s="1">
        <f t="shared" si="29"/>
        <v>0</v>
      </c>
      <c r="P478" s="4">
        <f t="shared" si="30"/>
        <v>45352</v>
      </c>
      <c r="Q478" s="4">
        <f t="shared" si="31"/>
        <v>45413</v>
      </c>
    </row>
    <row r="479" spans="1:17" x14ac:dyDescent="0.25">
      <c r="A479">
        <v>37835</v>
      </c>
      <c r="B479" t="s">
        <v>132</v>
      </c>
      <c r="C479" t="str">
        <f>_xlfn.XLOOKUP(B479,Multipliers!A:A,Multipliers!C:C)</f>
        <v>Jeffrey Weight</v>
      </c>
      <c r="D479" s="3">
        <v>45306</v>
      </c>
      <c r="E479" t="s">
        <v>1877</v>
      </c>
      <c r="F479" t="s">
        <v>2144</v>
      </c>
      <c r="G479" t="s">
        <v>416</v>
      </c>
      <c r="H479">
        <v>0</v>
      </c>
      <c r="I479" s="1">
        <v>0</v>
      </c>
      <c r="J479" s="1">
        <v>0</v>
      </c>
      <c r="K479">
        <v>1</v>
      </c>
      <c r="L479">
        <f>IF(E479="4. Renewal - MRR",IF(I479&lt;=0,0,VLOOKUP(B479,Multipliers!A:L,MATCH(K479,Multipliers!$A$1:$L$1,0),FALSE)),VLOOKUP(B479,Multipliers!A:L,MATCH(K479,Multipliers!$A$1:$L$1,0),FALSE))</f>
        <v>0</v>
      </c>
      <c r="M479">
        <f t="shared" si="28"/>
        <v>0</v>
      </c>
      <c r="N479" s="1">
        <f>_xlfn.XLOOKUP(A479,'Product Detail'!$AG:$AG,'Product Detail'!$AH:$AH,"N/A")</f>
        <v>36.215200000000003</v>
      </c>
      <c r="O479" s="1">
        <f t="shared" si="29"/>
        <v>0</v>
      </c>
      <c r="P479" s="4">
        <f t="shared" si="30"/>
        <v>45352</v>
      </c>
      <c r="Q479" s="4">
        <f t="shared" si="31"/>
        <v>45413</v>
      </c>
    </row>
    <row r="480" spans="1:17" x14ac:dyDescent="0.25">
      <c r="A480">
        <v>37770</v>
      </c>
      <c r="B480" t="s">
        <v>174</v>
      </c>
      <c r="C480" t="str">
        <f>_xlfn.XLOOKUP(B480,Multipliers!A:A,Multipliers!C:C)</f>
        <v>Anthony Laiewski</v>
      </c>
      <c r="D480" s="3">
        <v>45293</v>
      </c>
      <c r="E480" t="s">
        <v>1881</v>
      </c>
      <c r="F480" t="s">
        <v>1894</v>
      </c>
      <c r="G480" t="s">
        <v>389</v>
      </c>
      <c r="H480">
        <v>0</v>
      </c>
      <c r="I480" s="1">
        <v>0</v>
      </c>
      <c r="J480" s="1">
        <v>0</v>
      </c>
      <c r="K480">
        <v>1</v>
      </c>
      <c r="L480">
        <f>IF(E480="4. Renewal - MRR",IF(I480&lt;=0,0,VLOOKUP(B480,Multipliers!A:L,MATCH(K480,Multipliers!$A$1:$L$1,0),FALSE)),VLOOKUP(B480,Multipliers!A:L,MATCH(K480,Multipliers!$A$1:$L$1,0),FALSE))</f>
        <v>0</v>
      </c>
      <c r="M480">
        <f t="shared" si="28"/>
        <v>0</v>
      </c>
      <c r="N480" s="1">
        <f>_xlfn.XLOOKUP(A480,'Product Detail'!$AG:$AG,'Product Detail'!$AH:$AH,"N/A")</f>
        <v>0</v>
      </c>
      <c r="O480" s="1">
        <f t="shared" si="29"/>
        <v>0</v>
      </c>
      <c r="P480" s="4">
        <f t="shared" si="30"/>
        <v>45352</v>
      </c>
      <c r="Q480" s="4">
        <f t="shared" si="31"/>
        <v>45413</v>
      </c>
    </row>
    <row r="481" spans="1:17" x14ac:dyDescent="0.25">
      <c r="A481">
        <v>39403</v>
      </c>
      <c r="B481" t="s">
        <v>47</v>
      </c>
      <c r="C481" t="str">
        <f>_xlfn.XLOOKUP(B481,Multipliers!A:A,Multipliers!C:C)</f>
        <v>John Powell</v>
      </c>
      <c r="D481" s="3">
        <v>45320</v>
      </c>
      <c r="E481" t="s">
        <v>1877</v>
      </c>
      <c r="F481" t="s">
        <v>1886</v>
      </c>
      <c r="G481" t="s">
        <v>1716</v>
      </c>
      <c r="H481">
        <v>0</v>
      </c>
      <c r="I481" s="1">
        <v>0</v>
      </c>
      <c r="J481" s="1">
        <v>0</v>
      </c>
      <c r="K481">
        <v>1</v>
      </c>
      <c r="L481">
        <f>IF(E481="4. Renewal - MRR",IF(I481&lt;=0,0,VLOOKUP(B481,Multipliers!A:L,MATCH(K481,Multipliers!$A$1:$L$1,0),FALSE)),VLOOKUP(B481,Multipliers!A:L,MATCH(K481,Multipliers!$A$1:$L$1,0),FALSE))</f>
        <v>0</v>
      </c>
      <c r="M481">
        <f t="shared" si="28"/>
        <v>0</v>
      </c>
      <c r="N481" s="1">
        <f>_xlfn.XLOOKUP(A481,'Product Detail'!$AG:$AG,'Product Detail'!$AH:$AH,"N/A")</f>
        <v>63.797600000000024</v>
      </c>
      <c r="O481" s="1">
        <f t="shared" si="29"/>
        <v>0</v>
      </c>
      <c r="P481" s="4">
        <f t="shared" si="30"/>
        <v>45352</v>
      </c>
      <c r="Q481" s="4">
        <f t="shared" si="31"/>
        <v>45413</v>
      </c>
    </row>
    <row r="482" spans="1:17" x14ac:dyDescent="0.25">
      <c r="A482">
        <v>37744</v>
      </c>
      <c r="B482" t="s">
        <v>174</v>
      </c>
      <c r="C482" t="str">
        <f>_xlfn.XLOOKUP(B482,Multipliers!A:A,Multipliers!C:C)</f>
        <v>Anthony Laiewski</v>
      </c>
      <c r="D482" s="3">
        <v>45293</v>
      </c>
      <c r="E482" t="s">
        <v>1881</v>
      </c>
      <c r="F482" t="s">
        <v>1935</v>
      </c>
      <c r="G482" t="s">
        <v>381</v>
      </c>
      <c r="H482">
        <v>0</v>
      </c>
      <c r="I482" s="1">
        <v>0</v>
      </c>
      <c r="J482" s="1">
        <v>0</v>
      </c>
      <c r="K482">
        <v>1</v>
      </c>
      <c r="L482">
        <f>IF(E482="4. Renewal - MRR",IF(I482&lt;=0,0,VLOOKUP(B482,Multipliers!A:L,MATCH(K482,Multipliers!$A$1:$L$1,0),FALSE)),VLOOKUP(B482,Multipliers!A:L,MATCH(K482,Multipliers!$A$1:$L$1,0),FALSE))</f>
        <v>0</v>
      </c>
      <c r="M482">
        <f t="shared" si="28"/>
        <v>0</v>
      </c>
      <c r="N482" s="1">
        <f>_xlfn.XLOOKUP(A482,'Product Detail'!$AG:$AG,'Product Detail'!$AH:$AH,"N/A")</f>
        <v>0</v>
      </c>
      <c r="O482" s="1">
        <f t="shared" si="29"/>
        <v>0</v>
      </c>
      <c r="P482" s="4">
        <f t="shared" si="30"/>
        <v>45352</v>
      </c>
      <c r="Q482" s="4">
        <f t="shared" si="31"/>
        <v>45413</v>
      </c>
    </row>
    <row r="483" spans="1:17" x14ac:dyDescent="0.25">
      <c r="A483">
        <v>37673</v>
      </c>
      <c r="B483" t="s">
        <v>132</v>
      </c>
      <c r="C483" t="str">
        <f>_xlfn.XLOOKUP(B483,Multipliers!A:A,Multipliers!C:C)</f>
        <v>Jeffrey Weight</v>
      </c>
      <c r="D483" s="3">
        <v>45310</v>
      </c>
      <c r="E483" t="s">
        <v>1877</v>
      </c>
      <c r="F483" t="s">
        <v>2145</v>
      </c>
      <c r="G483" t="s">
        <v>356</v>
      </c>
      <c r="H483">
        <v>0</v>
      </c>
      <c r="I483" s="1">
        <v>0</v>
      </c>
      <c r="J483" s="1">
        <v>0</v>
      </c>
      <c r="K483">
        <v>1</v>
      </c>
      <c r="L483">
        <f>IF(E483="4. Renewal - MRR",IF(I483&lt;=0,0,VLOOKUP(B483,Multipliers!A:L,MATCH(K483,Multipliers!$A$1:$L$1,0),FALSE)),VLOOKUP(B483,Multipliers!A:L,MATCH(K483,Multipliers!$A$1:$L$1,0),FALSE))</f>
        <v>0</v>
      </c>
      <c r="M483">
        <f t="shared" si="28"/>
        <v>0</v>
      </c>
      <c r="N483" s="1">
        <f>_xlfn.XLOOKUP(A483,'Product Detail'!$AG:$AG,'Product Detail'!$AH:$AH,"N/A")</f>
        <v>210.87199999999999</v>
      </c>
      <c r="O483" s="1">
        <f t="shared" si="29"/>
        <v>0</v>
      </c>
      <c r="P483" s="4">
        <f t="shared" si="30"/>
        <v>45352</v>
      </c>
      <c r="Q483" s="4">
        <f t="shared" si="31"/>
        <v>45413</v>
      </c>
    </row>
    <row r="484" spans="1:17" x14ac:dyDescent="0.25">
      <c r="A484" s="2">
        <v>39408</v>
      </c>
      <c r="B484" t="s">
        <v>47</v>
      </c>
      <c r="C484" t="s">
        <v>2441</v>
      </c>
      <c r="D484" s="3">
        <v>45321</v>
      </c>
      <c r="E484" t="s">
        <v>1877</v>
      </c>
      <c r="F484" t="s">
        <v>1890</v>
      </c>
      <c r="G484" t="s">
        <v>2191</v>
      </c>
      <c r="H484">
        <v>0</v>
      </c>
      <c r="I484" s="1">
        <v>11.25</v>
      </c>
      <c r="J484" s="1">
        <v>0</v>
      </c>
      <c r="K484">
        <v>12</v>
      </c>
      <c r="L484">
        <f>IF(E484="4. Renewal - MRR",IF(I484&lt;=0,0,VLOOKUP(B484,Multipliers!A:L,MATCH(K484,Multipliers!$A$1:$L$1,0),FALSE)),VLOOKUP(B484,Multipliers!A:L,MATCH(K484,Multipliers!$A$1:$L$1,0),FALSE))</f>
        <v>0.125</v>
      </c>
      <c r="M484">
        <f t="shared" si="28"/>
        <v>0</v>
      </c>
      <c r="N484" s="1" t="str">
        <f>_xlfn.XLOOKUP(A484,'Product Detail'!$AG:$AG,'Product Detail'!$AH:$AH,"N/A")</f>
        <v>N/A</v>
      </c>
      <c r="O484" s="1">
        <f t="shared" si="29"/>
        <v>1.40625</v>
      </c>
      <c r="P484" s="4">
        <f t="shared" si="30"/>
        <v>45352</v>
      </c>
      <c r="Q484" s="4">
        <f t="shared" si="31"/>
        <v>45413</v>
      </c>
    </row>
    <row r="485" spans="1:17" x14ac:dyDescent="0.25">
      <c r="A485">
        <v>37614</v>
      </c>
      <c r="B485" t="s">
        <v>184</v>
      </c>
      <c r="C485" t="str">
        <f>_xlfn.XLOOKUP(B485,Multipliers!A:A,Multipliers!C:C)</f>
        <v>Jeffrey Weight</v>
      </c>
      <c r="D485" s="3">
        <v>45302</v>
      </c>
      <c r="E485" t="s">
        <v>1877</v>
      </c>
      <c r="F485" t="s">
        <v>2001</v>
      </c>
      <c r="G485" t="s">
        <v>338</v>
      </c>
      <c r="H485">
        <v>0</v>
      </c>
      <c r="I485" s="1">
        <v>0</v>
      </c>
      <c r="J485" s="1">
        <v>0</v>
      </c>
      <c r="K485">
        <v>1</v>
      </c>
      <c r="L485">
        <f>IF(E485="4. Renewal - MRR",IF(I485&lt;=0,0,VLOOKUP(B485,Multipliers!A:L,MATCH(K485,Multipliers!$A$1:$L$1,0),FALSE)),VLOOKUP(B485,Multipliers!A:L,MATCH(K485,Multipliers!$A$1:$L$1,0),FALSE))</f>
        <v>0</v>
      </c>
      <c r="M485">
        <f t="shared" si="28"/>
        <v>0</v>
      </c>
      <c r="N485" s="1">
        <f>_xlfn.XLOOKUP(A485,'Product Detail'!$AG:$AG,'Product Detail'!$AH:$AH,"N/A")</f>
        <v>0</v>
      </c>
      <c r="O485" s="1">
        <f t="shared" si="29"/>
        <v>0</v>
      </c>
      <c r="P485" s="4">
        <f t="shared" si="30"/>
        <v>45352</v>
      </c>
      <c r="Q485" s="4">
        <f t="shared" si="31"/>
        <v>45413</v>
      </c>
    </row>
    <row r="486" spans="1:17" x14ac:dyDescent="0.25">
      <c r="A486">
        <v>37591</v>
      </c>
      <c r="B486" t="s">
        <v>184</v>
      </c>
      <c r="C486" t="str">
        <f>_xlfn.XLOOKUP(B486,Multipliers!A:A,Multipliers!C:C)</f>
        <v>Jeffrey Weight</v>
      </c>
      <c r="D486" s="3">
        <v>45300</v>
      </c>
      <c r="E486" t="s">
        <v>1877</v>
      </c>
      <c r="F486" t="s">
        <v>2001</v>
      </c>
      <c r="G486" t="s">
        <v>324</v>
      </c>
      <c r="H486">
        <v>0</v>
      </c>
      <c r="I486" s="1">
        <v>0</v>
      </c>
      <c r="J486" s="1">
        <v>0</v>
      </c>
      <c r="K486">
        <v>1</v>
      </c>
      <c r="L486">
        <f>IF(E486="4. Renewal - MRR",IF(I486&lt;=0,0,VLOOKUP(B486,Multipliers!A:L,MATCH(K486,Multipliers!$A$1:$L$1,0),FALSE)),VLOOKUP(B486,Multipliers!A:L,MATCH(K486,Multipliers!$A$1:$L$1,0),FALSE))</f>
        <v>0</v>
      </c>
      <c r="M486">
        <f t="shared" si="28"/>
        <v>0</v>
      </c>
      <c r="N486" s="1">
        <f>_xlfn.XLOOKUP(A486,'Product Detail'!$AG:$AG,'Product Detail'!$AH:$AH,"N/A")</f>
        <v>0</v>
      </c>
      <c r="O486" s="1">
        <f t="shared" si="29"/>
        <v>0</v>
      </c>
      <c r="P486" s="4">
        <f t="shared" si="30"/>
        <v>45352</v>
      </c>
      <c r="Q486" s="4">
        <f t="shared" si="31"/>
        <v>45413</v>
      </c>
    </row>
    <row r="487" spans="1:17" x14ac:dyDescent="0.25">
      <c r="A487">
        <v>37574</v>
      </c>
      <c r="B487" t="s">
        <v>1874</v>
      </c>
      <c r="C487" t="str">
        <f>_xlfn.XLOOKUP(B487,Multipliers!A:A,Multipliers!C:C)</f>
        <v>Jeffrey Weight</v>
      </c>
      <c r="D487" s="3">
        <v>45307</v>
      </c>
      <c r="E487" t="s">
        <v>1881</v>
      </c>
      <c r="F487" t="s">
        <v>2146</v>
      </c>
      <c r="G487" t="s">
        <v>319</v>
      </c>
      <c r="H487">
        <v>0</v>
      </c>
      <c r="I487" s="1">
        <v>0</v>
      </c>
      <c r="J487" s="1">
        <v>0</v>
      </c>
      <c r="K487">
        <v>1</v>
      </c>
      <c r="L487">
        <f>IF(E487="4. Renewal - MRR",IF(I487&lt;=0,0,VLOOKUP(B487,Multipliers!A:L,MATCH(K487,Multipliers!$A$1:$L$1,0),FALSE)),VLOOKUP(B487,Multipliers!A:L,MATCH(K487,Multipliers!$A$1:$L$1,0),FALSE))</f>
        <v>0</v>
      </c>
      <c r="M487">
        <f t="shared" si="28"/>
        <v>0</v>
      </c>
      <c r="N487" s="1">
        <f>_xlfn.XLOOKUP(A487,'Product Detail'!$AG:$AG,'Product Detail'!$AH:$AH,"N/A")</f>
        <v>21.515200000000007</v>
      </c>
      <c r="O487" s="1">
        <f t="shared" si="29"/>
        <v>0</v>
      </c>
      <c r="P487" s="4">
        <f t="shared" si="30"/>
        <v>45352</v>
      </c>
      <c r="Q487" s="4">
        <f t="shared" si="31"/>
        <v>45413</v>
      </c>
    </row>
    <row r="488" spans="1:17" x14ac:dyDescent="0.25">
      <c r="A488">
        <v>37552</v>
      </c>
      <c r="B488" t="s">
        <v>1874</v>
      </c>
      <c r="C488" t="str">
        <f>_xlfn.XLOOKUP(B488,Multipliers!A:A,Multipliers!C:C)</f>
        <v>Jeffrey Weight</v>
      </c>
      <c r="D488" s="3">
        <v>45322</v>
      </c>
      <c r="E488" t="s">
        <v>1877</v>
      </c>
      <c r="F488" t="s">
        <v>1897</v>
      </c>
      <c r="G488" t="s">
        <v>302</v>
      </c>
      <c r="H488">
        <v>0</v>
      </c>
      <c r="I488" s="1">
        <v>0</v>
      </c>
      <c r="J488" s="1">
        <v>0</v>
      </c>
      <c r="K488">
        <v>1</v>
      </c>
      <c r="L488">
        <f>IF(E488="4. Renewal - MRR",IF(I488&lt;=0,0,VLOOKUP(B488,Multipliers!A:L,MATCH(K488,Multipliers!$A$1:$L$1,0),FALSE)),VLOOKUP(B488,Multipliers!A:L,MATCH(K488,Multipliers!$A$1:$L$1,0),FALSE))</f>
        <v>0</v>
      </c>
      <c r="M488">
        <f t="shared" si="28"/>
        <v>0</v>
      </c>
      <c r="N488" s="1">
        <f>_xlfn.XLOOKUP(A488,'Product Detail'!$AG:$AG,'Product Detail'!$AH:$AH,"N/A")</f>
        <v>490.8</v>
      </c>
      <c r="O488" s="1">
        <f t="shared" si="29"/>
        <v>0</v>
      </c>
      <c r="P488" s="4">
        <f t="shared" si="30"/>
        <v>45352</v>
      </c>
      <c r="Q488" s="4">
        <f t="shared" si="31"/>
        <v>45413</v>
      </c>
    </row>
    <row r="489" spans="1:17" x14ac:dyDescent="0.25">
      <c r="A489">
        <v>37445</v>
      </c>
      <c r="B489" t="s">
        <v>184</v>
      </c>
      <c r="C489" t="str">
        <f>_xlfn.XLOOKUP(B489,Multipliers!A:A,Multipliers!C:C)</f>
        <v>Jeffrey Weight</v>
      </c>
      <c r="D489" s="3">
        <v>45303</v>
      </c>
      <c r="E489" t="s">
        <v>1877</v>
      </c>
      <c r="F489" t="s">
        <v>2147</v>
      </c>
      <c r="G489" t="s">
        <v>282</v>
      </c>
      <c r="H489">
        <v>0</v>
      </c>
      <c r="I489" s="1">
        <v>0</v>
      </c>
      <c r="J489" s="1">
        <v>0</v>
      </c>
      <c r="K489">
        <v>1</v>
      </c>
      <c r="L489">
        <f>IF(E489="4. Renewal - MRR",IF(I489&lt;=0,0,VLOOKUP(B489,Multipliers!A:L,MATCH(K489,Multipliers!$A$1:$L$1,0),FALSE)),VLOOKUP(B489,Multipliers!A:L,MATCH(K489,Multipliers!$A$1:$L$1,0),FALSE))</f>
        <v>0</v>
      </c>
      <c r="M489">
        <f t="shared" si="28"/>
        <v>0</v>
      </c>
      <c r="N489" s="1">
        <f>_xlfn.XLOOKUP(A489,'Product Detail'!$AG:$AG,'Product Detail'!$AH:$AH,"N/A")</f>
        <v>0</v>
      </c>
      <c r="O489" s="1">
        <f t="shared" si="29"/>
        <v>0</v>
      </c>
      <c r="P489" s="4">
        <f t="shared" si="30"/>
        <v>45352</v>
      </c>
      <c r="Q489" s="4">
        <f t="shared" si="31"/>
        <v>45413</v>
      </c>
    </row>
    <row r="490" spans="1:17" x14ac:dyDescent="0.25">
      <c r="A490">
        <v>37414</v>
      </c>
      <c r="B490" t="s">
        <v>132</v>
      </c>
      <c r="C490" t="str">
        <f>_xlfn.XLOOKUP(B490,Multipliers!A:A,Multipliers!C:C)</f>
        <v>Jeffrey Weight</v>
      </c>
      <c r="D490" s="3">
        <v>45322</v>
      </c>
      <c r="E490" t="s">
        <v>1877</v>
      </c>
      <c r="F490" t="s">
        <v>2148</v>
      </c>
      <c r="G490" t="s">
        <v>278</v>
      </c>
      <c r="H490">
        <v>0</v>
      </c>
      <c r="I490" s="1">
        <v>0</v>
      </c>
      <c r="J490" s="1">
        <v>0</v>
      </c>
      <c r="K490">
        <v>1</v>
      </c>
      <c r="L490">
        <f>IF(E490="4. Renewal - MRR",IF(I490&lt;=0,0,VLOOKUP(B490,Multipliers!A:L,MATCH(K490,Multipliers!$A$1:$L$1,0),FALSE)),VLOOKUP(B490,Multipliers!A:L,MATCH(K490,Multipliers!$A$1:$L$1,0),FALSE))</f>
        <v>0</v>
      </c>
      <c r="M490">
        <f t="shared" si="28"/>
        <v>0</v>
      </c>
      <c r="N490" s="1">
        <f>_xlfn.XLOOKUP(A490,'Product Detail'!$AG:$AG,'Product Detail'!$AH:$AH,"N/A")</f>
        <v>31.716000000000005</v>
      </c>
      <c r="O490" s="1">
        <f t="shared" si="29"/>
        <v>0</v>
      </c>
      <c r="P490" s="4">
        <f t="shared" si="30"/>
        <v>45352</v>
      </c>
      <c r="Q490" s="4">
        <f t="shared" si="31"/>
        <v>45413</v>
      </c>
    </row>
    <row r="491" spans="1:17" x14ac:dyDescent="0.25">
      <c r="A491">
        <v>37412</v>
      </c>
      <c r="B491" t="s">
        <v>1874</v>
      </c>
      <c r="C491" t="str">
        <f>_xlfn.XLOOKUP(B491,Multipliers!A:A,Multipliers!C:C)</f>
        <v>Jeffrey Weight</v>
      </c>
      <c r="D491" s="3">
        <v>45316</v>
      </c>
      <c r="E491" t="s">
        <v>1877</v>
      </c>
      <c r="F491" t="s">
        <v>2149</v>
      </c>
      <c r="G491" t="s">
        <v>277</v>
      </c>
      <c r="H491">
        <v>0</v>
      </c>
      <c r="I491" s="1">
        <v>0</v>
      </c>
      <c r="J491" s="1">
        <v>0</v>
      </c>
      <c r="K491">
        <v>1</v>
      </c>
      <c r="L491">
        <f>IF(E491="4. Renewal - MRR",IF(I491&lt;=0,0,VLOOKUP(B491,Multipliers!A:L,MATCH(K491,Multipliers!$A$1:$L$1,0),FALSE)),VLOOKUP(B491,Multipliers!A:L,MATCH(K491,Multipliers!$A$1:$L$1,0),FALSE))</f>
        <v>0</v>
      </c>
      <c r="M491">
        <f t="shared" si="28"/>
        <v>0</v>
      </c>
      <c r="N491" s="1">
        <f>_xlfn.XLOOKUP(A491,'Product Detail'!$AG:$AG,'Product Detail'!$AH:$AH,"N/A")</f>
        <v>109.2</v>
      </c>
      <c r="O491" s="1">
        <f t="shared" si="29"/>
        <v>0</v>
      </c>
      <c r="P491" s="4">
        <f t="shared" si="30"/>
        <v>45352</v>
      </c>
      <c r="Q491" s="4">
        <f t="shared" si="31"/>
        <v>45413</v>
      </c>
    </row>
    <row r="492" spans="1:17" x14ac:dyDescent="0.25">
      <c r="A492">
        <v>37381</v>
      </c>
      <c r="B492" t="s">
        <v>1874</v>
      </c>
      <c r="C492" t="str">
        <f>_xlfn.XLOOKUP(B492,Multipliers!A:A,Multipliers!C:C)</f>
        <v>Jeffrey Weight</v>
      </c>
      <c r="D492" s="3">
        <v>45313</v>
      </c>
      <c r="E492" t="s">
        <v>1881</v>
      </c>
      <c r="F492" t="s">
        <v>1927</v>
      </c>
      <c r="G492" t="s">
        <v>276</v>
      </c>
      <c r="H492">
        <v>0</v>
      </c>
      <c r="I492" s="1">
        <v>0</v>
      </c>
      <c r="J492" s="1">
        <v>0</v>
      </c>
      <c r="K492">
        <v>1</v>
      </c>
      <c r="L492">
        <f>IF(E492="4. Renewal - MRR",IF(I492&lt;=0,0,VLOOKUP(B492,Multipliers!A:L,MATCH(K492,Multipliers!$A$1:$L$1,0),FALSE)),VLOOKUP(B492,Multipliers!A:L,MATCH(K492,Multipliers!$A$1:$L$1,0),FALSE))</f>
        <v>0</v>
      </c>
      <c r="M492">
        <f t="shared" si="28"/>
        <v>0</v>
      </c>
      <c r="N492" s="1">
        <f>_xlfn.XLOOKUP(A492,'Product Detail'!$AG:$AG,'Product Detail'!$AH:$AH,"N/A")</f>
        <v>7.1608000000000001</v>
      </c>
      <c r="O492" s="1">
        <f t="shared" si="29"/>
        <v>0</v>
      </c>
      <c r="P492" s="4">
        <f t="shared" si="30"/>
        <v>45352</v>
      </c>
      <c r="Q492" s="4">
        <f t="shared" si="31"/>
        <v>45413</v>
      </c>
    </row>
    <row r="493" spans="1:17" x14ac:dyDescent="0.25">
      <c r="A493">
        <v>37367</v>
      </c>
      <c r="B493" t="s">
        <v>1874</v>
      </c>
      <c r="C493" t="str">
        <f>_xlfn.XLOOKUP(B493,Multipliers!A:A,Multipliers!C:C)</f>
        <v>Jeffrey Weight</v>
      </c>
      <c r="D493" s="3">
        <v>45306</v>
      </c>
      <c r="E493" t="s">
        <v>1881</v>
      </c>
      <c r="F493" t="s">
        <v>2150</v>
      </c>
      <c r="G493" t="s">
        <v>273</v>
      </c>
      <c r="H493">
        <v>0</v>
      </c>
      <c r="I493" s="1">
        <v>0</v>
      </c>
      <c r="J493" s="1">
        <v>0</v>
      </c>
      <c r="K493">
        <v>1</v>
      </c>
      <c r="L493">
        <f>IF(E493="4. Renewal - MRR",IF(I493&lt;=0,0,VLOOKUP(B493,Multipliers!A:L,MATCH(K493,Multipliers!$A$1:$L$1,0),FALSE)),VLOOKUP(B493,Multipliers!A:L,MATCH(K493,Multipliers!$A$1:$L$1,0),FALSE))</f>
        <v>0</v>
      </c>
      <c r="M493">
        <f t="shared" si="28"/>
        <v>0</v>
      </c>
      <c r="N493" s="1">
        <f>_xlfn.XLOOKUP(A493,'Product Detail'!$AG:$AG,'Product Detail'!$AH:$AH,"N/A")</f>
        <v>7.7208000000000006</v>
      </c>
      <c r="O493" s="1">
        <f t="shared" si="29"/>
        <v>0</v>
      </c>
      <c r="P493" s="4">
        <f t="shared" si="30"/>
        <v>45352</v>
      </c>
      <c r="Q493" s="4">
        <f t="shared" si="31"/>
        <v>45413</v>
      </c>
    </row>
    <row r="494" spans="1:17" x14ac:dyDescent="0.25">
      <c r="A494">
        <v>37260</v>
      </c>
      <c r="B494" t="s">
        <v>1874</v>
      </c>
      <c r="C494" t="str">
        <f>_xlfn.XLOOKUP(B494,Multipliers!A:A,Multipliers!C:C)</f>
        <v>Jeffrey Weight</v>
      </c>
      <c r="D494" s="3">
        <v>45301</v>
      </c>
      <c r="E494" t="s">
        <v>1881</v>
      </c>
      <c r="F494" t="s">
        <v>1903</v>
      </c>
      <c r="G494" t="s">
        <v>264</v>
      </c>
      <c r="H494">
        <v>0</v>
      </c>
      <c r="I494" s="1">
        <v>0</v>
      </c>
      <c r="J494" s="1">
        <v>0</v>
      </c>
      <c r="K494">
        <v>1</v>
      </c>
      <c r="L494">
        <f>IF(E494="4. Renewal - MRR",IF(I494&lt;=0,0,VLOOKUP(B494,Multipliers!A:L,MATCH(K494,Multipliers!$A$1:$L$1,0),FALSE)),VLOOKUP(B494,Multipliers!A:L,MATCH(K494,Multipliers!$A$1:$L$1,0),FALSE))</f>
        <v>0</v>
      </c>
      <c r="M494">
        <f t="shared" si="28"/>
        <v>0</v>
      </c>
      <c r="N494" s="1">
        <f>_xlfn.XLOOKUP(A494,'Product Detail'!$AG:$AG,'Product Detail'!$AH:$AH,"N/A")</f>
        <v>59.857600000000005</v>
      </c>
      <c r="O494" s="1">
        <f t="shared" si="29"/>
        <v>0</v>
      </c>
      <c r="P494" s="4">
        <f t="shared" si="30"/>
        <v>45352</v>
      </c>
      <c r="Q494" s="4">
        <f t="shared" si="31"/>
        <v>45413</v>
      </c>
    </row>
    <row r="495" spans="1:17" x14ac:dyDescent="0.25">
      <c r="A495">
        <v>37235</v>
      </c>
      <c r="B495" t="s">
        <v>132</v>
      </c>
      <c r="C495" t="str">
        <f>_xlfn.XLOOKUP(B495,Multipliers!A:A,Multipliers!C:C)</f>
        <v>Jeffrey Weight</v>
      </c>
      <c r="D495" s="3">
        <v>45314</v>
      </c>
      <c r="E495" t="s">
        <v>1877</v>
      </c>
      <c r="F495" t="s">
        <v>2007</v>
      </c>
      <c r="G495" t="s">
        <v>259</v>
      </c>
      <c r="H495">
        <v>0</v>
      </c>
      <c r="I495" s="1">
        <v>0</v>
      </c>
      <c r="J495" s="1">
        <v>0</v>
      </c>
      <c r="K495">
        <v>1</v>
      </c>
      <c r="L495">
        <f>IF(E495="4. Renewal - MRR",IF(I495&lt;=0,0,VLOOKUP(B495,Multipliers!A:L,MATCH(K495,Multipliers!$A$1:$L$1,0),FALSE)),VLOOKUP(B495,Multipliers!A:L,MATCH(K495,Multipliers!$A$1:$L$1,0),FALSE))</f>
        <v>0</v>
      </c>
      <c r="M495">
        <f t="shared" si="28"/>
        <v>0</v>
      </c>
      <c r="N495" s="1">
        <f>_xlfn.XLOOKUP(A495,'Product Detail'!$AG:$AG,'Product Detail'!$AH:$AH,"N/A")</f>
        <v>17.330400000000001</v>
      </c>
      <c r="O495" s="1">
        <f t="shared" si="29"/>
        <v>0</v>
      </c>
      <c r="P495" s="4">
        <f t="shared" si="30"/>
        <v>45352</v>
      </c>
      <c r="Q495" s="4">
        <f t="shared" si="31"/>
        <v>45413</v>
      </c>
    </row>
    <row r="496" spans="1:17" x14ac:dyDescent="0.25">
      <c r="A496">
        <v>36995</v>
      </c>
      <c r="B496" t="s">
        <v>1874</v>
      </c>
      <c r="C496" t="str">
        <f>_xlfn.XLOOKUP(B496,Multipliers!A:A,Multipliers!C:C)</f>
        <v>Jeffrey Weight</v>
      </c>
      <c r="D496" s="3">
        <v>45306</v>
      </c>
      <c r="E496" t="s">
        <v>1877</v>
      </c>
      <c r="F496" t="s">
        <v>2151</v>
      </c>
      <c r="G496" t="s">
        <v>247</v>
      </c>
      <c r="H496">
        <v>0</v>
      </c>
      <c r="I496" s="1">
        <v>0</v>
      </c>
      <c r="J496" s="1">
        <v>0</v>
      </c>
      <c r="K496">
        <v>1</v>
      </c>
      <c r="L496">
        <f>IF(E496="4. Renewal - MRR",IF(I496&lt;=0,0,VLOOKUP(B496,Multipliers!A:L,MATCH(K496,Multipliers!$A$1:$L$1,0),FALSE)),VLOOKUP(B496,Multipliers!A:L,MATCH(K496,Multipliers!$A$1:$L$1,0),FALSE))</f>
        <v>0</v>
      </c>
      <c r="M496">
        <f t="shared" si="28"/>
        <v>0</v>
      </c>
      <c r="N496" s="1">
        <f>_xlfn.XLOOKUP(A496,'Product Detail'!$AG:$AG,'Product Detail'!$AH:$AH,"N/A")</f>
        <v>31.5</v>
      </c>
      <c r="O496" s="1">
        <f t="shared" si="29"/>
        <v>0</v>
      </c>
      <c r="P496" s="4">
        <f t="shared" si="30"/>
        <v>45352</v>
      </c>
      <c r="Q496" s="4">
        <f t="shared" si="31"/>
        <v>45413</v>
      </c>
    </row>
    <row r="497" spans="1:17" x14ac:dyDescent="0.25">
      <c r="A497">
        <v>36869</v>
      </c>
      <c r="B497" t="s">
        <v>1874</v>
      </c>
      <c r="C497" t="str">
        <f>_xlfn.XLOOKUP(B497,Multipliers!A:A,Multipliers!C:C)</f>
        <v>Jeffrey Weight</v>
      </c>
      <c r="D497" s="3">
        <v>45306</v>
      </c>
      <c r="E497" t="s">
        <v>1881</v>
      </c>
      <c r="F497" t="s">
        <v>2077</v>
      </c>
      <c r="G497" t="s">
        <v>246</v>
      </c>
      <c r="H497">
        <v>0</v>
      </c>
      <c r="I497" s="1">
        <v>0</v>
      </c>
      <c r="J497" s="1">
        <v>0</v>
      </c>
      <c r="K497">
        <v>1</v>
      </c>
      <c r="L497">
        <f>IF(E497="4. Renewal - MRR",IF(I497&lt;=0,0,VLOOKUP(B497,Multipliers!A:L,MATCH(K497,Multipliers!$A$1:$L$1,0),FALSE)),VLOOKUP(B497,Multipliers!A:L,MATCH(K497,Multipliers!$A$1:$L$1,0),FALSE))</f>
        <v>0</v>
      </c>
      <c r="M497">
        <f t="shared" si="28"/>
        <v>0</v>
      </c>
      <c r="N497" s="1">
        <f>_xlfn.XLOOKUP(A497,'Product Detail'!$AG:$AG,'Product Detail'!$AH:$AH,"N/A")</f>
        <v>7.1608000000000001</v>
      </c>
      <c r="O497" s="1">
        <f t="shared" si="29"/>
        <v>0</v>
      </c>
      <c r="P497" s="4">
        <f t="shared" si="30"/>
        <v>45352</v>
      </c>
      <c r="Q497" s="4">
        <f t="shared" si="31"/>
        <v>45413</v>
      </c>
    </row>
    <row r="498" spans="1:17" x14ac:dyDescent="0.25">
      <c r="A498">
        <v>36853</v>
      </c>
      <c r="B498" t="s">
        <v>147</v>
      </c>
      <c r="C498" t="str">
        <f>_xlfn.XLOOKUP(B498,Multipliers!A:A,Multipliers!C:C)</f>
        <v>Jeffrey Weight</v>
      </c>
      <c r="D498" s="3">
        <v>45320</v>
      </c>
      <c r="E498" t="s">
        <v>1877</v>
      </c>
      <c r="F498" t="s">
        <v>2085</v>
      </c>
      <c r="G498" t="s">
        <v>243</v>
      </c>
      <c r="H498">
        <v>0</v>
      </c>
      <c r="I498" s="1">
        <v>0</v>
      </c>
      <c r="J498" s="1">
        <v>0</v>
      </c>
      <c r="K498">
        <v>0</v>
      </c>
      <c r="L498">
        <f>IF(E498="4. Renewal - MRR",IF(I498&lt;=0,0,VLOOKUP(B498,Multipliers!A:L,MATCH(K498,Multipliers!$A$1:$L$1,0),FALSE)),VLOOKUP(B498,Multipliers!A:L,MATCH(K498,Multipliers!$A$1:$L$1,0),FALSE))</f>
        <v>0</v>
      </c>
      <c r="M498">
        <f t="shared" si="28"/>
        <v>0</v>
      </c>
      <c r="N498" s="1">
        <f>_xlfn.XLOOKUP(A498,'Product Detail'!$AG:$AG,'Product Detail'!$AH:$AH,"N/A")</f>
        <v>215</v>
      </c>
      <c r="O498" s="1">
        <f t="shared" si="29"/>
        <v>0</v>
      </c>
      <c r="P498" s="4">
        <f t="shared" si="30"/>
        <v>45352</v>
      </c>
      <c r="Q498" s="4">
        <f t="shared" si="31"/>
        <v>45413</v>
      </c>
    </row>
    <row r="499" spans="1:17" x14ac:dyDescent="0.25">
      <c r="A499">
        <v>36795</v>
      </c>
      <c r="B499" t="s">
        <v>1874</v>
      </c>
      <c r="C499" t="str">
        <f>_xlfn.XLOOKUP(B499,Multipliers!A:A,Multipliers!C:C)</f>
        <v>Jeffrey Weight</v>
      </c>
      <c r="D499" s="3">
        <v>45317</v>
      </c>
      <c r="E499" t="s">
        <v>1881</v>
      </c>
      <c r="F499" t="s">
        <v>2018</v>
      </c>
      <c r="G499" t="s">
        <v>242</v>
      </c>
      <c r="H499">
        <v>0</v>
      </c>
      <c r="I499" s="1">
        <v>0</v>
      </c>
      <c r="J499" s="1">
        <v>0</v>
      </c>
      <c r="K499">
        <v>1</v>
      </c>
      <c r="L499">
        <f>IF(E499="4. Renewal - MRR",IF(I499&lt;=0,0,VLOOKUP(B499,Multipliers!A:L,MATCH(K499,Multipliers!$A$1:$L$1,0),FALSE)),VLOOKUP(B499,Multipliers!A:L,MATCH(K499,Multipliers!$A$1:$L$1,0),FALSE))</f>
        <v>0</v>
      </c>
      <c r="M499">
        <f t="shared" si="28"/>
        <v>0</v>
      </c>
      <c r="N499" s="1">
        <f>_xlfn.XLOOKUP(A499,'Product Detail'!$AG:$AG,'Product Detail'!$AH:$AH,"N/A")</f>
        <v>7.6959999999999988</v>
      </c>
      <c r="O499" s="1">
        <f t="shared" si="29"/>
        <v>0</v>
      </c>
      <c r="P499" s="4">
        <f t="shared" si="30"/>
        <v>45352</v>
      </c>
      <c r="Q499" s="4">
        <f t="shared" si="31"/>
        <v>45413</v>
      </c>
    </row>
    <row r="500" spans="1:17" x14ac:dyDescent="0.25">
      <c r="A500">
        <v>36783</v>
      </c>
      <c r="B500" t="s">
        <v>1874</v>
      </c>
      <c r="C500" t="str">
        <f>_xlfn.XLOOKUP(B500,Multipliers!A:A,Multipliers!C:C)</f>
        <v>Jeffrey Weight</v>
      </c>
      <c r="D500" s="3">
        <v>45308</v>
      </c>
      <c r="E500" t="s">
        <v>1881</v>
      </c>
      <c r="F500" t="s">
        <v>2152</v>
      </c>
      <c r="G500" t="s">
        <v>239</v>
      </c>
      <c r="H500">
        <v>0</v>
      </c>
      <c r="I500" s="1">
        <v>0</v>
      </c>
      <c r="J500" s="1">
        <v>0</v>
      </c>
      <c r="K500">
        <v>1</v>
      </c>
      <c r="L500">
        <f>IF(E500="4. Renewal - MRR",IF(I500&lt;=0,0,VLOOKUP(B500,Multipliers!A:L,MATCH(K500,Multipliers!$A$1:$L$1,0),FALSE)),VLOOKUP(B500,Multipliers!A:L,MATCH(K500,Multipliers!$A$1:$L$1,0),FALSE))</f>
        <v>0</v>
      </c>
      <c r="M500">
        <f t="shared" si="28"/>
        <v>0</v>
      </c>
      <c r="N500" s="1">
        <f>_xlfn.XLOOKUP(A500,'Product Detail'!$AG:$AG,'Product Detail'!$AH:$AH,"N/A")</f>
        <v>7.6959999999999988</v>
      </c>
      <c r="O500" s="1">
        <f t="shared" si="29"/>
        <v>0</v>
      </c>
      <c r="P500" s="4">
        <f t="shared" si="30"/>
        <v>45352</v>
      </c>
      <c r="Q500" s="4">
        <f t="shared" si="31"/>
        <v>45413</v>
      </c>
    </row>
    <row r="501" spans="1:17" x14ac:dyDescent="0.25">
      <c r="A501">
        <v>36781</v>
      </c>
      <c r="B501" t="s">
        <v>1874</v>
      </c>
      <c r="C501" t="str">
        <f>_xlfn.XLOOKUP(B501,Multipliers!A:A,Multipliers!C:C)</f>
        <v>Jeffrey Weight</v>
      </c>
      <c r="D501" s="3">
        <v>45302</v>
      </c>
      <c r="E501" t="s">
        <v>1881</v>
      </c>
      <c r="F501" t="s">
        <v>1961</v>
      </c>
      <c r="G501" t="s">
        <v>236</v>
      </c>
      <c r="H501">
        <v>0</v>
      </c>
      <c r="I501" s="1">
        <v>0</v>
      </c>
      <c r="J501" s="1">
        <v>0</v>
      </c>
      <c r="K501">
        <v>1</v>
      </c>
      <c r="L501">
        <f>IF(E501="4. Renewal - MRR",IF(I501&lt;=0,0,VLOOKUP(B501,Multipliers!A:L,MATCH(K501,Multipliers!$A$1:$L$1,0),FALSE)),VLOOKUP(B501,Multipliers!A:L,MATCH(K501,Multipliers!$A$1:$L$1,0),FALSE))</f>
        <v>0</v>
      </c>
      <c r="M501">
        <f t="shared" si="28"/>
        <v>0</v>
      </c>
      <c r="N501" s="1">
        <f>_xlfn.XLOOKUP(A501,'Product Detail'!$AG:$AG,'Product Detail'!$AH:$AH,"N/A")</f>
        <v>8.7776000000000032</v>
      </c>
      <c r="O501" s="1">
        <f t="shared" si="29"/>
        <v>0</v>
      </c>
      <c r="P501" s="4">
        <f t="shared" si="30"/>
        <v>45352</v>
      </c>
      <c r="Q501" s="4">
        <f t="shared" si="31"/>
        <v>45413</v>
      </c>
    </row>
    <row r="502" spans="1:17" x14ac:dyDescent="0.25">
      <c r="A502">
        <v>36780</v>
      </c>
      <c r="B502" t="s">
        <v>1874</v>
      </c>
      <c r="C502" t="str">
        <f>_xlfn.XLOOKUP(B502,Multipliers!A:A,Multipliers!C:C)</f>
        <v>Jeffrey Weight</v>
      </c>
      <c r="D502" s="3">
        <v>45301</v>
      </c>
      <c r="E502" t="s">
        <v>1881</v>
      </c>
      <c r="F502" t="s">
        <v>2096</v>
      </c>
      <c r="G502" t="s">
        <v>233</v>
      </c>
      <c r="H502">
        <v>0</v>
      </c>
      <c r="I502" s="1">
        <v>0</v>
      </c>
      <c r="J502" s="1">
        <v>0</v>
      </c>
      <c r="K502">
        <v>1</v>
      </c>
      <c r="L502">
        <f>IF(E502="4. Renewal - MRR",IF(I502&lt;=0,0,VLOOKUP(B502,Multipliers!A:L,MATCH(K502,Multipliers!$A$1:$L$1,0),FALSE)),VLOOKUP(B502,Multipliers!A:L,MATCH(K502,Multipliers!$A$1:$L$1,0),FALSE))</f>
        <v>0</v>
      </c>
      <c r="M502">
        <f t="shared" si="28"/>
        <v>0</v>
      </c>
      <c r="N502" s="1">
        <f>_xlfn.XLOOKUP(A502,'Product Detail'!$AG:$AG,'Product Detail'!$AH:$AH,"N/A")</f>
        <v>14.162399999999998</v>
      </c>
      <c r="O502" s="1">
        <f t="shared" si="29"/>
        <v>0</v>
      </c>
      <c r="P502" s="4">
        <f t="shared" si="30"/>
        <v>45352</v>
      </c>
      <c r="Q502" s="4">
        <f t="shared" si="31"/>
        <v>45413</v>
      </c>
    </row>
    <row r="503" spans="1:17" x14ac:dyDescent="0.25">
      <c r="A503">
        <v>36636</v>
      </c>
      <c r="B503" t="s">
        <v>184</v>
      </c>
      <c r="C503" t="str">
        <f>_xlfn.XLOOKUP(B503,Multipliers!A:A,Multipliers!C:C)</f>
        <v>Jeffrey Weight</v>
      </c>
      <c r="D503" s="3">
        <v>45301</v>
      </c>
      <c r="E503" t="s">
        <v>1881</v>
      </c>
      <c r="F503" t="s">
        <v>2153</v>
      </c>
      <c r="G503" t="s">
        <v>221</v>
      </c>
      <c r="H503">
        <v>0</v>
      </c>
      <c r="I503" s="1">
        <v>0</v>
      </c>
      <c r="J503" s="1">
        <v>0</v>
      </c>
      <c r="K503">
        <v>1</v>
      </c>
      <c r="L503">
        <f>IF(E503="4. Renewal - MRR",IF(I503&lt;=0,0,VLOOKUP(B503,Multipliers!A:L,MATCH(K503,Multipliers!$A$1:$L$1,0),FALSE)),VLOOKUP(B503,Multipliers!A:L,MATCH(K503,Multipliers!$A$1:$L$1,0),FALSE))</f>
        <v>0</v>
      </c>
      <c r="M503">
        <f t="shared" si="28"/>
        <v>0</v>
      </c>
      <c r="N503" s="1">
        <f>_xlfn.XLOOKUP(A503,'Product Detail'!$AG:$AG,'Product Detail'!$AH:$AH,"N/A")</f>
        <v>0</v>
      </c>
      <c r="O503" s="1">
        <f t="shared" si="29"/>
        <v>0</v>
      </c>
      <c r="P503" s="4">
        <f t="shared" si="30"/>
        <v>45352</v>
      </c>
      <c r="Q503" s="4">
        <f t="shared" si="31"/>
        <v>45413</v>
      </c>
    </row>
    <row r="504" spans="1:17" x14ac:dyDescent="0.25">
      <c r="A504">
        <v>36507</v>
      </c>
      <c r="B504" t="s">
        <v>1874</v>
      </c>
      <c r="C504" t="str">
        <f>_xlfn.XLOOKUP(B504,Multipliers!A:A,Multipliers!C:C)</f>
        <v>Jeffrey Weight</v>
      </c>
      <c r="D504" s="3">
        <v>45307</v>
      </c>
      <c r="E504" t="s">
        <v>1881</v>
      </c>
      <c r="F504" t="s">
        <v>2154</v>
      </c>
      <c r="G504" t="s">
        <v>216</v>
      </c>
      <c r="H504">
        <v>0</v>
      </c>
      <c r="I504" s="1">
        <v>0</v>
      </c>
      <c r="J504" s="1">
        <v>0</v>
      </c>
      <c r="K504">
        <v>1</v>
      </c>
      <c r="L504">
        <f>IF(E504="4. Renewal - MRR",IF(I504&lt;=0,0,VLOOKUP(B504,Multipliers!A:L,MATCH(K504,Multipliers!$A$1:$L$1,0),FALSE)),VLOOKUP(B504,Multipliers!A:L,MATCH(K504,Multipliers!$A$1:$L$1,0),FALSE))</f>
        <v>0</v>
      </c>
      <c r="M504">
        <f t="shared" si="28"/>
        <v>0</v>
      </c>
      <c r="N504" s="1">
        <f>_xlfn.XLOOKUP(A504,'Product Detail'!$AG:$AG,'Product Detail'!$AH:$AH,"N/A")</f>
        <v>7.1608000000000001</v>
      </c>
      <c r="O504" s="1">
        <f t="shared" si="29"/>
        <v>0</v>
      </c>
      <c r="P504" s="4">
        <f t="shared" si="30"/>
        <v>45352</v>
      </c>
      <c r="Q504" s="4">
        <f t="shared" si="31"/>
        <v>45413</v>
      </c>
    </row>
    <row r="505" spans="1:17" x14ac:dyDescent="0.25">
      <c r="A505">
        <v>36417</v>
      </c>
      <c r="B505" t="s">
        <v>1874</v>
      </c>
      <c r="C505" t="str">
        <f>_xlfn.XLOOKUP(B505,Multipliers!A:A,Multipliers!C:C)</f>
        <v>Jeffrey Weight</v>
      </c>
      <c r="D505" s="3">
        <v>45294</v>
      </c>
      <c r="E505" t="s">
        <v>1881</v>
      </c>
      <c r="F505" t="s">
        <v>1986</v>
      </c>
      <c r="G505" t="s">
        <v>211</v>
      </c>
      <c r="H505">
        <v>0</v>
      </c>
      <c r="I505" s="1">
        <v>0</v>
      </c>
      <c r="J505" s="1">
        <v>0</v>
      </c>
      <c r="K505">
        <v>1</v>
      </c>
      <c r="L505">
        <f>IF(E505="4. Renewal - MRR",IF(I505&lt;=0,0,VLOOKUP(B505,Multipliers!A:L,MATCH(K505,Multipliers!$A$1:$L$1,0),FALSE)),VLOOKUP(B505,Multipliers!A:L,MATCH(K505,Multipliers!$A$1:$L$1,0),FALSE))</f>
        <v>0</v>
      </c>
      <c r="M505">
        <f t="shared" si="28"/>
        <v>0</v>
      </c>
      <c r="N505" s="1">
        <f>_xlfn.XLOOKUP(A505,'Product Detail'!$AG:$AG,'Product Detail'!$AH:$AH,"N/A")</f>
        <v>73.214400000000026</v>
      </c>
      <c r="O505" s="1">
        <f t="shared" si="29"/>
        <v>0</v>
      </c>
      <c r="P505" s="4">
        <f t="shared" si="30"/>
        <v>45352</v>
      </c>
      <c r="Q505" s="4">
        <f t="shared" si="31"/>
        <v>45413</v>
      </c>
    </row>
    <row r="506" spans="1:17" x14ac:dyDescent="0.25">
      <c r="A506">
        <v>36364</v>
      </c>
      <c r="B506" t="s">
        <v>151</v>
      </c>
      <c r="C506" t="str">
        <f>_xlfn.XLOOKUP(B506,Multipliers!A:A,Multipliers!C:C)</f>
        <v>Anthony Laiewski</v>
      </c>
      <c r="D506" s="3">
        <v>45300</v>
      </c>
      <c r="E506" t="s">
        <v>1881</v>
      </c>
      <c r="F506" t="s">
        <v>2155</v>
      </c>
      <c r="G506" t="s">
        <v>202</v>
      </c>
      <c r="H506">
        <v>0</v>
      </c>
      <c r="I506" s="1">
        <v>0</v>
      </c>
      <c r="J506" s="1">
        <v>0</v>
      </c>
      <c r="K506">
        <v>1</v>
      </c>
      <c r="L506">
        <f>IF(E506="4. Renewal - MRR",IF(I506&lt;=0,0,VLOOKUP(B506,Multipliers!A:L,MATCH(K506,Multipliers!$A$1:$L$1,0),FALSE)),VLOOKUP(B506,Multipliers!A:L,MATCH(K506,Multipliers!$A$1:$L$1,0),FALSE))</f>
        <v>0</v>
      </c>
      <c r="M506">
        <f t="shared" si="28"/>
        <v>0</v>
      </c>
      <c r="N506" s="1">
        <f>_xlfn.XLOOKUP(A506,'Product Detail'!$AG:$AG,'Product Detail'!$AH:$AH,"N/A")</f>
        <v>22.847999999999995</v>
      </c>
      <c r="O506" s="1">
        <f t="shared" si="29"/>
        <v>0</v>
      </c>
      <c r="P506" s="4">
        <f t="shared" si="30"/>
        <v>45352</v>
      </c>
      <c r="Q506" s="4">
        <f t="shared" si="31"/>
        <v>45413</v>
      </c>
    </row>
    <row r="507" spans="1:17" x14ac:dyDescent="0.25">
      <c r="A507">
        <v>36335</v>
      </c>
      <c r="B507" t="s">
        <v>151</v>
      </c>
      <c r="C507" t="str">
        <f>_xlfn.XLOOKUP(B507,Multipliers!A:A,Multipliers!C:C)</f>
        <v>Anthony Laiewski</v>
      </c>
      <c r="D507" s="3">
        <v>45296</v>
      </c>
      <c r="E507" t="s">
        <v>1881</v>
      </c>
      <c r="F507" t="s">
        <v>2156</v>
      </c>
      <c r="G507" t="s">
        <v>199</v>
      </c>
      <c r="H507">
        <v>0</v>
      </c>
      <c r="I507" s="1">
        <v>0</v>
      </c>
      <c r="J507" s="1">
        <v>0</v>
      </c>
      <c r="K507">
        <v>1</v>
      </c>
      <c r="L507">
        <f>IF(E507="4. Renewal - MRR",IF(I507&lt;=0,0,VLOOKUP(B507,Multipliers!A:L,MATCH(K507,Multipliers!$A$1:$L$1,0),FALSE)),VLOOKUP(B507,Multipliers!A:L,MATCH(K507,Multipliers!$A$1:$L$1,0),FALSE))</f>
        <v>0</v>
      </c>
      <c r="M507">
        <f t="shared" si="28"/>
        <v>0</v>
      </c>
      <c r="N507" s="1">
        <f>_xlfn.XLOOKUP(A507,'Product Detail'!$AG:$AG,'Product Detail'!$AH:$AH,"N/A")</f>
        <v>13.536000000000003</v>
      </c>
      <c r="O507" s="1">
        <f t="shared" si="29"/>
        <v>0</v>
      </c>
      <c r="P507" s="4">
        <f t="shared" si="30"/>
        <v>45352</v>
      </c>
      <c r="Q507" s="4">
        <f t="shared" si="31"/>
        <v>45413</v>
      </c>
    </row>
    <row r="508" spans="1:17" x14ac:dyDescent="0.25">
      <c r="A508">
        <v>36314</v>
      </c>
      <c r="B508" t="s">
        <v>1874</v>
      </c>
      <c r="C508" t="str">
        <f>_xlfn.XLOOKUP(B508,Multipliers!A:A,Multipliers!C:C)</f>
        <v>Jeffrey Weight</v>
      </c>
      <c r="D508" s="3">
        <v>45315</v>
      </c>
      <c r="E508" t="s">
        <v>1877</v>
      </c>
      <c r="F508" t="s">
        <v>2077</v>
      </c>
      <c r="G508" t="s">
        <v>190</v>
      </c>
      <c r="H508">
        <v>0</v>
      </c>
      <c r="I508" s="1">
        <v>0</v>
      </c>
      <c r="J508" s="1">
        <v>0</v>
      </c>
      <c r="K508">
        <v>1</v>
      </c>
      <c r="L508">
        <f>IF(E508="4. Renewal - MRR",IF(I508&lt;=0,0,VLOOKUP(B508,Multipliers!A:L,MATCH(K508,Multipliers!$A$1:$L$1,0),FALSE)),VLOOKUP(B508,Multipliers!A:L,MATCH(K508,Multipliers!$A$1:$L$1,0),FALSE))</f>
        <v>0</v>
      </c>
      <c r="M508">
        <f t="shared" si="28"/>
        <v>0</v>
      </c>
      <c r="N508" s="1">
        <f>_xlfn.XLOOKUP(A508,'Product Detail'!$AG:$AG,'Product Detail'!$AH:$AH,"N/A")</f>
        <v>565.5551999999999</v>
      </c>
      <c r="O508" s="1">
        <f t="shared" si="29"/>
        <v>0</v>
      </c>
      <c r="P508" s="4">
        <f t="shared" si="30"/>
        <v>45352</v>
      </c>
      <c r="Q508" s="4">
        <f t="shared" si="31"/>
        <v>45413</v>
      </c>
    </row>
    <row r="509" spans="1:17" x14ac:dyDescent="0.25">
      <c r="A509">
        <v>35605</v>
      </c>
      <c r="B509" t="s">
        <v>132</v>
      </c>
      <c r="C509" t="str">
        <f>_xlfn.XLOOKUP(B509,Multipliers!A:A,Multipliers!C:C)</f>
        <v>Jeffrey Weight</v>
      </c>
      <c r="D509" s="3">
        <v>45306</v>
      </c>
      <c r="E509" t="s">
        <v>1877</v>
      </c>
      <c r="F509" t="s">
        <v>2157</v>
      </c>
      <c r="G509" t="s">
        <v>176</v>
      </c>
      <c r="H509">
        <v>0</v>
      </c>
      <c r="I509" s="1">
        <v>0</v>
      </c>
      <c r="J509" s="1">
        <v>0</v>
      </c>
      <c r="K509">
        <v>1</v>
      </c>
      <c r="L509">
        <f>IF(E509="4. Renewal - MRR",IF(I509&lt;=0,0,VLOOKUP(B509,Multipliers!A:L,MATCH(K509,Multipliers!$A$1:$L$1,0),FALSE)),VLOOKUP(B509,Multipliers!A:L,MATCH(K509,Multipliers!$A$1:$L$1,0),FALSE))</f>
        <v>0</v>
      </c>
      <c r="M509">
        <f t="shared" si="28"/>
        <v>0</v>
      </c>
      <c r="N509" s="1">
        <f>_xlfn.XLOOKUP(A509,'Product Detail'!$AG:$AG,'Product Detail'!$AH:$AH,"N/A")</f>
        <v>477.98079999999987</v>
      </c>
      <c r="O509" s="1">
        <f t="shared" si="29"/>
        <v>0</v>
      </c>
      <c r="P509" s="4">
        <f t="shared" si="30"/>
        <v>45352</v>
      </c>
      <c r="Q509" s="4">
        <f t="shared" si="31"/>
        <v>45413</v>
      </c>
    </row>
    <row r="510" spans="1:17" x14ac:dyDescent="0.25">
      <c r="A510">
        <v>34973</v>
      </c>
      <c r="B510" t="s">
        <v>1874</v>
      </c>
      <c r="C510" t="str">
        <f>_xlfn.XLOOKUP(B510,Multipliers!A:A,Multipliers!C:C)</f>
        <v>Jeffrey Weight</v>
      </c>
      <c r="D510" s="3">
        <v>45321</v>
      </c>
      <c r="E510" t="s">
        <v>1881</v>
      </c>
      <c r="F510" t="s">
        <v>2067</v>
      </c>
      <c r="G510" t="s">
        <v>170</v>
      </c>
      <c r="H510">
        <v>0</v>
      </c>
      <c r="I510" s="1">
        <v>0</v>
      </c>
      <c r="J510" s="1">
        <v>0</v>
      </c>
      <c r="K510">
        <v>1</v>
      </c>
      <c r="L510">
        <f>IF(E510="4. Renewal - MRR",IF(I510&lt;=0,0,VLOOKUP(B510,Multipliers!A:L,MATCH(K510,Multipliers!$A$1:$L$1,0),FALSE)),VLOOKUP(B510,Multipliers!A:L,MATCH(K510,Multipliers!$A$1:$L$1,0),FALSE))</f>
        <v>0</v>
      </c>
      <c r="M510">
        <f t="shared" si="28"/>
        <v>0</v>
      </c>
      <c r="N510" s="1">
        <f>_xlfn.XLOOKUP(A510,'Product Detail'!$AG:$AG,'Product Detail'!$AH:$AH,"N/A")</f>
        <v>17.495200000000004</v>
      </c>
      <c r="O510" s="1">
        <f t="shared" si="29"/>
        <v>0</v>
      </c>
      <c r="P510" s="4">
        <f t="shared" si="30"/>
        <v>45352</v>
      </c>
      <c r="Q510" s="4">
        <f t="shared" si="31"/>
        <v>45413</v>
      </c>
    </row>
    <row r="511" spans="1:17" x14ac:dyDescent="0.25">
      <c r="A511" s="2">
        <v>39420</v>
      </c>
      <c r="B511" t="s">
        <v>70</v>
      </c>
      <c r="C511" t="s">
        <v>2441</v>
      </c>
      <c r="D511" s="3">
        <v>45320</v>
      </c>
      <c r="E511" t="s">
        <v>1877</v>
      </c>
      <c r="F511" t="s">
        <v>1888</v>
      </c>
      <c r="G511" t="s">
        <v>1723</v>
      </c>
      <c r="H511">
        <v>0</v>
      </c>
      <c r="I511" s="1">
        <v>2.09</v>
      </c>
      <c r="J511" s="1">
        <v>0</v>
      </c>
      <c r="K511">
        <v>1</v>
      </c>
      <c r="L511">
        <f>IF(E511="4. Renewal - MRR",IF(I511&lt;=0,0,VLOOKUP(B511,Multipliers!A:L,MATCH(K511,Multipliers!$A$1:$L$1,0),FALSE)),VLOOKUP(B511,Multipliers!A:L,MATCH(K511,Multipliers!$A$1:$L$1,0),FALSE))</f>
        <v>0</v>
      </c>
      <c r="M511">
        <f t="shared" si="28"/>
        <v>0</v>
      </c>
      <c r="N511" s="1">
        <f>_xlfn.XLOOKUP(A511,'Product Detail'!$AG:$AG,'Product Detail'!$AH:$AH,"N/A")</f>
        <v>0</v>
      </c>
      <c r="O511" s="1">
        <f t="shared" si="29"/>
        <v>0</v>
      </c>
      <c r="P511" s="4">
        <f t="shared" si="30"/>
        <v>45352</v>
      </c>
      <c r="Q511" s="4">
        <f t="shared" si="31"/>
        <v>45413</v>
      </c>
    </row>
    <row r="512" spans="1:17" x14ac:dyDescent="0.25">
      <c r="A512">
        <v>39423</v>
      </c>
      <c r="B512" t="s">
        <v>43</v>
      </c>
      <c r="C512" t="str">
        <f>_xlfn.XLOOKUP(B512,Multipliers!A:A,Multipliers!C:C)</f>
        <v>John Powell</v>
      </c>
      <c r="D512" s="3">
        <v>45320</v>
      </c>
      <c r="E512" t="s">
        <v>1880</v>
      </c>
      <c r="F512" t="s">
        <v>2164</v>
      </c>
      <c r="G512" t="s">
        <v>1731</v>
      </c>
      <c r="H512">
        <v>0</v>
      </c>
      <c r="I512" s="1">
        <v>0</v>
      </c>
      <c r="J512" s="1">
        <v>0</v>
      </c>
      <c r="K512">
        <v>0</v>
      </c>
      <c r="L512">
        <f>IF(E512="4. Renewal - MRR",IF(I512&lt;=0,0,VLOOKUP(B512,Multipliers!A:L,MATCH(K512,Multipliers!$A$1:$L$1,0),FALSE)),VLOOKUP(B512,Multipliers!A:L,MATCH(K512,Multipliers!$A$1:$L$1,0),FALSE))</f>
        <v>0</v>
      </c>
      <c r="M512">
        <f t="shared" si="28"/>
        <v>0</v>
      </c>
      <c r="N512" s="1">
        <f>_xlfn.XLOOKUP(A512,'Product Detail'!$AG:$AG,'Product Detail'!$AH:$AH,"N/A")</f>
        <v>222</v>
      </c>
      <c r="O512" s="1">
        <f t="shared" si="29"/>
        <v>0</v>
      </c>
      <c r="P512" s="4">
        <f t="shared" si="30"/>
        <v>45352</v>
      </c>
      <c r="Q512" s="4">
        <f t="shared" si="31"/>
        <v>45413</v>
      </c>
    </row>
    <row r="513" spans="1:17" x14ac:dyDescent="0.25">
      <c r="A513">
        <v>39425</v>
      </c>
      <c r="B513" t="s">
        <v>61</v>
      </c>
      <c r="C513" t="str">
        <f>_xlfn.XLOOKUP(B513,Multipliers!A:A,Multipliers!C:C)</f>
        <v>John Powell</v>
      </c>
      <c r="D513" s="3">
        <v>45320</v>
      </c>
      <c r="E513" t="s">
        <v>1878</v>
      </c>
      <c r="F513" t="s">
        <v>1996</v>
      </c>
      <c r="G513" t="s">
        <v>1732</v>
      </c>
      <c r="H513">
        <v>0</v>
      </c>
      <c r="I513" s="1">
        <v>0</v>
      </c>
      <c r="J513" s="1">
        <v>0</v>
      </c>
      <c r="K513">
        <v>1</v>
      </c>
      <c r="L513">
        <f>IF(E513="4. Renewal - MRR",IF(I513&lt;=0,0,VLOOKUP(B513,Multipliers!A:L,MATCH(K513,Multipliers!$A$1:$L$1,0),FALSE)),VLOOKUP(B513,Multipliers!A:L,MATCH(K513,Multipliers!$A$1:$L$1,0),FALSE))</f>
        <v>0</v>
      </c>
      <c r="M513">
        <f t="shared" si="28"/>
        <v>0</v>
      </c>
      <c r="N513" s="1">
        <f>_xlfn.XLOOKUP(A513,'Product Detail'!$AG:$AG,'Product Detail'!$AH:$AH,"N/A")</f>
        <v>0</v>
      </c>
      <c r="O513" s="1">
        <f t="shared" si="29"/>
        <v>0</v>
      </c>
      <c r="P513" s="4">
        <f t="shared" si="30"/>
        <v>45352</v>
      </c>
      <c r="Q513" s="4">
        <f t="shared" si="31"/>
        <v>45413</v>
      </c>
    </row>
    <row r="514" spans="1:17" x14ac:dyDescent="0.25">
      <c r="A514">
        <v>39434</v>
      </c>
      <c r="B514" t="s">
        <v>51</v>
      </c>
      <c r="C514" t="str">
        <f>_xlfn.XLOOKUP(B514,Multipliers!A:A,Multipliers!C:C)</f>
        <v>John Powell</v>
      </c>
      <c r="D514" s="3">
        <v>45320</v>
      </c>
      <c r="E514" t="s">
        <v>1881</v>
      </c>
      <c r="F514" t="s">
        <v>1995</v>
      </c>
      <c r="G514" t="s">
        <v>1745</v>
      </c>
      <c r="H514">
        <v>0</v>
      </c>
      <c r="I514" s="1">
        <v>0</v>
      </c>
      <c r="J514" s="1">
        <v>0</v>
      </c>
      <c r="K514">
        <v>1</v>
      </c>
      <c r="L514">
        <f>IF(E514="4. Renewal - MRR",IF(I514&lt;=0,0,VLOOKUP(B514,Multipliers!A:L,MATCH(K514,Multipliers!$A$1:$L$1,0),FALSE)),VLOOKUP(B514,Multipliers!A:L,MATCH(K514,Multipliers!$A$1:$L$1,0),FALSE))</f>
        <v>0</v>
      </c>
      <c r="M514">
        <f t="shared" ref="M514:M577" si="32">IF(E514="4. Renewal - MRR",IF(K514&gt;24,0.25,0),0)</f>
        <v>0</v>
      </c>
      <c r="N514" s="1">
        <f>_xlfn.XLOOKUP(A514,'Product Detail'!$AG:$AG,'Product Detail'!$AH:$AH,"N/A")</f>
        <v>6.0350000000000001</v>
      </c>
      <c r="O514" s="1">
        <f t="shared" ref="O514:O577" si="33">I514*L514+J514*M514</f>
        <v>0</v>
      </c>
      <c r="P514" s="4">
        <f t="shared" ref="P514:P577" si="34">EOMONTH(D514,1)+1</f>
        <v>45352</v>
      </c>
      <c r="Q514" s="4">
        <f t="shared" ref="Q514:Q577" si="35">EOMONTH(D514,3)+1</f>
        <v>45413</v>
      </c>
    </row>
    <row r="515" spans="1:17" x14ac:dyDescent="0.25">
      <c r="A515">
        <v>28676</v>
      </c>
      <c r="B515" t="s">
        <v>151</v>
      </c>
      <c r="C515" t="str">
        <f>_xlfn.XLOOKUP(B515,Multipliers!A:A,Multipliers!C:C)</f>
        <v>Anthony Laiewski</v>
      </c>
      <c r="D515" s="3">
        <v>45321</v>
      </c>
      <c r="E515" t="s">
        <v>1881</v>
      </c>
      <c r="F515" t="s">
        <v>2161</v>
      </c>
      <c r="G515" t="s">
        <v>48</v>
      </c>
      <c r="H515">
        <v>0</v>
      </c>
      <c r="I515" s="1">
        <v>0</v>
      </c>
      <c r="J515" s="1">
        <v>0</v>
      </c>
      <c r="K515">
        <v>1</v>
      </c>
      <c r="L515">
        <f>IF(E515="4. Renewal - MRR",IF(I515&lt;=0,0,VLOOKUP(B515,Multipliers!A:L,MATCH(K515,Multipliers!$A$1:$L$1,0),FALSE)),VLOOKUP(B515,Multipliers!A:L,MATCH(K515,Multipliers!$A$1:$L$1,0),FALSE))</f>
        <v>0</v>
      </c>
      <c r="M515">
        <f t="shared" si="32"/>
        <v>0</v>
      </c>
      <c r="N515" s="1">
        <f>_xlfn.XLOOKUP(A515,'Product Detail'!$AG:$AG,'Product Detail'!$AH:$AH,"N/A")</f>
        <v>17.440800000000007</v>
      </c>
      <c r="O515" s="1">
        <f t="shared" si="33"/>
        <v>0</v>
      </c>
      <c r="P515" s="4">
        <f t="shared" si="34"/>
        <v>45352</v>
      </c>
      <c r="Q515" s="4">
        <f t="shared" si="35"/>
        <v>45413</v>
      </c>
    </row>
    <row r="516" spans="1:17" x14ac:dyDescent="0.25">
      <c r="A516">
        <v>39437</v>
      </c>
      <c r="B516" t="s">
        <v>51</v>
      </c>
      <c r="C516" t="str">
        <f>_xlfn.XLOOKUP(B516,Multipliers!A:A,Multipliers!C:C)</f>
        <v>John Powell</v>
      </c>
      <c r="D516" s="3">
        <v>45321</v>
      </c>
      <c r="E516" t="s">
        <v>1881</v>
      </c>
      <c r="F516" t="s">
        <v>1991</v>
      </c>
      <c r="G516" t="s">
        <v>1746</v>
      </c>
      <c r="H516">
        <v>0</v>
      </c>
      <c r="I516" s="1">
        <v>0</v>
      </c>
      <c r="J516" s="1">
        <v>0</v>
      </c>
      <c r="K516">
        <v>1</v>
      </c>
      <c r="L516">
        <f>IF(E516="4. Renewal - MRR",IF(I516&lt;=0,0,VLOOKUP(B516,Multipliers!A:L,MATCH(K516,Multipliers!$A$1:$L$1,0),FALSE)),VLOOKUP(B516,Multipliers!A:L,MATCH(K516,Multipliers!$A$1:$L$1,0),FALSE))</f>
        <v>0</v>
      </c>
      <c r="M516">
        <f t="shared" si="32"/>
        <v>0</v>
      </c>
      <c r="N516" s="1">
        <f>_xlfn.XLOOKUP(A516,'Product Detail'!$AG:$AG,'Product Detail'!$AH:$AH,"N/A")</f>
        <v>414.92495000000008</v>
      </c>
      <c r="O516" s="1">
        <f t="shared" si="33"/>
        <v>0</v>
      </c>
      <c r="P516" s="4">
        <f t="shared" si="34"/>
        <v>45352</v>
      </c>
      <c r="Q516" s="4">
        <f t="shared" si="35"/>
        <v>45413</v>
      </c>
    </row>
    <row r="517" spans="1:17" x14ac:dyDescent="0.25">
      <c r="A517">
        <v>37489</v>
      </c>
      <c r="B517" t="s">
        <v>1874</v>
      </c>
      <c r="C517" t="str">
        <f>_xlfn.XLOOKUP(B517,Multipliers!A:A,Multipliers!C:C)</f>
        <v>Jeffrey Weight</v>
      </c>
      <c r="D517" s="3">
        <v>45314</v>
      </c>
      <c r="E517" t="s">
        <v>1878</v>
      </c>
      <c r="F517" t="s">
        <v>2163</v>
      </c>
      <c r="G517" t="s">
        <v>294</v>
      </c>
      <c r="H517">
        <v>0</v>
      </c>
      <c r="I517" s="1">
        <v>0</v>
      </c>
      <c r="J517" s="1">
        <v>0</v>
      </c>
      <c r="K517">
        <v>0</v>
      </c>
      <c r="L517">
        <f>IF(E517="4. Renewal - MRR",IF(I517&lt;=0,0,VLOOKUP(B517,Multipliers!A:L,MATCH(K517,Multipliers!$A$1:$L$1,0),FALSE)),VLOOKUP(B517,Multipliers!A:L,MATCH(K517,Multipliers!$A$1:$L$1,0),FALSE))</f>
        <v>0</v>
      </c>
      <c r="M517">
        <f t="shared" si="32"/>
        <v>0</v>
      </c>
      <c r="N517" s="1">
        <f>_xlfn.XLOOKUP(A517,'Product Detail'!$AG:$AG,'Product Detail'!$AH:$AH,"N/A")</f>
        <v>-35.000000000000007</v>
      </c>
      <c r="O517" s="1">
        <f t="shared" si="33"/>
        <v>0</v>
      </c>
      <c r="P517" s="4">
        <f t="shared" si="34"/>
        <v>45352</v>
      </c>
      <c r="Q517" s="4">
        <f t="shared" si="35"/>
        <v>45413</v>
      </c>
    </row>
    <row r="518" spans="1:17" x14ac:dyDescent="0.25">
      <c r="A518">
        <v>38979</v>
      </c>
      <c r="B518" t="s">
        <v>132</v>
      </c>
      <c r="C518" t="str">
        <f>_xlfn.XLOOKUP(B518,Multipliers!A:A,Multipliers!C:C)</f>
        <v>Jeffrey Weight</v>
      </c>
      <c r="D518" s="3">
        <v>45308</v>
      </c>
      <c r="E518" t="s">
        <v>1879</v>
      </c>
      <c r="F518" t="s">
        <v>1889</v>
      </c>
      <c r="G518" t="s">
        <v>2261</v>
      </c>
      <c r="H518" t="s">
        <v>2390</v>
      </c>
      <c r="I518" s="1">
        <v>0</v>
      </c>
      <c r="J518" s="1">
        <v>29.5</v>
      </c>
      <c r="K518">
        <v>12</v>
      </c>
      <c r="L518">
        <f>IF(E518="4. Renewal - MRR",IF(I518&lt;=0,0,VLOOKUP(B518,Multipliers!A:L,MATCH(K518,Multipliers!$A$1:$L$1,0),FALSE)),VLOOKUP(B518,Multipliers!A:L,MATCH(K518,Multipliers!$A$1:$L$1,0),FALSE))</f>
        <v>0</v>
      </c>
      <c r="M518">
        <f t="shared" si="32"/>
        <v>0</v>
      </c>
      <c r="N518" s="1" t="str">
        <f>_xlfn.XLOOKUP(A518,'Product Detail'!$AG:$AG,'Product Detail'!$AH:$AH,"N/A")</f>
        <v>N/A</v>
      </c>
      <c r="O518" s="1">
        <f t="shared" si="33"/>
        <v>0</v>
      </c>
      <c r="P518" s="4">
        <f t="shared" si="34"/>
        <v>45352</v>
      </c>
      <c r="Q518" s="4">
        <f t="shared" si="35"/>
        <v>45413</v>
      </c>
    </row>
    <row r="519" spans="1:17" x14ac:dyDescent="0.25">
      <c r="A519">
        <v>39447</v>
      </c>
      <c r="B519" t="s">
        <v>47</v>
      </c>
      <c r="C519" t="str">
        <f>_xlfn.XLOOKUP(B519,Multipliers!A:A,Multipliers!C:C)</f>
        <v>John Powell</v>
      </c>
      <c r="D519" s="3">
        <v>45322</v>
      </c>
      <c r="E519" t="s">
        <v>1877</v>
      </c>
      <c r="F519" t="s">
        <v>1988</v>
      </c>
      <c r="G519" t="s">
        <v>1778</v>
      </c>
      <c r="H519">
        <v>0</v>
      </c>
      <c r="I519" s="1">
        <v>0</v>
      </c>
      <c r="J519" s="1">
        <v>0</v>
      </c>
      <c r="K519">
        <v>1</v>
      </c>
      <c r="L519">
        <f>IF(E519="4. Renewal - MRR",IF(I519&lt;=0,0,VLOOKUP(B519,Multipliers!A:L,MATCH(K519,Multipliers!$A$1:$L$1,0),FALSE)),VLOOKUP(B519,Multipliers!A:L,MATCH(K519,Multipliers!$A$1:$L$1,0),FALSE))</f>
        <v>0</v>
      </c>
      <c r="M519">
        <f t="shared" si="32"/>
        <v>0</v>
      </c>
      <c r="N519" s="1">
        <f>_xlfn.XLOOKUP(A519,'Product Detail'!$AG:$AG,'Product Detail'!$AH:$AH,"N/A")</f>
        <v>2.1972499999999995</v>
      </c>
      <c r="O519" s="1">
        <f t="shared" si="33"/>
        <v>0</v>
      </c>
      <c r="P519" s="4">
        <f t="shared" si="34"/>
        <v>45352</v>
      </c>
      <c r="Q519" s="4">
        <f t="shared" si="35"/>
        <v>45413</v>
      </c>
    </row>
    <row r="520" spans="1:17" x14ac:dyDescent="0.25">
      <c r="A520">
        <v>39282</v>
      </c>
      <c r="B520" t="s">
        <v>80</v>
      </c>
      <c r="C520" t="str">
        <f>_xlfn.XLOOKUP(B520,Multipliers!A:A,Multipliers!C:C)</f>
        <v>Adrian Brokken</v>
      </c>
      <c r="D520" s="3">
        <v>45315</v>
      </c>
      <c r="E520" t="s">
        <v>1880</v>
      </c>
      <c r="F520" t="s">
        <v>2165</v>
      </c>
      <c r="G520" t="s">
        <v>1579</v>
      </c>
      <c r="H520">
        <v>0</v>
      </c>
      <c r="I520" s="1">
        <v>0</v>
      </c>
      <c r="J520" s="1">
        <v>0</v>
      </c>
      <c r="K520">
        <v>1</v>
      </c>
      <c r="L520">
        <f>IF(E520="4. Renewal - MRR",IF(I520&lt;=0,0,VLOOKUP(B520,Multipliers!A:L,MATCH(K520,Multipliers!$A$1:$L$1,0),FALSE)),VLOOKUP(B520,Multipliers!A:L,MATCH(K520,Multipliers!$A$1:$L$1,0),FALSE))</f>
        <v>0</v>
      </c>
      <c r="M520">
        <f t="shared" si="32"/>
        <v>0</v>
      </c>
      <c r="N520" s="1">
        <f>_xlfn.XLOOKUP(A520,'Product Detail'!$AG:$AG,'Product Detail'!$AH:$AH,"N/A")</f>
        <v>19.905600000000003</v>
      </c>
      <c r="O520" s="1">
        <f t="shared" si="33"/>
        <v>0</v>
      </c>
      <c r="P520" s="4">
        <f t="shared" si="34"/>
        <v>45352</v>
      </c>
      <c r="Q520" s="4">
        <f t="shared" si="35"/>
        <v>45413</v>
      </c>
    </row>
    <row r="521" spans="1:17" x14ac:dyDescent="0.25">
      <c r="A521">
        <v>38724</v>
      </c>
      <c r="B521" t="s">
        <v>105</v>
      </c>
      <c r="C521" t="str">
        <f>_xlfn.XLOOKUP(B521,Multipliers!A:A,Multipliers!C:C)</f>
        <v>Luis Blanco</v>
      </c>
      <c r="D521" s="3">
        <v>45316</v>
      </c>
      <c r="E521" t="s">
        <v>1880</v>
      </c>
      <c r="F521" t="s">
        <v>1905</v>
      </c>
      <c r="G521" t="s">
        <v>1018</v>
      </c>
      <c r="H521">
        <v>0</v>
      </c>
      <c r="I521" s="1">
        <v>0</v>
      </c>
      <c r="J521" s="1">
        <v>0</v>
      </c>
      <c r="K521">
        <v>1</v>
      </c>
      <c r="L521">
        <f>IF(E521="4. Renewal - MRR",IF(I521&lt;=0,0,VLOOKUP(B521,Multipliers!A:L,MATCH(K521,Multipliers!$A$1:$L$1,0),FALSE)),VLOOKUP(B521,Multipliers!A:L,MATCH(K521,Multipliers!$A$1:$L$1,0),FALSE))</f>
        <v>0</v>
      </c>
      <c r="M521">
        <f t="shared" si="32"/>
        <v>0</v>
      </c>
      <c r="N521" s="1">
        <f>_xlfn.XLOOKUP(A521,'Product Detail'!$AG:$AG,'Product Detail'!$AH:$AH,"N/A")</f>
        <v>7.6567999999999845</v>
      </c>
      <c r="O521" s="1">
        <f t="shared" si="33"/>
        <v>0</v>
      </c>
      <c r="P521" s="4">
        <f t="shared" si="34"/>
        <v>45352</v>
      </c>
      <c r="Q521" s="4">
        <f t="shared" si="35"/>
        <v>45413</v>
      </c>
    </row>
    <row r="522" spans="1:17" x14ac:dyDescent="0.25">
      <c r="A522">
        <v>38629</v>
      </c>
      <c r="B522" t="s">
        <v>132</v>
      </c>
      <c r="C522" t="str">
        <f>_xlfn.XLOOKUP(B522,Multipliers!A:A,Multipliers!C:C)</f>
        <v>Jeffrey Weight</v>
      </c>
      <c r="D522" s="3">
        <v>45299</v>
      </c>
      <c r="E522" t="s">
        <v>1880</v>
      </c>
      <c r="F522" t="s">
        <v>2166</v>
      </c>
      <c r="G522" t="s">
        <v>875</v>
      </c>
      <c r="H522">
        <v>0</v>
      </c>
      <c r="I522" s="1">
        <v>0</v>
      </c>
      <c r="J522" s="1">
        <v>0</v>
      </c>
      <c r="K522">
        <v>1</v>
      </c>
      <c r="L522">
        <f>IF(E522="4. Renewal - MRR",IF(I522&lt;=0,0,VLOOKUP(B522,Multipliers!A:L,MATCH(K522,Multipliers!$A$1:$L$1,0),FALSE)),VLOOKUP(B522,Multipliers!A:L,MATCH(K522,Multipliers!$A$1:$L$1,0),FALSE))</f>
        <v>0</v>
      </c>
      <c r="M522">
        <f t="shared" si="32"/>
        <v>0</v>
      </c>
      <c r="N522" s="1">
        <f>_xlfn.XLOOKUP(A522,'Product Detail'!$AG:$AG,'Product Detail'!$AH:$AH,"N/A")</f>
        <v>7.1608000000000001</v>
      </c>
      <c r="O522" s="1">
        <f t="shared" si="33"/>
        <v>0</v>
      </c>
      <c r="P522" s="4">
        <f t="shared" si="34"/>
        <v>45352</v>
      </c>
      <c r="Q522" s="4">
        <f t="shared" si="35"/>
        <v>45413</v>
      </c>
    </row>
    <row r="523" spans="1:17" x14ac:dyDescent="0.25">
      <c r="A523">
        <v>38510</v>
      </c>
      <c r="B523" t="s">
        <v>166</v>
      </c>
      <c r="C523" t="str">
        <f>_xlfn.XLOOKUP(B523,Multipliers!A:A,Multipliers!C:C)</f>
        <v>Luis Blanco</v>
      </c>
      <c r="D523" s="3">
        <v>45300</v>
      </c>
      <c r="E523" t="s">
        <v>1880</v>
      </c>
      <c r="F523" t="s">
        <v>2167</v>
      </c>
      <c r="G523" t="s">
        <v>713</v>
      </c>
      <c r="H523">
        <v>0</v>
      </c>
      <c r="I523" s="1">
        <v>0</v>
      </c>
      <c r="J523" s="1">
        <v>0</v>
      </c>
      <c r="K523">
        <v>1</v>
      </c>
      <c r="L523">
        <f>IF(E523="4. Renewal - MRR",IF(I523&lt;=0,0,VLOOKUP(B523,Multipliers!A:L,MATCH(K523,Multipliers!$A$1:$L$1,0),FALSE)),VLOOKUP(B523,Multipliers!A:L,MATCH(K523,Multipliers!$A$1:$L$1,0),FALSE))</f>
        <v>0</v>
      </c>
      <c r="M523">
        <f t="shared" si="32"/>
        <v>0</v>
      </c>
      <c r="N523" s="1">
        <f>_xlfn.XLOOKUP(A523,'Product Detail'!$AG:$AG,'Product Detail'!$AH:$AH,"N/A")</f>
        <v>128</v>
      </c>
      <c r="O523" s="1">
        <f t="shared" si="33"/>
        <v>0</v>
      </c>
      <c r="P523" s="4">
        <f t="shared" si="34"/>
        <v>45352</v>
      </c>
      <c r="Q523" s="4">
        <f t="shared" si="35"/>
        <v>45413</v>
      </c>
    </row>
    <row r="524" spans="1:17" x14ac:dyDescent="0.25">
      <c r="A524">
        <v>38350</v>
      </c>
      <c r="B524" t="s">
        <v>84</v>
      </c>
      <c r="C524" t="str">
        <f>_xlfn.XLOOKUP(B524,Multipliers!A:A,Multipliers!C:C)</f>
        <v>Adrian Brokken</v>
      </c>
      <c r="D524" s="3">
        <v>45309</v>
      </c>
      <c r="E524" t="s">
        <v>1880</v>
      </c>
      <c r="F524" t="s">
        <v>2168</v>
      </c>
      <c r="G524" t="s">
        <v>607</v>
      </c>
      <c r="H524">
        <v>0</v>
      </c>
      <c r="I524" s="1">
        <v>0</v>
      </c>
      <c r="J524" s="1">
        <v>0</v>
      </c>
      <c r="K524">
        <v>1</v>
      </c>
      <c r="L524">
        <f>IF(E524="4. Renewal - MRR",IF(I524&lt;=0,0,VLOOKUP(B524,Multipliers!A:L,MATCH(K524,Multipliers!$A$1:$L$1,0),FALSE)),VLOOKUP(B524,Multipliers!A:L,MATCH(K524,Multipliers!$A$1:$L$1,0),FALSE))</f>
        <v>0</v>
      </c>
      <c r="M524">
        <f t="shared" si="32"/>
        <v>0</v>
      </c>
      <c r="N524" s="1">
        <f>_xlfn.XLOOKUP(A524,'Product Detail'!$AG:$AG,'Product Detail'!$AH:$AH,"N/A")</f>
        <v>1096</v>
      </c>
      <c r="O524" s="1">
        <f t="shared" si="33"/>
        <v>0</v>
      </c>
      <c r="P524" s="4">
        <f t="shared" si="34"/>
        <v>45352</v>
      </c>
      <c r="Q524" s="4">
        <f t="shared" si="35"/>
        <v>45413</v>
      </c>
    </row>
    <row r="525" spans="1:17" x14ac:dyDescent="0.25">
      <c r="A525">
        <v>38314</v>
      </c>
      <c r="B525" t="s">
        <v>107</v>
      </c>
      <c r="C525" t="str">
        <f>_xlfn.XLOOKUP(B525,Multipliers!A:A,Multipliers!C:C)</f>
        <v>Luis Blanco</v>
      </c>
      <c r="D525" s="3">
        <v>45295</v>
      </c>
      <c r="E525" t="s">
        <v>1880</v>
      </c>
      <c r="F525" t="s">
        <v>2169</v>
      </c>
      <c r="G525" t="s">
        <v>589</v>
      </c>
      <c r="H525">
        <v>0</v>
      </c>
      <c r="I525" s="1">
        <v>0</v>
      </c>
      <c r="J525" s="1">
        <v>0</v>
      </c>
      <c r="K525">
        <v>1</v>
      </c>
      <c r="L525">
        <f>IF(E525="4. Renewal - MRR",IF(I525&lt;=0,0,VLOOKUP(B525,Multipliers!A:L,MATCH(K525,Multipliers!$A$1:$L$1,0),FALSE)),VLOOKUP(B525,Multipliers!A:L,MATCH(K525,Multipliers!$A$1:$L$1,0),FALSE))</f>
        <v>0</v>
      </c>
      <c r="M525">
        <f t="shared" si="32"/>
        <v>0</v>
      </c>
      <c r="N525" s="1">
        <f>_xlfn.XLOOKUP(A525,'Product Detail'!$AG:$AG,'Product Detail'!$AH:$AH,"N/A")</f>
        <v>27.715200000000003</v>
      </c>
      <c r="O525" s="1">
        <f t="shared" si="33"/>
        <v>0</v>
      </c>
      <c r="P525" s="4">
        <f t="shared" si="34"/>
        <v>45352</v>
      </c>
      <c r="Q525" s="4">
        <f t="shared" si="35"/>
        <v>45413</v>
      </c>
    </row>
    <row r="526" spans="1:17" x14ac:dyDescent="0.25">
      <c r="A526">
        <v>37562</v>
      </c>
      <c r="B526" t="s">
        <v>107</v>
      </c>
      <c r="C526" t="str">
        <f>_xlfn.XLOOKUP(B526,Multipliers!A:A,Multipliers!C:C)</f>
        <v>Luis Blanco</v>
      </c>
      <c r="D526" s="3">
        <v>45321</v>
      </c>
      <c r="E526" t="s">
        <v>1880</v>
      </c>
      <c r="F526" t="s">
        <v>2170</v>
      </c>
      <c r="G526" t="s">
        <v>304</v>
      </c>
      <c r="H526">
        <v>0</v>
      </c>
      <c r="I526" s="1">
        <v>0</v>
      </c>
      <c r="J526" s="1">
        <v>0</v>
      </c>
      <c r="K526">
        <v>1</v>
      </c>
      <c r="L526">
        <f>IF(E526="4. Renewal - MRR",IF(I526&lt;=0,0,VLOOKUP(B526,Multipliers!A:L,MATCH(K526,Multipliers!$A$1:$L$1,0),FALSE)),VLOOKUP(B526,Multipliers!A:L,MATCH(K526,Multipliers!$A$1:$L$1,0),FALSE))</f>
        <v>0</v>
      </c>
      <c r="M526">
        <f t="shared" si="32"/>
        <v>0</v>
      </c>
      <c r="N526" s="1">
        <f>_xlfn.XLOOKUP(A526,'Product Detail'!$AG:$AG,'Product Detail'!$AH:$AH,"N/A")</f>
        <v>76.799199999999999</v>
      </c>
      <c r="O526" s="1">
        <f t="shared" si="33"/>
        <v>0</v>
      </c>
      <c r="P526" s="4">
        <f t="shared" si="34"/>
        <v>45352</v>
      </c>
      <c r="Q526" s="4">
        <f t="shared" si="35"/>
        <v>45413</v>
      </c>
    </row>
    <row r="527" spans="1:17" x14ac:dyDescent="0.25">
      <c r="A527">
        <v>37478</v>
      </c>
      <c r="B527" t="s">
        <v>166</v>
      </c>
      <c r="C527" t="str">
        <f>_xlfn.XLOOKUP(B527,Multipliers!A:A,Multipliers!C:C)</f>
        <v>Luis Blanco</v>
      </c>
      <c r="D527" s="3">
        <v>45316</v>
      </c>
      <c r="E527" t="s">
        <v>1880</v>
      </c>
      <c r="F527" t="s">
        <v>2171</v>
      </c>
      <c r="G527" t="s">
        <v>293</v>
      </c>
      <c r="H527">
        <v>0</v>
      </c>
      <c r="I527" s="1">
        <v>0</v>
      </c>
      <c r="J527" s="1">
        <v>0</v>
      </c>
      <c r="K527">
        <v>1</v>
      </c>
      <c r="L527">
        <f>IF(E527="4. Renewal - MRR",IF(I527&lt;=0,0,VLOOKUP(B527,Multipliers!A:L,MATCH(K527,Multipliers!$A$1:$L$1,0),FALSE)),VLOOKUP(B527,Multipliers!A:L,MATCH(K527,Multipliers!$A$1:$L$1,0),FALSE))</f>
        <v>0</v>
      </c>
      <c r="M527">
        <f t="shared" si="32"/>
        <v>0</v>
      </c>
      <c r="N527" s="1">
        <f>_xlfn.XLOOKUP(A527,'Product Detail'!$AG:$AG,'Product Detail'!$AH:$AH,"N/A")</f>
        <v>300</v>
      </c>
      <c r="O527" s="1">
        <f t="shared" si="33"/>
        <v>0</v>
      </c>
      <c r="P527" s="4">
        <f t="shared" si="34"/>
        <v>45352</v>
      </c>
      <c r="Q527" s="4">
        <f t="shared" si="35"/>
        <v>45413</v>
      </c>
    </row>
    <row r="528" spans="1:17" x14ac:dyDescent="0.25">
      <c r="A528">
        <v>36677</v>
      </c>
      <c r="B528" t="s">
        <v>84</v>
      </c>
      <c r="C528" t="str">
        <f>_xlfn.XLOOKUP(B528,Multipliers!A:A,Multipliers!C:C)</f>
        <v>Adrian Brokken</v>
      </c>
      <c r="D528" s="3">
        <v>45296</v>
      </c>
      <c r="E528" t="s">
        <v>1880</v>
      </c>
      <c r="F528" t="s">
        <v>2172</v>
      </c>
      <c r="G528" t="s">
        <v>226</v>
      </c>
      <c r="H528">
        <v>0</v>
      </c>
      <c r="I528" s="1">
        <v>0</v>
      </c>
      <c r="J528" s="1">
        <v>0</v>
      </c>
      <c r="K528">
        <v>1</v>
      </c>
      <c r="L528">
        <f>IF(E528="4. Renewal - MRR",IF(I528&lt;=0,0,VLOOKUP(B528,Multipliers!A:L,MATCH(K528,Multipliers!$A$1:$L$1,0),FALSE)),VLOOKUP(B528,Multipliers!A:L,MATCH(K528,Multipliers!$A$1:$L$1,0),FALSE))</f>
        <v>0</v>
      </c>
      <c r="M528">
        <f t="shared" si="32"/>
        <v>0</v>
      </c>
      <c r="N528" s="1">
        <f>_xlfn.XLOOKUP(A528,'Product Detail'!$AG:$AG,'Product Detail'!$AH:$AH,"N/A")</f>
        <v>1128</v>
      </c>
      <c r="O528" s="1">
        <f t="shared" si="33"/>
        <v>0</v>
      </c>
      <c r="P528" s="4">
        <f t="shared" si="34"/>
        <v>45352</v>
      </c>
      <c r="Q528" s="4">
        <f t="shared" si="35"/>
        <v>45413</v>
      </c>
    </row>
    <row r="529" spans="1:17" x14ac:dyDescent="0.25">
      <c r="A529">
        <v>39230</v>
      </c>
      <c r="B529" t="s">
        <v>151</v>
      </c>
      <c r="C529" t="str">
        <f>_xlfn.XLOOKUP(B529,Multipliers!A:A,Multipliers!C:C)</f>
        <v>Anthony Laiewski</v>
      </c>
      <c r="D529" s="3">
        <v>45315</v>
      </c>
      <c r="E529" t="s">
        <v>1879</v>
      </c>
      <c r="F529" t="s">
        <v>2173</v>
      </c>
      <c r="G529" t="s">
        <v>2262</v>
      </c>
      <c r="H529">
        <v>0</v>
      </c>
      <c r="I529" s="1">
        <v>0</v>
      </c>
      <c r="J529" s="1">
        <v>2553</v>
      </c>
      <c r="K529">
        <v>12</v>
      </c>
      <c r="L529">
        <f>IF(E529="4. Renewal - MRR",IF(I529&lt;=0,0,VLOOKUP(B529,Multipliers!A:L,MATCH(K529,Multipliers!$A$1:$L$1,0),FALSE)),VLOOKUP(B529,Multipliers!A:L,MATCH(K529,Multipliers!$A$1:$L$1,0),FALSE))</f>
        <v>0</v>
      </c>
      <c r="M529">
        <f t="shared" si="32"/>
        <v>0</v>
      </c>
      <c r="N529" s="1" t="str">
        <f>_xlfn.XLOOKUP(A529,'Product Detail'!$AG:$AG,'Product Detail'!$AH:$AH,"N/A")</f>
        <v>N/A</v>
      </c>
      <c r="O529" s="1">
        <f t="shared" si="33"/>
        <v>0</v>
      </c>
      <c r="P529" s="4">
        <f t="shared" si="34"/>
        <v>45352</v>
      </c>
      <c r="Q529" s="4">
        <f t="shared" si="35"/>
        <v>45413</v>
      </c>
    </row>
    <row r="530" spans="1:17" x14ac:dyDescent="0.25">
      <c r="A530">
        <v>39078</v>
      </c>
      <c r="B530" t="s">
        <v>107</v>
      </c>
      <c r="C530" t="str">
        <f>_xlfn.XLOOKUP(B530,Multipliers!A:A,Multipliers!C:C)</f>
        <v>Luis Blanco</v>
      </c>
      <c r="D530" s="3">
        <v>45309</v>
      </c>
      <c r="E530" t="s">
        <v>1877</v>
      </c>
      <c r="F530" t="s">
        <v>2174</v>
      </c>
      <c r="G530" t="s">
        <v>2263</v>
      </c>
      <c r="H530">
        <v>0</v>
      </c>
      <c r="I530" s="1">
        <v>4.75</v>
      </c>
      <c r="J530" s="1">
        <v>0</v>
      </c>
      <c r="K530">
        <v>12</v>
      </c>
      <c r="L530">
        <f>IF(E530="4. Renewal - MRR",IF(I530&lt;=0,0,VLOOKUP(B530,Multipliers!A:L,MATCH(K530,Multipliers!$A$1:$L$1,0),FALSE)),VLOOKUP(B530,Multipliers!A:L,MATCH(K530,Multipliers!$A$1:$L$1,0),FALSE))</f>
        <v>0.35</v>
      </c>
      <c r="M530">
        <f t="shared" si="32"/>
        <v>0</v>
      </c>
      <c r="N530" s="1" t="str">
        <f>_xlfn.XLOOKUP(A530,'Product Detail'!$AG:$AG,'Product Detail'!$AH:$AH,"N/A")</f>
        <v>N/A</v>
      </c>
      <c r="O530" s="1">
        <f t="shared" si="33"/>
        <v>1.6624999999999999</v>
      </c>
      <c r="P530" s="4">
        <f t="shared" si="34"/>
        <v>45352</v>
      </c>
      <c r="Q530" s="4">
        <f t="shared" si="35"/>
        <v>45413</v>
      </c>
    </row>
    <row r="531" spans="1:17" x14ac:dyDescent="0.25">
      <c r="A531">
        <v>39449</v>
      </c>
      <c r="B531" t="s">
        <v>61</v>
      </c>
      <c r="C531" t="str">
        <f>_xlfn.XLOOKUP(B531,Multipliers!A:A,Multipliers!C:C)</f>
        <v>John Powell</v>
      </c>
      <c r="D531" s="3">
        <v>45320</v>
      </c>
      <c r="E531" t="s">
        <v>1877</v>
      </c>
      <c r="F531" t="s">
        <v>1987</v>
      </c>
      <c r="G531" t="s">
        <v>1781</v>
      </c>
      <c r="H531">
        <v>0</v>
      </c>
      <c r="I531" s="1">
        <v>0</v>
      </c>
      <c r="J531" s="1">
        <v>0</v>
      </c>
      <c r="K531">
        <v>1</v>
      </c>
      <c r="L531">
        <f>IF(E531="4. Renewal - MRR",IF(I531&lt;=0,0,VLOOKUP(B531,Multipliers!A:L,MATCH(K531,Multipliers!$A$1:$L$1,0),FALSE)),VLOOKUP(B531,Multipliers!A:L,MATCH(K531,Multipliers!$A$1:$L$1,0),FALSE))</f>
        <v>0</v>
      </c>
      <c r="M531">
        <f t="shared" si="32"/>
        <v>0</v>
      </c>
      <c r="N531" s="1">
        <f>_xlfn.XLOOKUP(A531,'Product Detail'!$AG:$AG,'Product Detail'!$AH:$AH,"N/A")</f>
        <v>0</v>
      </c>
      <c r="O531" s="1">
        <f t="shared" si="33"/>
        <v>0</v>
      </c>
      <c r="P531" s="4">
        <f t="shared" si="34"/>
        <v>45352</v>
      </c>
      <c r="Q531" s="4">
        <f t="shared" si="35"/>
        <v>45413</v>
      </c>
    </row>
    <row r="532" spans="1:17" x14ac:dyDescent="0.25">
      <c r="A532">
        <v>38459</v>
      </c>
      <c r="B532" t="s">
        <v>140</v>
      </c>
      <c r="C532" t="str">
        <f>_xlfn.XLOOKUP(B532,Multipliers!A:A,Multipliers!C:C)</f>
        <v>Jeffrey Weight</v>
      </c>
      <c r="D532" s="3">
        <v>45303</v>
      </c>
      <c r="E532" t="s">
        <v>1879</v>
      </c>
      <c r="F532" t="s">
        <v>2176</v>
      </c>
      <c r="G532" t="s">
        <v>2265</v>
      </c>
      <c r="H532">
        <v>0</v>
      </c>
      <c r="I532" s="1">
        <v>48.9</v>
      </c>
      <c r="J532" s="1">
        <v>133.82</v>
      </c>
      <c r="K532">
        <v>12</v>
      </c>
      <c r="L532">
        <f>IF(E532="4. Renewal - MRR",IF(I532&lt;=0,0,VLOOKUP(B532,Multipliers!A:L,MATCH(K532,Multipliers!$A$1:$L$1,0),FALSE)),VLOOKUP(B532,Multipliers!A:L,MATCH(K532,Multipliers!$A$1:$L$1,0),FALSE))</f>
        <v>0.15</v>
      </c>
      <c r="M532">
        <f t="shared" si="32"/>
        <v>0</v>
      </c>
      <c r="N532" s="1" t="str">
        <f>_xlfn.XLOOKUP(A532,'Product Detail'!$AG:$AG,'Product Detail'!$AH:$AH,"N/A")</f>
        <v>N/A</v>
      </c>
      <c r="O532" s="1">
        <f t="shared" si="33"/>
        <v>7.3349999999999991</v>
      </c>
      <c r="P532" s="4">
        <f t="shared" si="34"/>
        <v>45352</v>
      </c>
      <c r="Q532" s="4">
        <f t="shared" si="35"/>
        <v>45413</v>
      </c>
    </row>
    <row r="533" spans="1:17" x14ac:dyDescent="0.25">
      <c r="A533" s="2">
        <v>39451</v>
      </c>
      <c r="B533" t="s">
        <v>47</v>
      </c>
      <c r="C533" t="s">
        <v>2440</v>
      </c>
      <c r="D533" s="3">
        <v>45321</v>
      </c>
      <c r="E533" t="s">
        <v>1878</v>
      </c>
      <c r="F533" t="s">
        <v>1886</v>
      </c>
      <c r="G533" t="s">
        <v>2189</v>
      </c>
      <c r="H533">
        <v>0</v>
      </c>
      <c r="I533" s="1">
        <v>-1482.05</v>
      </c>
      <c r="J533" s="1">
        <v>0</v>
      </c>
      <c r="K533">
        <v>12</v>
      </c>
      <c r="L533">
        <f>IF(E533="4. Renewal - MRR",IF(I533&lt;=0,0,VLOOKUP(B533,Multipliers!A:L,MATCH(K533,Multipliers!$A$1:$L$1,0),FALSE)),VLOOKUP(B533,Multipliers!A:L,MATCH(K533,Multipliers!$A$1:$L$1,0),FALSE))</f>
        <v>0.125</v>
      </c>
      <c r="M533">
        <f t="shared" si="32"/>
        <v>0</v>
      </c>
      <c r="N533" s="1" t="str">
        <f>_xlfn.XLOOKUP(A533,'Product Detail'!$AG:$AG,'Product Detail'!$AH:$AH,"N/A")</f>
        <v>N/A</v>
      </c>
      <c r="O533" s="1">
        <f t="shared" si="33"/>
        <v>-185.25624999999999</v>
      </c>
      <c r="P533" s="4">
        <f t="shared" si="34"/>
        <v>45352</v>
      </c>
      <c r="Q533" s="4">
        <f t="shared" si="35"/>
        <v>45413</v>
      </c>
    </row>
    <row r="534" spans="1:17" x14ac:dyDescent="0.25">
      <c r="A534">
        <v>39460</v>
      </c>
      <c r="B534" t="s">
        <v>70</v>
      </c>
      <c r="C534" t="str">
        <f>_xlfn.XLOOKUP(B534,Multipliers!A:A,Multipliers!C:C)</f>
        <v>John Powell</v>
      </c>
      <c r="D534" s="3">
        <v>45322</v>
      </c>
      <c r="E534" t="s">
        <v>1877</v>
      </c>
      <c r="F534" t="s">
        <v>1985</v>
      </c>
      <c r="G534" t="s">
        <v>1785</v>
      </c>
      <c r="H534">
        <v>0</v>
      </c>
      <c r="I534" s="1">
        <v>0</v>
      </c>
      <c r="J534" s="1">
        <v>0</v>
      </c>
      <c r="K534">
        <v>0</v>
      </c>
      <c r="L534">
        <f>IF(E534="4. Renewal - MRR",IF(I534&lt;=0,0,VLOOKUP(B534,Multipliers!A:L,MATCH(K534,Multipliers!$A$1:$L$1,0),FALSE)),VLOOKUP(B534,Multipliers!A:L,MATCH(K534,Multipliers!$A$1:$L$1,0),FALSE))</f>
        <v>0</v>
      </c>
      <c r="M534">
        <f t="shared" si="32"/>
        <v>0</v>
      </c>
      <c r="N534" s="1">
        <f>_xlfn.XLOOKUP(A534,'Product Detail'!$AG:$AG,'Product Detail'!$AH:$AH,"N/A")</f>
        <v>0</v>
      </c>
      <c r="O534" s="1">
        <f t="shared" si="33"/>
        <v>0</v>
      </c>
      <c r="P534" s="4">
        <f t="shared" si="34"/>
        <v>45352</v>
      </c>
      <c r="Q534" s="4">
        <f t="shared" si="35"/>
        <v>45413</v>
      </c>
    </row>
    <row r="535" spans="1:17" x14ac:dyDescent="0.25">
      <c r="A535">
        <v>39445</v>
      </c>
      <c r="B535" t="s">
        <v>1874</v>
      </c>
      <c r="C535" t="str">
        <f>_xlfn.XLOOKUP(B535,Multipliers!A:A,Multipliers!C:C)</f>
        <v>Jeffrey Weight</v>
      </c>
      <c r="D535" s="3">
        <v>45321</v>
      </c>
      <c r="E535" t="s">
        <v>1877</v>
      </c>
      <c r="F535" t="s">
        <v>2119</v>
      </c>
      <c r="G535" t="s">
        <v>1777</v>
      </c>
      <c r="H535">
        <v>0</v>
      </c>
      <c r="I535" s="1">
        <v>0</v>
      </c>
      <c r="J535" s="1">
        <v>0</v>
      </c>
      <c r="K535">
        <v>1</v>
      </c>
      <c r="L535">
        <f>IF(E535="4. Renewal - MRR",IF(I535&lt;=0,0,VLOOKUP(B535,Multipliers!A:L,MATCH(K535,Multipliers!$A$1:$L$1,0),FALSE)),VLOOKUP(B535,Multipliers!A:L,MATCH(K535,Multipliers!$A$1:$L$1,0),FALSE))</f>
        <v>0</v>
      </c>
      <c r="M535">
        <f t="shared" si="32"/>
        <v>0</v>
      </c>
      <c r="N535" s="1">
        <f>_xlfn.XLOOKUP(A535,'Product Detail'!$AG:$AG,'Product Detail'!$AH:$AH,"N/A")</f>
        <v>27.304800000000007</v>
      </c>
      <c r="O535" s="1">
        <f t="shared" si="33"/>
        <v>0</v>
      </c>
      <c r="P535" s="4">
        <f t="shared" si="34"/>
        <v>45352</v>
      </c>
      <c r="Q535" s="4">
        <f t="shared" si="35"/>
        <v>45413</v>
      </c>
    </row>
    <row r="536" spans="1:17" x14ac:dyDescent="0.25">
      <c r="A536">
        <v>39464</v>
      </c>
      <c r="B536" t="s">
        <v>70</v>
      </c>
      <c r="C536" t="str">
        <f>_xlfn.XLOOKUP(B536,Multipliers!A:A,Multipliers!C:C)</f>
        <v>John Powell</v>
      </c>
      <c r="D536" s="3">
        <v>45322</v>
      </c>
      <c r="E536" t="s">
        <v>1877</v>
      </c>
      <c r="F536" t="s">
        <v>1976</v>
      </c>
      <c r="G536" t="s">
        <v>1791</v>
      </c>
      <c r="H536">
        <v>0</v>
      </c>
      <c r="I536" s="1">
        <v>0</v>
      </c>
      <c r="J536" s="1">
        <v>0</v>
      </c>
      <c r="K536">
        <v>0</v>
      </c>
      <c r="L536">
        <f>IF(E536="4. Renewal - MRR",IF(I536&lt;=0,0,VLOOKUP(B536,Multipliers!A:L,MATCH(K536,Multipliers!$A$1:$L$1,0),FALSE)),VLOOKUP(B536,Multipliers!A:L,MATCH(K536,Multipliers!$A$1:$L$1,0),FALSE))</f>
        <v>0</v>
      </c>
      <c r="M536">
        <f t="shared" si="32"/>
        <v>0</v>
      </c>
      <c r="N536" s="1">
        <f>_xlfn.XLOOKUP(A536,'Product Detail'!$AG:$AG,'Product Detail'!$AH:$AH,"N/A")</f>
        <v>0</v>
      </c>
      <c r="O536" s="1">
        <f t="shared" si="33"/>
        <v>0</v>
      </c>
      <c r="P536" s="4">
        <f t="shared" si="34"/>
        <v>45352</v>
      </c>
      <c r="Q536" s="4">
        <f t="shared" si="35"/>
        <v>45413</v>
      </c>
    </row>
    <row r="537" spans="1:17" x14ac:dyDescent="0.25">
      <c r="A537" s="2">
        <v>39465</v>
      </c>
      <c r="B537" t="s">
        <v>70</v>
      </c>
      <c r="C537" t="str">
        <f>_xlfn.XLOOKUP(B537,Multipliers!A:A,Multipliers!C:C)</f>
        <v>John Powell</v>
      </c>
      <c r="D537" s="3">
        <v>45322</v>
      </c>
      <c r="E537" t="s">
        <v>1877</v>
      </c>
      <c r="F537" t="s">
        <v>1974</v>
      </c>
      <c r="G537" t="s">
        <v>1804</v>
      </c>
      <c r="H537">
        <v>0</v>
      </c>
      <c r="I537" s="1">
        <v>0</v>
      </c>
      <c r="J537" s="1">
        <v>0</v>
      </c>
      <c r="K537">
        <v>12</v>
      </c>
      <c r="L537">
        <f>IF(E537="4. Renewal - MRR",IF(I537&lt;=0,0,VLOOKUP(B537,Multipliers!A:L,MATCH(K537,Multipliers!$A$1:$L$1,0),FALSE)),VLOOKUP(B537,Multipliers!A:L,MATCH(K537,Multipliers!$A$1:$L$1,0),FALSE))</f>
        <v>0</v>
      </c>
      <c r="M537">
        <f t="shared" si="32"/>
        <v>0</v>
      </c>
      <c r="N537" s="1">
        <f>_xlfn.XLOOKUP(A537,'Product Detail'!$AG:$AG,'Product Detail'!$AH:$AH,"N/A")</f>
        <v>0</v>
      </c>
      <c r="O537" s="1">
        <f t="shared" si="33"/>
        <v>0</v>
      </c>
      <c r="P537" s="4">
        <f t="shared" si="34"/>
        <v>45352</v>
      </c>
      <c r="Q537" s="4">
        <f t="shared" si="35"/>
        <v>45413</v>
      </c>
    </row>
    <row r="538" spans="1:17" x14ac:dyDescent="0.25">
      <c r="A538">
        <v>39316</v>
      </c>
      <c r="B538" t="s">
        <v>132</v>
      </c>
      <c r="C538" t="str">
        <f>_xlfn.XLOOKUP(B538,Multipliers!A:A,Multipliers!C:C)</f>
        <v>Jeffrey Weight</v>
      </c>
      <c r="D538" s="3">
        <v>45321</v>
      </c>
      <c r="E538" t="s">
        <v>1877</v>
      </c>
      <c r="F538" t="s">
        <v>1973</v>
      </c>
      <c r="G538" t="s">
        <v>1615</v>
      </c>
      <c r="H538">
        <v>0</v>
      </c>
      <c r="I538" s="1">
        <v>0</v>
      </c>
      <c r="J538" s="1">
        <v>0</v>
      </c>
      <c r="K538">
        <v>1</v>
      </c>
      <c r="L538">
        <f>IF(E538="4. Renewal - MRR",IF(I538&lt;=0,0,VLOOKUP(B538,Multipliers!A:L,MATCH(K538,Multipliers!$A$1:$L$1,0),FALSE)),VLOOKUP(B538,Multipliers!A:L,MATCH(K538,Multipliers!$A$1:$L$1,0),FALSE))</f>
        <v>0</v>
      </c>
      <c r="M538">
        <f t="shared" si="32"/>
        <v>0</v>
      </c>
      <c r="N538" s="1">
        <f>_xlfn.XLOOKUP(A538,'Product Detail'!$AG:$AG,'Product Detail'!$AH:$AH,"N/A")</f>
        <v>72</v>
      </c>
      <c r="O538" s="1">
        <f t="shared" si="33"/>
        <v>0</v>
      </c>
      <c r="P538" s="4">
        <f t="shared" si="34"/>
        <v>45352</v>
      </c>
      <c r="Q538" s="4">
        <f t="shared" si="35"/>
        <v>45413</v>
      </c>
    </row>
    <row r="539" spans="1:17" x14ac:dyDescent="0.25">
      <c r="A539">
        <v>39270</v>
      </c>
      <c r="B539" t="s">
        <v>1874</v>
      </c>
      <c r="C539" t="str">
        <f>_xlfn.XLOOKUP(B539,Multipliers!A:A,Multipliers!C:C)</f>
        <v>Jeffrey Weight</v>
      </c>
      <c r="D539" s="3">
        <v>45316</v>
      </c>
      <c r="E539" t="s">
        <v>1877</v>
      </c>
      <c r="F539" t="s">
        <v>2021</v>
      </c>
      <c r="G539" t="s">
        <v>1557</v>
      </c>
      <c r="H539">
        <v>0</v>
      </c>
      <c r="I539" s="1">
        <v>0</v>
      </c>
      <c r="J539" s="1">
        <v>0</v>
      </c>
      <c r="K539">
        <v>1</v>
      </c>
      <c r="L539">
        <f>IF(E539="4. Renewal - MRR",IF(I539&lt;=0,0,VLOOKUP(B539,Multipliers!A:L,MATCH(K539,Multipliers!$A$1:$L$1,0),FALSE)),VLOOKUP(B539,Multipliers!A:L,MATCH(K539,Multipliers!$A$1:$L$1,0),FALSE))</f>
        <v>0</v>
      </c>
      <c r="M539">
        <f t="shared" si="32"/>
        <v>0</v>
      </c>
      <c r="N539" s="1">
        <f>_xlfn.XLOOKUP(A539,'Product Detail'!$AG:$AG,'Product Detail'!$AH:$AH,"N/A")</f>
        <v>127.59679999999997</v>
      </c>
      <c r="O539" s="1">
        <f t="shared" si="33"/>
        <v>0</v>
      </c>
      <c r="P539" s="4">
        <f t="shared" si="34"/>
        <v>45352</v>
      </c>
      <c r="Q539" s="4">
        <f t="shared" si="35"/>
        <v>45413</v>
      </c>
    </row>
    <row r="540" spans="1:17" x14ac:dyDescent="0.25">
      <c r="A540">
        <v>39269</v>
      </c>
      <c r="B540" t="s">
        <v>1874</v>
      </c>
      <c r="C540" t="str">
        <f>_xlfn.XLOOKUP(B540,Multipliers!A:A,Multipliers!C:C)</f>
        <v>Jeffrey Weight</v>
      </c>
      <c r="D540" s="3">
        <v>45316</v>
      </c>
      <c r="E540" t="s">
        <v>1877</v>
      </c>
      <c r="F540" t="s">
        <v>2021</v>
      </c>
      <c r="G540" t="s">
        <v>1555</v>
      </c>
      <c r="H540">
        <v>0</v>
      </c>
      <c r="I540" s="1">
        <v>0</v>
      </c>
      <c r="J540" s="1">
        <v>0</v>
      </c>
      <c r="K540">
        <v>1</v>
      </c>
      <c r="L540">
        <f>IF(E540="4. Renewal - MRR",IF(I540&lt;=0,0,VLOOKUP(B540,Multipliers!A:L,MATCH(K540,Multipliers!$A$1:$L$1,0),FALSE)),VLOOKUP(B540,Multipliers!A:L,MATCH(K540,Multipliers!$A$1:$L$1,0),FALSE))</f>
        <v>0</v>
      </c>
      <c r="M540">
        <f t="shared" si="32"/>
        <v>0</v>
      </c>
      <c r="N540" s="1">
        <f>_xlfn.XLOOKUP(A540,'Product Detail'!$AG:$AG,'Product Detail'!$AH:$AH,"N/A")</f>
        <v>92.128</v>
      </c>
      <c r="O540" s="1">
        <f t="shared" si="33"/>
        <v>0</v>
      </c>
      <c r="P540" s="4">
        <f t="shared" si="34"/>
        <v>45352</v>
      </c>
      <c r="Q540" s="4">
        <f t="shared" si="35"/>
        <v>45413</v>
      </c>
    </row>
    <row r="541" spans="1:17" x14ac:dyDescent="0.25">
      <c r="A541">
        <v>39466</v>
      </c>
      <c r="B541" t="s">
        <v>70</v>
      </c>
      <c r="C541" t="str">
        <f>_xlfn.XLOOKUP(B541,Multipliers!A:A,Multipliers!C:C)</f>
        <v>John Powell</v>
      </c>
      <c r="D541" s="3">
        <v>45321</v>
      </c>
      <c r="E541" t="s">
        <v>1877</v>
      </c>
      <c r="F541" t="s">
        <v>2177</v>
      </c>
      <c r="G541" t="s">
        <v>1808</v>
      </c>
      <c r="H541">
        <v>0</v>
      </c>
      <c r="I541" s="1">
        <v>0</v>
      </c>
      <c r="J541" s="1">
        <v>0</v>
      </c>
      <c r="K541">
        <v>12</v>
      </c>
      <c r="L541">
        <f>IF(E541="4. Renewal - MRR",IF(I541&lt;=0,0,VLOOKUP(B541,Multipliers!A:L,MATCH(K541,Multipliers!$A$1:$L$1,0),FALSE)),VLOOKUP(B541,Multipliers!A:L,MATCH(K541,Multipliers!$A$1:$L$1,0),FALSE))</f>
        <v>0</v>
      </c>
      <c r="M541">
        <f t="shared" si="32"/>
        <v>0</v>
      </c>
      <c r="N541" s="1">
        <f>_xlfn.XLOOKUP(A541,'Product Detail'!$AG:$AG,'Product Detail'!$AH:$AH,"N/A")</f>
        <v>0</v>
      </c>
      <c r="O541" s="1">
        <f t="shared" si="33"/>
        <v>0</v>
      </c>
      <c r="P541" s="4">
        <f t="shared" si="34"/>
        <v>45352</v>
      </c>
      <c r="Q541" s="4">
        <f t="shared" si="35"/>
        <v>45413</v>
      </c>
    </row>
    <row r="542" spans="1:17" x14ac:dyDescent="0.25">
      <c r="A542">
        <v>39255</v>
      </c>
      <c r="B542" t="s">
        <v>1874</v>
      </c>
      <c r="C542" t="str">
        <f>_xlfn.XLOOKUP(B542,Multipliers!A:A,Multipliers!C:C)</f>
        <v>Jeffrey Weight</v>
      </c>
      <c r="D542" s="3">
        <v>45314</v>
      </c>
      <c r="E542" t="s">
        <v>1881</v>
      </c>
      <c r="F542" t="s">
        <v>2093</v>
      </c>
      <c r="G542" t="s">
        <v>1545</v>
      </c>
      <c r="H542">
        <v>0</v>
      </c>
      <c r="I542" s="1">
        <v>0</v>
      </c>
      <c r="J542" s="1">
        <v>0</v>
      </c>
      <c r="K542">
        <v>1</v>
      </c>
      <c r="L542">
        <f>IF(E542="4. Renewal - MRR",IF(I542&lt;=0,0,VLOOKUP(B542,Multipliers!A:L,MATCH(K542,Multipliers!$A$1:$L$1,0),FALSE)),VLOOKUP(B542,Multipliers!A:L,MATCH(K542,Multipliers!$A$1:$L$1,0),FALSE))</f>
        <v>0</v>
      </c>
      <c r="M542">
        <f t="shared" si="32"/>
        <v>0</v>
      </c>
      <c r="N542" s="1">
        <f>_xlfn.XLOOKUP(A542,'Product Detail'!$AG:$AG,'Product Detail'!$AH:$AH,"N/A")</f>
        <v>1.0975999999999999</v>
      </c>
      <c r="O542" s="1">
        <f t="shared" si="33"/>
        <v>0</v>
      </c>
      <c r="P542" s="4">
        <f t="shared" si="34"/>
        <v>45352</v>
      </c>
      <c r="Q542" s="4">
        <f t="shared" si="35"/>
        <v>45413</v>
      </c>
    </row>
    <row r="543" spans="1:17" x14ac:dyDescent="0.25">
      <c r="A543">
        <v>39248</v>
      </c>
      <c r="B543" t="s">
        <v>1874</v>
      </c>
      <c r="C543" t="str">
        <f>_xlfn.XLOOKUP(B543,Multipliers!A:A,Multipliers!C:C)</f>
        <v>Jeffrey Weight</v>
      </c>
      <c r="D543" s="3">
        <v>45320</v>
      </c>
      <c r="E543" t="s">
        <v>1881</v>
      </c>
      <c r="F543" t="s">
        <v>1995</v>
      </c>
      <c r="G543" t="s">
        <v>1540</v>
      </c>
      <c r="H543">
        <v>0</v>
      </c>
      <c r="I543" s="1">
        <v>0</v>
      </c>
      <c r="J543" s="1">
        <v>0</v>
      </c>
      <c r="K543">
        <v>1</v>
      </c>
      <c r="L543">
        <f>IF(E543="4. Renewal - MRR",IF(I543&lt;=0,0,VLOOKUP(B543,Multipliers!A:L,MATCH(K543,Multipliers!$A$1:$L$1,0),FALSE)),VLOOKUP(B543,Multipliers!A:L,MATCH(K543,Multipliers!$A$1:$L$1,0),FALSE))</f>
        <v>0</v>
      </c>
      <c r="M543">
        <f t="shared" si="32"/>
        <v>0</v>
      </c>
      <c r="N543" s="1">
        <f>_xlfn.XLOOKUP(A543,'Product Detail'!$AG:$AG,'Product Detail'!$AH:$AH,"N/A")</f>
        <v>13.375999999999998</v>
      </c>
      <c r="O543" s="1">
        <f t="shared" si="33"/>
        <v>0</v>
      </c>
      <c r="P543" s="4">
        <f t="shared" si="34"/>
        <v>45352</v>
      </c>
      <c r="Q543" s="4">
        <f t="shared" si="35"/>
        <v>45413</v>
      </c>
    </row>
    <row r="544" spans="1:17" x14ac:dyDescent="0.25">
      <c r="A544" s="2">
        <v>38143</v>
      </c>
      <c r="B544" t="s">
        <v>132</v>
      </c>
      <c r="C544" t="str">
        <f>_xlfn.XLOOKUP(B544,Multipliers!A:A,Multipliers!C:C)</f>
        <v>Jeffrey Weight</v>
      </c>
      <c r="D544" s="3">
        <v>45322</v>
      </c>
      <c r="E544" t="s">
        <v>1878</v>
      </c>
      <c r="F544" t="s">
        <v>2060</v>
      </c>
      <c r="G544" t="s">
        <v>502</v>
      </c>
      <c r="H544">
        <v>0</v>
      </c>
      <c r="I544" s="1">
        <v>1.1000000000000001</v>
      </c>
      <c r="J544" s="1">
        <v>0</v>
      </c>
      <c r="K544">
        <v>36</v>
      </c>
      <c r="L544">
        <f>IF(E544="4. Renewal - MRR",IF(I544&lt;=0,0,VLOOKUP(B544,Multipliers!A:L,MATCH(K544,Multipliers!$A$1:$L$1,0),FALSE)),VLOOKUP(B544,Multipliers!A:L,MATCH(K544,Multipliers!$A$1:$L$1,0),FALSE))</f>
        <v>0.5</v>
      </c>
      <c r="M544">
        <f t="shared" si="32"/>
        <v>0</v>
      </c>
      <c r="N544" s="1">
        <f>_xlfn.XLOOKUP(A544,'Product Detail'!$AG:$AG,'Product Detail'!$AH:$AH,"N/A")</f>
        <v>38</v>
      </c>
      <c r="O544" s="1">
        <f t="shared" si="33"/>
        <v>0.55000000000000004</v>
      </c>
      <c r="P544" s="4">
        <f t="shared" si="34"/>
        <v>45352</v>
      </c>
      <c r="Q544" s="4">
        <f t="shared" si="35"/>
        <v>45413</v>
      </c>
    </row>
    <row r="545" spans="1:17" x14ac:dyDescent="0.25">
      <c r="A545">
        <v>38690</v>
      </c>
      <c r="B545" t="s">
        <v>107</v>
      </c>
      <c r="C545" t="str">
        <f>_xlfn.XLOOKUP(B545,Multipliers!A:A,Multipliers!C:C)</f>
        <v>Luis Blanco</v>
      </c>
      <c r="D545" s="3">
        <v>45300</v>
      </c>
      <c r="E545" t="s">
        <v>1877</v>
      </c>
      <c r="F545" t="s">
        <v>2179</v>
      </c>
      <c r="G545" t="s">
        <v>2266</v>
      </c>
      <c r="H545">
        <v>0</v>
      </c>
      <c r="I545" s="1">
        <v>94.56</v>
      </c>
      <c r="J545" s="1">
        <v>0</v>
      </c>
      <c r="K545">
        <v>36</v>
      </c>
      <c r="L545">
        <f>IF(E545="4. Renewal - MRR",IF(I545&lt;=0,0,VLOOKUP(B545,Multipliers!A:L,MATCH(K545,Multipliers!$A$1:$L$1,0),FALSE)),VLOOKUP(B545,Multipliers!A:L,MATCH(K545,Multipliers!$A$1:$L$1,0),FALSE))</f>
        <v>1</v>
      </c>
      <c r="M545">
        <f t="shared" si="32"/>
        <v>0</v>
      </c>
      <c r="N545" s="1" t="str">
        <f>_xlfn.XLOOKUP(A545,'Product Detail'!$AG:$AG,'Product Detail'!$AH:$AH,"N/A")</f>
        <v>N/A</v>
      </c>
      <c r="O545" s="1">
        <f t="shared" si="33"/>
        <v>94.56</v>
      </c>
      <c r="P545" s="4">
        <f t="shared" si="34"/>
        <v>45352</v>
      </c>
      <c r="Q545" s="4">
        <f t="shared" si="35"/>
        <v>45413</v>
      </c>
    </row>
    <row r="546" spans="1:17" x14ac:dyDescent="0.25">
      <c r="A546">
        <v>38389</v>
      </c>
      <c r="B546" t="s">
        <v>156</v>
      </c>
      <c r="C546" t="str">
        <f>_xlfn.XLOOKUP(B546,Multipliers!A:A,Multipliers!C:C)</f>
        <v>Anthony Laiewski</v>
      </c>
      <c r="D546" s="3">
        <v>45309</v>
      </c>
      <c r="E546" t="s">
        <v>1877</v>
      </c>
      <c r="F546" t="s">
        <v>2180</v>
      </c>
      <c r="G546" t="s">
        <v>146</v>
      </c>
      <c r="H546">
        <v>0</v>
      </c>
      <c r="I546" s="1">
        <v>60</v>
      </c>
      <c r="J546" s="1">
        <v>0</v>
      </c>
      <c r="K546">
        <v>1</v>
      </c>
      <c r="L546">
        <f>IF(E546="4. Renewal - MRR",IF(I546&lt;=0,0,VLOOKUP(B546,Multipliers!A:L,MATCH(K546,Multipliers!$A$1:$L$1,0),FALSE)),VLOOKUP(B546,Multipliers!A:L,MATCH(K546,Multipliers!$A$1:$L$1,0),FALSE))</f>
        <v>0</v>
      </c>
      <c r="M546">
        <f t="shared" si="32"/>
        <v>0</v>
      </c>
      <c r="N546" s="1">
        <f>_xlfn.XLOOKUP(A546,'Product Detail'!$AG:$AG,'Product Detail'!$AH:$AH,"N/A")</f>
        <v>673.17639999999994</v>
      </c>
      <c r="O546" s="1">
        <f t="shared" si="33"/>
        <v>0</v>
      </c>
      <c r="P546" s="4">
        <f t="shared" si="34"/>
        <v>45352</v>
      </c>
      <c r="Q546" s="4">
        <f t="shared" si="35"/>
        <v>45413</v>
      </c>
    </row>
    <row r="547" spans="1:17" x14ac:dyDescent="0.25">
      <c r="A547">
        <v>39479</v>
      </c>
      <c r="B547" t="s">
        <v>47</v>
      </c>
      <c r="C547" t="str">
        <f>_xlfn.XLOOKUP(B547,Multipliers!A:A,Multipliers!C:C)</f>
        <v>John Powell</v>
      </c>
      <c r="D547" s="3">
        <v>45321</v>
      </c>
      <c r="E547" t="s">
        <v>1877</v>
      </c>
      <c r="F547" t="s">
        <v>1911</v>
      </c>
      <c r="G547" t="s">
        <v>1812</v>
      </c>
      <c r="H547">
        <v>0</v>
      </c>
      <c r="I547" s="1">
        <v>0</v>
      </c>
      <c r="J547" s="1">
        <v>0</v>
      </c>
      <c r="K547">
        <v>1</v>
      </c>
      <c r="L547">
        <f>IF(E547="4. Renewal - MRR",IF(I547&lt;=0,0,VLOOKUP(B547,Multipliers!A:L,MATCH(K547,Multipliers!$A$1:$L$1,0),FALSE)),VLOOKUP(B547,Multipliers!A:L,MATCH(K547,Multipliers!$A$1:$L$1,0),FALSE))</f>
        <v>0</v>
      </c>
      <c r="M547">
        <f t="shared" si="32"/>
        <v>0</v>
      </c>
      <c r="N547" s="1">
        <f>_xlfn.XLOOKUP(A547,'Product Detail'!$AG:$AG,'Product Detail'!$AH:$AH,"N/A")</f>
        <v>18.103300000000004</v>
      </c>
      <c r="O547" s="1">
        <f t="shared" si="33"/>
        <v>0</v>
      </c>
      <c r="P547" s="4">
        <f t="shared" si="34"/>
        <v>45352</v>
      </c>
      <c r="Q547" s="4">
        <f t="shared" si="35"/>
        <v>45413</v>
      </c>
    </row>
    <row r="548" spans="1:17" x14ac:dyDescent="0.25">
      <c r="A548">
        <v>39224</v>
      </c>
      <c r="B548" t="s">
        <v>132</v>
      </c>
      <c r="C548" t="str">
        <f>_xlfn.XLOOKUP(B548,Multipliers!A:A,Multipliers!C:C)</f>
        <v>Jeffrey Weight</v>
      </c>
      <c r="D548" s="3">
        <v>45320</v>
      </c>
      <c r="E548" t="s">
        <v>1877</v>
      </c>
      <c r="F548" t="s">
        <v>1997</v>
      </c>
      <c r="G548" t="s">
        <v>1524</v>
      </c>
      <c r="H548">
        <v>0</v>
      </c>
      <c r="I548" s="1">
        <v>0</v>
      </c>
      <c r="J548" s="1">
        <v>0</v>
      </c>
      <c r="K548">
        <v>1</v>
      </c>
      <c r="L548">
        <f>IF(E548="4. Renewal - MRR",IF(I548&lt;=0,0,VLOOKUP(B548,Multipliers!A:L,MATCH(K548,Multipliers!$A$1:$L$1,0),FALSE)),VLOOKUP(B548,Multipliers!A:L,MATCH(K548,Multipliers!$A$1:$L$1,0),FALSE))</f>
        <v>0</v>
      </c>
      <c r="M548">
        <f t="shared" si="32"/>
        <v>0</v>
      </c>
      <c r="N548" s="1">
        <f>_xlfn.XLOOKUP(A548,'Product Detail'!$AG:$AG,'Product Detail'!$AH:$AH,"N/A")</f>
        <v>4.1432000000000002</v>
      </c>
      <c r="O548" s="1">
        <f t="shared" si="33"/>
        <v>0</v>
      </c>
      <c r="P548" s="4">
        <f t="shared" si="34"/>
        <v>45352</v>
      </c>
      <c r="Q548" s="4">
        <f t="shared" si="35"/>
        <v>45413</v>
      </c>
    </row>
    <row r="549" spans="1:17" x14ac:dyDescent="0.25">
      <c r="A549" s="2">
        <v>39522</v>
      </c>
      <c r="B549" t="s">
        <v>56</v>
      </c>
      <c r="C549" t="s">
        <v>2440</v>
      </c>
      <c r="D549" s="3">
        <v>45322</v>
      </c>
      <c r="E549" t="s">
        <v>1877</v>
      </c>
      <c r="F549" t="s">
        <v>1882</v>
      </c>
      <c r="G549" t="s">
        <v>2186</v>
      </c>
      <c r="H549">
        <v>0</v>
      </c>
      <c r="I549" s="1">
        <v>106.02</v>
      </c>
      <c r="J549" s="1">
        <v>0</v>
      </c>
      <c r="K549">
        <v>12</v>
      </c>
      <c r="L549">
        <f>IF(E549="4. Renewal - MRR",IF(I549&lt;=0,0,VLOOKUP(B549,Multipliers!A:L,MATCH(K549,Multipliers!$A$1:$L$1,0),FALSE)),VLOOKUP(B549,Multipliers!A:L,MATCH(K549,Multipliers!$A$1:$L$1,0),FALSE))</f>
        <v>0.125</v>
      </c>
      <c r="M549">
        <f t="shared" si="32"/>
        <v>0</v>
      </c>
      <c r="N549" s="1" t="str">
        <f>_xlfn.XLOOKUP(A549,'Product Detail'!$A:$A,'Product Detail'!$AH:$AH,"N/A")</f>
        <v>N/A</v>
      </c>
      <c r="O549" s="1">
        <f t="shared" si="33"/>
        <v>13.2525</v>
      </c>
      <c r="P549" s="4">
        <f t="shared" si="34"/>
        <v>45352</v>
      </c>
      <c r="Q549" s="4">
        <f t="shared" si="35"/>
        <v>45413</v>
      </c>
    </row>
    <row r="550" spans="1:17" x14ac:dyDescent="0.25">
      <c r="A550">
        <v>39552</v>
      </c>
      <c r="B550" t="s">
        <v>66</v>
      </c>
      <c r="C550" t="str">
        <f>_xlfn.XLOOKUP(B550,Multipliers!A:A,Multipliers!C:C)</f>
        <v>John Powell</v>
      </c>
      <c r="D550" s="3">
        <v>45322</v>
      </c>
      <c r="E550" t="s">
        <v>1881</v>
      </c>
      <c r="F550" t="s">
        <v>1979</v>
      </c>
      <c r="G550" t="s">
        <v>1827</v>
      </c>
      <c r="H550">
        <v>0</v>
      </c>
      <c r="I550" s="1">
        <v>0</v>
      </c>
      <c r="J550" s="1">
        <v>0</v>
      </c>
      <c r="K550">
        <v>1</v>
      </c>
      <c r="L550">
        <f>IF(E550="4. Renewal - MRR",IF(I550&lt;=0,0,VLOOKUP(B550,Multipliers!A:L,MATCH(K550,Multipliers!$A$1:$L$1,0),FALSE)),VLOOKUP(B550,Multipliers!A:L,MATCH(K550,Multipliers!$A$1:$L$1,0),FALSE))</f>
        <v>0</v>
      </c>
      <c r="M550">
        <f t="shared" si="32"/>
        <v>0</v>
      </c>
      <c r="N550" s="1">
        <f>_xlfn.XLOOKUP(A550,'Product Detail'!$AG:$AG,'Product Detail'!$AH:$AH,"N/A")</f>
        <v>0</v>
      </c>
      <c r="O550" s="1">
        <f t="shared" si="33"/>
        <v>0</v>
      </c>
      <c r="P550" s="4">
        <f t="shared" si="34"/>
        <v>45352</v>
      </c>
      <c r="Q550" s="4">
        <f t="shared" si="35"/>
        <v>45413</v>
      </c>
    </row>
    <row r="551" spans="1:17" x14ac:dyDescent="0.25">
      <c r="A551">
        <v>39562</v>
      </c>
      <c r="B551" t="s">
        <v>56</v>
      </c>
      <c r="C551" t="str">
        <f>_xlfn.XLOOKUP(B551,Multipliers!A:A,Multipliers!C:C)</f>
        <v>John Powell</v>
      </c>
      <c r="D551" s="3">
        <v>45322</v>
      </c>
      <c r="E551" t="s">
        <v>1877</v>
      </c>
      <c r="F551" t="s">
        <v>1978</v>
      </c>
      <c r="G551" t="s">
        <v>1833</v>
      </c>
      <c r="H551">
        <v>0</v>
      </c>
      <c r="I551" s="1">
        <v>0</v>
      </c>
      <c r="J551" s="1">
        <v>0</v>
      </c>
      <c r="K551">
        <v>1</v>
      </c>
      <c r="L551">
        <f>IF(E551="4. Renewal - MRR",IF(I551&lt;=0,0,VLOOKUP(B551,Multipliers!A:L,MATCH(K551,Multipliers!$A$1:$L$1,0),FALSE)),VLOOKUP(B551,Multipliers!A:L,MATCH(K551,Multipliers!$A$1:$L$1,0),FALSE))</f>
        <v>0</v>
      </c>
      <c r="M551">
        <f t="shared" si="32"/>
        <v>0</v>
      </c>
      <c r="N551" s="1">
        <f>_xlfn.XLOOKUP(A551,'Product Detail'!$AG:$AG,'Product Detail'!$AH:$AH,"N/A")</f>
        <v>13.056000000000003</v>
      </c>
      <c r="O551" s="1">
        <f t="shared" si="33"/>
        <v>0</v>
      </c>
      <c r="P551" s="4">
        <f t="shared" si="34"/>
        <v>45352</v>
      </c>
      <c r="Q551" s="4">
        <f t="shared" si="35"/>
        <v>45413</v>
      </c>
    </row>
    <row r="552" spans="1:17" x14ac:dyDescent="0.25">
      <c r="A552">
        <v>39089</v>
      </c>
      <c r="B552" t="s">
        <v>1874</v>
      </c>
      <c r="C552" t="str">
        <f>_xlfn.XLOOKUP(B552,Multipliers!A:A,Multipliers!C:C)</f>
        <v>Jeffrey Weight</v>
      </c>
      <c r="D552" s="3">
        <v>45314</v>
      </c>
      <c r="E552" t="s">
        <v>1877</v>
      </c>
      <c r="F552" t="s">
        <v>1972</v>
      </c>
      <c r="G552" t="s">
        <v>1413</v>
      </c>
      <c r="H552">
        <v>0</v>
      </c>
      <c r="I552" s="1">
        <v>0</v>
      </c>
      <c r="J552" s="1">
        <v>0</v>
      </c>
      <c r="K552">
        <v>1</v>
      </c>
      <c r="L552">
        <f>IF(E552="4. Renewal - MRR",IF(I552&lt;=0,0,VLOOKUP(B552,Multipliers!A:L,MATCH(K552,Multipliers!$A$1:$L$1,0),FALSE)),VLOOKUP(B552,Multipliers!A:L,MATCH(K552,Multipliers!$A$1:$L$1,0),FALSE))</f>
        <v>0</v>
      </c>
      <c r="M552">
        <f t="shared" si="32"/>
        <v>0</v>
      </c>
      <c r="N552" s="1">
        <f>_xlfn.XLOOKUP(A552,'Product Detail'!$AG:$AG,'Product Detail'!$AH:$AH,"N/A")</f>
        <v>85.959999999999965</v>
      </c>
      <c r="O552" s="1">
        <f t="shared" si="33"/>
        <v>0</v>
      </c>
      <c r="P552" s="4">
        <f t="shared" si="34"/>
        <v>45352</v>
      </c>
      <c r="Q552" s="4">
        <f t="shared" si="35"/>
        <v>45413</v>
      </c>
    </row>
    <row r="553" spans="1:17" x14ac:dyDescent="0.25">
      <c r="A553">
        <v>39037</v>
      </c>
      <c r="B553" t="s">
        <v>140</v>
      </c>
      <c r="C553" t="str">
        <f>_xlfn.XLOOKUP(B553,Multipliers!A:A,Multipliers!C:C)</f>
        <v>Jeffrey Weight</v>
      </c>
      <c r="D553" s="3">
        <v>45310</v>
      </c>
      <c r="E553" t="s">
        <v>1877</v>
      </c>
      <c r="F553" t="s">
        <v>2181</v>
      </c>
      <c r="G553" t="s">
        <v>1348</v>
      </c>
      <c r="H553">
        <v>0</v>
      </c>
      <c r="I553" s="1">
        <v>0</v>
      </c>
      <c r="J553" s="1">
        <v>0</v>
      </c>
      <c r="K553">
        <v>12</v>
      </c>
      <c r="L553">
        <f>IF(E553="4. Renewal - MRR",IF(I553&lt;=0,0,VLOOKUP(B553,Multipliers!A:L,MATCH(K553,Multipliers!$A$1:$L$1,0),FALSE)),VLOOKUP(B553,Multipliers!A:L,MATCH(K553,Multipliers!$A$1:$L$1,0),FALSE))</f>
        <v>0.15</v>
      </c>
      <c r="M553">
        <f t="shared" si="32"/>
        <v>0</v>
      </c>
      <c r="N553" s="1">
        <f>_xlfn.XLOOKUP(A553,'Product Detail'!$AG:$AG,'Product Detail'!$AH:$AH,"N/A")</f>
        <v>359.04</v>
      </c>
      <c r="O553" s="1">
        <f t="shared" si="33"/>
        <v>0</v>
      </c>
      <c r="P553" s="4">
        <f t="shared" si="34"/>
        <v>45352</v>
      </c>
      <c r="Q553" s="4">
        <f t="shared" si="35"/>
        <v>45413</v>
      </c>
    </row>
    <row r="554" spans="1:17" x14ac:dyDescent="0.25">
      <c r="A554">
        <v>39035</v>
      </c>
      <c r="B554" t="s">
        <v>132</v>
      </c>
      <c r="C554" t="str">
        <f>_xlfn.XLOOKUP(B554,Multipliers!A:A,Multipliers!C:C)</f>
        <v>Jeffrey Weight</v>
      </c>
      <c r="D554" s="3">
        <v>45314</v>
      </c>
      <c r="E554" t="s">
        <v>1877</v>
      </c>
      <c r="F554" t="s">
        <v>2182</v>
      </c>
      <c r="G554" t="s">
        <v>1345</v>
      </c>
      <c r="H554">
        <v>0</v>
      </c>
      <c r="I554" s="1">
        <v>0</v>
      </c>
      <c r="J554" s="1">
        <v>0</v>
      </c>
      <c r="K554">
        <v>1</v>
      </c>
      <c r="L554">
        <f>IF(E554="4. Renewal - MRR",IF(I554&lt;=0,0,VLOOKUP(B554,Multipliers!A:L,MATCH(K554,Multipliers!$A$1:$L$1,0),FALSE)),VLOOKUP(B554,Multipliers!A:L,MATCH(K554,Multipliers!$A$1:$L$1,0),FALSE))</f>
        <v>0</v>
      </c>
      <c r="M554">
        <f t="shared" si="32"/>
        <v>0</v>
      </c>
      <c r="N554" s="1">
        <f>_xlfn.XLOOKUP(A554,'Product Detail'!$AG:$AG,'Product Detail'!$AH:$AH,"N/A")</f>
        <v>19.025600000000015</v>
      </c>
      <c r="O554" s="1">
        <f t="shared" si="33"/>
        <v>0</v>
      </c>
      <c r="P554" s="4">
        <f t="shared" si="34"/>
        <v>45352</v>
      </c>
      <c r="Q554" s="4">
        <f t="shared" si="35"/>
        <v>45413</v>
      </c>
    </row>
    <row r="555" spans="1:17" x14ac:dyDescent="0.25">
      <c r="A555">
        <v>39007</v>
      </c>
      <c r="B555" t="s">
        <v>188</v>
      </c>
      <c r="C555">
        <f>_xlfn.XLOOKUP(B555,Multipliers!A:A,Multipliers!C:C)</f>
        <v>0</v>
      </c>
      <c r="D555" s="3">
        <v>45307</v>
      </c>
      <c r="E555" t="s">
        <v>1881</v>
      </c>
      <c r="F555" t="s">
        <v>2183</v>
      </c>
      <c r="G555" t="s">
        <v>1315</v>
      </c>
      <c r="H555">
        <v>0</v>
      </c>
      <c r="I555" s="1">
        <v>0</v>
      </c>
      <c r="J555" s="1">
        <v>0</v>
      </c>
      <c r="K555">
        <v>1</v>
      </c>
      <c r="L555">
        <f>IF(E555="4. Renewal - MRR",IF(I555&lt;=0,0,VLOOKUP(B555,Multipliers!A:L,MATCH(K555,Multipliers!$A$1:$L$1,0),FALSE)),VLOOKUP(B555,Multipliers!A:L,MATCH(K555,Multipliers!$A$1:$L$1,0),FALSE))</f>
        <v>0</v>
      </c>
      <c r="M555">
        <f t="shared" si="32"/>
        <v>0</v>
      </c>
      <c r="N555" s="1">
        <f>_xlfn.XLOOKUP(A555,'Product Detail'!$AG:$AG,'Product Detail'!$AH:$AH,"N/A")</f>
        <v>0</v>
      </c>
      <c r="O555" s="1">
        <f t="shared" si="33"/>
        <v>0</v>
      </c>
      <c r="P555" s="4">
        <f t="shared" si="34"/>
        <v>45352</v>
      </c>
      <c r="Q555" s="4">
        <f t="shared" si="35"/>
        <v>45413</v>
      </c>
    </row>
    <row r="556" spans="1:17" x14ac:dyDescent="0.25">
      <c r="A556">
        <v>38998</v>
      </c>
      <c r="B556" t="s">
        <v>1874</v>
      </c>
      <c r="C556" t="str">
        <f>_xlfn.XLOOKUP(B556,Multipliers!A:A,Multipliers!C:C)</f>
        <v>Jeffrey Weight</v>
      </c>
      <c r="D556" s="3">
        <v>45321</v>
      </c>
      <c r="E556" t="s">
        <v>1877</v>
      </c>
      <c r="F556" t="s">
        <v>2068</v>
      </c>
      <c r="G556" t="s">
        <v>1291</v>
      </c>
      <c r="H556">
        <v>0</v>
      </c>
      <c r="I556" s="1">
        <v>0</v>
      </c>
      <c r="J556" s="1">
        <v>0</v>
      </c>
      <c r="K556">
        <v>1</v>
      </c>
      <c r="L556">
        <f>IF(E556="4. Renewal - MRR",IF(I556&lt;=0,0,VLOOKUP(B556,Multipliers!A:L,MATCH(K556,Multipliers!$A$1:$L$1,0),FALSE)),VLOOKUP(B556,Multipliers!A:L,MATCH(K556,Multipliers!$A$1:$L$1,0),FALSE))</f>
        <v>0</v>
      </c>
      <c r="M556">
        <f t="shared" si="32"/>
        <v>0</v>
      </c>
      <c r="N556" s="1">
        <f>_xlfn.XLOOKUP(A556,'Product Detail'!$AG:$AG,'Product Detail'!$AH:$AH,"N/A")</f>
        <v>27.451999999999991</v>
      </c>
      <c r="O556" s="1">
        <f t="shared" si="33"/>
        <v>0</v>
      </c>
      <c r="P556" s="4">
        <f t="shared" si="34"/>
        <v>45352</v>
      </c>
      <c r="Q556" s="4">
        <f t="shared" si="35"/>
        <v>45413</v>
      </c>
    </row>
    <row r="557" spans="1:17" x14ac:dyDescent="0.25">
      <c r="A557">
        <v>39576</v>
      </c>
      <c r="B557" t="s">
        <v>47</v>
      </c>
      <c r="C557" t="str">
        <f>_xlfn.XLOOKUP(B557,Multipliers!A:A,Multipliers!C:C)</f>
        <v>John Powell</v>
      </c>
      <c r="D557" s="3">
        <v>45322</v>
      </c>
      <c r="E557" t="s">
        <v>1877</v>
      </c>
      <c r="F557" t="s">
        <v>1977</v>
      </c>
      <c r="G557" t="s">
        <v>1834</v>
      </c>
      <c r="H557">
        <v>0</v>
      </c>
      <c r="I557" s="1">
        <v>0</v>
      </c>
      <c r="J557" s="1">
        <v>0</v>
      </c>
      <c r="K557">
        <v>1</v>
      </c>
      <c r="L557">
        <f>IF(E557="4. Renewal - MRR",IF(I557&lt;=0,0,VLOOKUP(B557,Multipliers!A:L,MATCH(K557,Multipliers!$A$1:$L$1,0),FALSE)),VLOOKUP(B557,Multipliers!A:L,MATCH(K557,Multipliers!$A$1:$L$1,0),FALSE))</f>
        <v>0</v>
      </c>
      <c r="M557">
        <f t="shared" si="32"/>
        <v>0</v>
      </c>
      <c r="N557" s="1">
        <f>_xlfn.XLOOKUP(A557,'Product Detail'!$AG:$AG,'Product Detail'!$AH:$AH,"N/A")</f>
        <v>47.032199999999982</v>
      </c>
      <c r="O557" s="1">
        <f t="shared" si="33"/>
        <v>0</v>
      </c>
      <c r="P557" s="4">
        <f t="shared" si="34"/>
        <v>45352</v>
      </c>
      <c r="Q557" s="4">
        <f t="shared" si="35"/>
        <v>45413</v>
      </c>
    </row>
    <row r="558" spans="1:17" x14ac:dyDescent="0.25">
      <c r="A558">
        <v>39665</v>
      </c>
      <c r="B558" t="s">
        <v>70</v>
      </c>
      <c r="C558" t="str">
        <f>_xlfn.XLOOKUP(B558,Multipliers!A:A,Multipliers!C:C)</f>
        <v>John Powell</v>
      </c>
      <c r="D558" s="3">
        <v>45321</v>
      </c>
      <c r="E558" t="s">
        <v>1877</v>
      </c>
      <c r="F558" t="s">
        <v>1976</v>
      </c>
      <c r="G558" t="s">
        <v>1837</v>
      </c>
      <c r="H558">
        <v>0</v>
      </c>
      <c r="I558" s="1">
        <v>0</v>
      </c>
      <c r="J558" s="1">
        <v>0</v>
      </c>
      <c r="K558">
        <v>0</v>
      </c>
      <c r="L558">
        <f>IF(E558="4. Renewal - MRR",IF(I558&lt;=0,0,VLOOKUP(B558,Multipliers!A:L,MATCH(K558,Multipliers!$A$1:$L$1,0),FALSE)),VLOOKUP(B558,Multipliers!A:L,MATCH(K558,Multipliers!$A$1:$L$1,0),FALSE))</f>
        <v>0</v>
      </c>
      <c r="M558">
        <f t="shared" si="32"/>
        <v>0</v>
      </c>
      <c r="N558" s="1">
        <f>_xlfn.XLOOKUP(A558,'Product Detail'!$AG:$AG,'Product Detail'!$AH:$AH,"N/A")</f>
        <v>0</v>
      </c>
      <c r="O558" s="1">
        <f t="shared" si="33"/>
        <v>0</v>
      </c>
      <c r="P558" s="4">
        <f t="shared" si="34"/>
        <v>45352</v>
      </c>
      <c r="Q558" s="4">
        <f t="shared" si="35"/>
        <v>45413</v>
      </c>
    </row>
    <row r="559" spans="1:17" x14ac:dyDescent="0.25">
      <c r="A559">
        <v>39695</v>
      </c>
      <c r="B559" t="s">
        <v>70</v>
      </c>
      <c r="C559" t="str">
        <f>_xlfn.XLOOKUP(B559,Multipliers!A:A,Multipliers!C:C)</f>
        <v>John Powell</v>
      </c>
      <c r="D559" s="3">
        <v>45322</v>
      </c>
      <c r="E559" t="s">
        <v>1881</v>
      </c>
      <c r="F559" t="s">
        <v>1975</v>
      </c>
      <c r="G559" t="s">
        <v>1840</v>
      </c>
      <c r="H559">
        <v>0</v>
      </c>
      <c r="I559" s="1">
        <v>0</v>
      </c>
      <c r="J559" s="1">
        <v>0</v>
      </c>
      <c r="K559">
        <v>1</v>
      </c>
      <c r="L559">
        <f>IF(E559="4. Renewal - MRR",IF(I559&lt;=0,0,VLOOKUP(B559,Multipliers!A:L,MATCH(K559,Multipliers!$A$1:$L$1,0),FALSE)),VLOOKUP(B559,Multipliers!A:L,MATCH(K559,Multipliers!$A$1:$L$1,0),FALSE))</f>
        <v>0</v>
      </c>
      <c r="M559">
        <f t="shared" si="32"/>
        <v>0</v>
      </c>
      <c r="N559" s="1">
        <f>_xlfn.XLOOKUP(A559,'Product Detail'!$AG:$AG,'Product Detail'!$AH:$AH,"N/A")</f>
        <v>0</v>
      </c>
      <c r="O559" s="1">
        <f t="shared" si="33"/>
        <v>0</v>
      </c>
      <c r="P559" s="4">
        <f t="shared" si="34"/>
        <v>45352</v>
      </c>
      <c r="Q559" s="4">
        <f t="shared" si="35"/>
        <v>45413</v>
      </c>
    </row>
    <row r="560" spans="1:17" x14ac:dyDescent="0.25">
      <c r="A560" s="2">
        <v>38722</v>
      </c>
      <c r="B560" t="s">
        <v>1874</v>
      </c>
      <c r="C560" t="str">
        <f>_xlfn.XLOOKUP(B560,Multipliers!A:A,Multipliers!C:C)</f>
        <v>Jeffrey Weight</v>
      </c>
      <c r="D560" s="3">
        <v>45314</v>
      </c>
      <c r="E560" t="s">
        <v>1877</v>
      </c>
      <c r="F560" t="s">
        <v>2035</v>
      </c>
      <c r="G560" t="s">
        <v>1013</v>
      </c>
      <c r="H560">
        <v>0</v>
      </c>
      <c r="I560" s="1">
        <v>202</v>
      </c>
      <c r="J560" s="1">
        <v>0</v>
      </c>
      <c r="K560">
        <v>36</v>
      </c>
      <c r="L560">
        <f>IF(E560="4. Renewal - MRR",IF(I560&lt;=0,0,VLOOKUP(B560,Multipliers!A:L,MATCH(K560,Multipliers!$A$1:$L$1,0),FALSE)),VLOOKUP(B560,Multipliers!A:L,MATCH(K560,Multipliers!$A$1:$L$1,0),FALSE))</f>
        <v>0.5</v>
      </c>
      <c r="M560">
        <f t="shared" si="32"/>
        <v>0</v>
      </c>
      <c r="N560" s="1">
        <f>_xlfn.XLOOKUP(A560,'Product Detail'!$AG:$AG,'Product Detail'!$AH:$AH,"N/A")</f>
        <v>244.8</v>
      </c>
      <c r="O560" s="1">
        <f t="shared" si="33"/>
        <v>101</v>
      </c>
      <c r="P560" s="4">
        <f t="shared" si="34"/>
        <v>45352</v>
      </c>
      <c r="Q560" s="4">
        <f t="shared" si="35"/>
        <v>45413</v>
      </c>
    </row>
    <row r="561" spans="1:17" x14ac:dyDescent="0.25">
      <c r="A561" s="35" t="s">
        <v>2270</v>
      </c>
      <c r="B561" t="s">
        <v>2385</v>
      </c>
      <c r="C561" t="str">
        <f>_xlfn.XLOOKUP(B561,Multipliers!A:A,Multipliers!C:C)</f>
        <v>John Powell</v>
      </c>
      <c r="D561" s="3">
        <v>45293</v>
      </c>
      <c r="E561" t="s">
        <v>2391</v>
      </c>
      <c r="F561" t="s">
        <v>1970</v>
      </c>
      <c r="G561" t="s">
        <v>2328</v>
      </c>
      <c r="H561">
        <v>0</v>
      </c>
      <c r="I561" s="1">
        <v>0</v>
      </c>
      <c r="J561" s="1">
        <v>0</v>
      </c>
      <c r="K561">
        <v>0</v>
      </c>
      <c r="L561">
        <f>IF(E561="4. Renewal - MRR",IF(I561&lt;=0,0,VLOOKUP(B561,Multipliers!A:L,MATCH(K561,Multipliers!$A$1:$L$1,0),FALSE)),VLOOKUP(B561,Multipliers!A:L,MATCH(K561,Multipliers!$A$1:$L$1,0),FALSE))</f>
        <v>0</v>
      </c>
      <c r="M561">
        <f t="shared" si="32"/>
        <v>0</v>
      </c>
      <c r="N561" s="1">
        <f>_xlfn.XLOOKUP(A561,'Product Detail'!$AG:$AG,'Product Detail'!$AH:$AH,"N/A")</f>
        <v>391.5992500000001</v>
      </c>
      <c r="O561" s="1">
        <f t="shared" si="33"/>
        <v>0</v>
      </c>
      <c r="P561" s="4">
        <f t="shared" si="34"/>
        <v>45352</v>
      </c>
      <c r="Q561" s="4">
        <f t="shared" si="35"/>
        <v>45413</v>
      </c>
    </row>
    <row r="562" spans="1:17" x14ac:dyDescent="0.25">
      <c r="A562" s="35" t="s">
        <v>2271</v>
      </c>
      <c r="B562" t="s">
        <v>2385</v>
      </c>
      <c r="C562" t="str">
        <f>_xlfn.XLOOKUP(B562,Multipliers!A:A,Multipliers!C:C)</f>
        <v>John Powell</v>
      </c>
      <c r="D562" s="3">
        <v>45295</v>
      </c>
      <c r="E562" t="s">
        <v>2391</v>
      </c>
      <c r="F562" t="s">
        <v>2392</v>
      </c>
      <c r="G562" t="s">
        <v>2329</v>
      </c>
      <c r="H562">
        <v>0</v>
      </c>
      <c r="I562" s="1">
        <v>0</v>
      </c>
      <c r="J562" s="1">
        <v>0</v>
      </c>
      <c r="K562">
        <v>0</v>
      </c>
      <c r="L562">
        <f>IF(E562="4. Renewal - MRR",IF(I562&lt;=0,0,VLOOKUP(B562,Multipliers!A:L,MATCH(K562,Multipliers!$A$1:$L$1,0),FALSE)),VLOOKUP(B562,Multipliers!A:L,MATCH(K562,Multipliers!$A$1:$L$1,0),FALSE))</f>
        <v>0</v>
      </c>
      <c r="M562">
        <f t="shared" si="32"/>
        <v>0</v>
      </c>
      <c r="N562" s="1">
        <f>_xlfn.XLOOKUP(A562,'Product Detail'!$AG:$AG,'Product Detail'!$AH:$AH,"N/A")</f>
        <v>2.8347499999999997</v>
      </c>
      <c r="O562" s="1">
        <f t="shared" si="33"/>
        <v>0</v>
      </c>
      <c r="P562" s="4">
        <f t="shared" si="34"/>
        <v>45352</v>
      </c>
      <c r="Q562" s="4">
        <f t="shared" si="35"/>
        <v>45413</v>
      </c>
    </row>
    <row r="563" spans="1:17" x14ac:dyDescent="0.25">
      <c r="A563" s="35" t="s">
        <v>2272</v>
      </c>
      <c r="B563" t="s">
        <v>2386</v>
      </c>
      <c r="C563" t="str">
        <f>_xlfn.XLOOKUP(B563,Multipliers!A:A,Multipliers!C:C)</f>
        <v>Simon Beeny</v>
      </c>
      <c r="D563" s="3">
        <v>45296</v>
      </c>
      <c r="E563" t="s">
        <v>2393</v>
      </c>
      <c r="F563" t="s">
        <v>2394</v>
      </c>
      <c r="G563" t="s">
        <v>2330</v>
      </c>
      <c r="H563">
        <v>0</v>
      </c>
      <c r="I563" s="1">
        <v>5680</v>
      </c>
      <c r="J563" s="1">
        <v>0</v>
      </c>
      <c r="K563">
        <v>24</v>
      </c>
      <c r="L563">
        <f>IF(E563="4. Renewal - MRR",IF(I563&lt;=0,0,VLOOKUP(B563,Multipliers!A:L,MATCH(K563,Multipliers!$A$1:$L$1,0),FALSE)),VLOOKUP(B563,Multipliers!A:L,MATCH(K563,Multipliers!$A$1:$L$1,0),FALSE))</f>
        <v>0.5</v>
      </c>
      <c r="M563">
        <f t="shared" si="32"/>
        <v>0</v>
      </c>
      <c r="N563" s="1">
        <f>_xlfn.XLOOKUP(A563,'Product Detail'!$AG:$AG,'Product Detail'!$AH:$AH,"N/A")</f>
        <v>80</v>
      </c>
      <c r="O563" s="1">
        <f t="shared" si="33"/>
        <v>2840</v>
      </c>
      <c r="P563" s="4">
        <f t="shared" si="34"/>
        <v>45352</v>
      </c>
      <c r="Q563" s="4">
        <f t="shared" si="35"/>
        <v>45413</v>
      </c>
    </row>
    <row r="564" spans="1:17" x14ac:dyDescent="0.25">
      <c r="A564" s="35" t="s">
        <v>2273</v>
      </c>
      <c r="B564" t="s">
        <v>2385</v>
      </c>
      <c r="C564" t="str">
        <f>_xlfn.XLOOKUP(B564,Multipliers!A:A,Multipliers!C:C)</f>
        <v>John Powell</v>
      </c>
      <c r="D564" s="3">
        <v>45296</v>
      </c>
      <c r="E564" t="s">
        <v>2391</v>
      </c>
      <c r="F564" t="s">
        <v>1969</v>
      </c>
      <c r="G564" t="s">
        <v>2331</v>
      </c>
      <c r="H564">
        <v>0</v>
      </c>
      <c r="I564" s="1">
        <v>0</v>
      </c>
      <c r="J564" s="1">
        <v>0</v>
      </c>
      <c r="K564">
        <v>0</v>
      </c>
      <c r="L564">
        <f>IF(E564="4. Renewal - MRR",IF(I564&lt;=0,0,VLOOKUP(B564,Multipliers!A:L,MATCH(K564,Multipliers!$A$1:$L$1,0),FALSE)),VLOOKUP(B564,Multipliers!A:L,MATCH(K564,Multipliers!$A$1:$L$1,0),FALSE))</f>
        <v>0</v>
      </c>
      <c r="M564">
        <f t="shared" si="32"/>
        <v>0</v>
      </c>
      <c r="N564" s="1">
        <f>_xlfn.XLOOKUP(A564,'Product Detail'!$AG:$AG,'Product Detail'!$AH:$AH,"N/A")</f>
        <v>20.19854999999999</v>
      </c>
      <c r="O564" s="1">
        <f t="shared" si="33"/>
        <v>0</v>
      </c>
      <c r="P564" s="4">
        <f t="shared" si="34"/>
        <v>45352</v>
      </c>
      <c r="Q564" s="4">
        <f t="shared" si="35"/>
        <v>45413</v>
      </c>
    </row>
    <row r="565" spans="1:17" x14ac:dyDescent="0.25">
      <c r="A565" s="35" t="s">
        <v>2274</v>
      </c>
      <c r="B565" t="s">
        <v>2385</v>
      </c>
      <c r="C565" t="str">
        <f>_xlfn.XLOOKUP(B565,Multipliers!A:A,Multipliers!C:C)</f>
        <v>John Powell</v>
      </c>
      <c r="D565" s="3">
        <v>45296</v>
      </c>
      <c r="E565" t="s">
        <v>2391</v>
      </c>
      <c r="F565" t="s">
        <v>2395</v>
      </c>
      <c r="G565" t="s">
        <v>2332</v>
      </c>
      <c r="H565">
        <v>0</v>
      </c>
      <c r="I565" s="1">
        <v>0</v>
      </c>
      <c r="J565" s="1">
        <v>0</v>
      </c>
      <c r="K565">
        <v>0</v>
      </c>
      <c r="L565">
        <f>IF(E565="4. Renewal - MRR",IF(I565&lt;=0,0,VLOOKUP(B565,Multipliers!A:L,MATCH(K565,Multipliers!$A$1:$L$1,0),FALSE)),VLOOKUP(B565,Multipliers!A:L,MATCH(K565,Multipliers!$A$1:$L$1,0),FALSE))</f>
        <v>0</v>
      </c>
      <c r="M565">
        <f t="shared" si="32"/>
        <v>0</v>
      </c>
      <c r="N565" s="1">
        <f>_xlfn.XLOOKUP(A565,'Product Detail'!$AG:$AG,'Product Detail'!$AH:$AH,"N/A")</f>
        <v>11.433350000000001</v>
      </c>
      <c r="O565" s="1">
        <f t="shared" si="33"/>
        <v>0</v>
      </c>
      <c r="P565" s="4">
        <f t="shared" si="34"/>
        <v>45352</v>
      </c>
      <c r="Q565" s="4">
        <f t="shared" si="35"/>
        <v>45413</v>
      </c>
    </row>
    <row r="566" spans="1:17" x14ac:dyDescent="0.25">
      <c r="A566" s="35" t="s">
        <v>2275</v>
      </c>
      <c r="B566" t="s">
        <v>2385</v>
      </c>
      <c r="C566" t="str">
        <f>_xlfn.XLOOKUP(B566,Multipliers!A:A,Multipliers!C:C)</f>
        <v>John Powell</v>
      </c>
      <c r="D566" s="3">
        <v>45299</v>
      </c>
      <c r="E566" t="s">
        <v>2391</v>
      </c>
      <c r="F566" t="s">
        <v>2396</v>
      </c>
      <c r="G566" t="s">
        <v>2333</v>
      </c>
      <c r="H566">
        <v>0</v>
      </c>
      <c r="I566" s="1">
        <v>0</v>
      </c>
      <c r="J566" s="1">
        <v>0</v>
      </c>
      <c r="K566">
        <v>0</v>
      </c>
      <c r="L566">
        <f>IF(E566="4. Renewal - MRR",IF(I566&lt;=0,0,VLOOKUP(B566,Multipliers!A:L,MATCH(K566,Multipliers!$A$1:$L$1,0),FALSE)),VLOOKUP(B566,Multipliers!A:L,MATCH(K566,Multipliers!$A$1:$L$1,0),FALSE))</f>
        <v>0</v>
      </c>
      <c r="M566">
        <f t="shared" si="32"/>
        <v>0</v>
      </c>
      <c r="N566" s="1">
        <f>_xlfn.XLOOKUP(A566,'Product Detail'!$AG:$AG,'Product Detail'!$AH:$AH,"N/A")</f>
        <v>20.874300000000016</v>
      </c>
      <c r="O566" s="1">
        <f t="shared" si="33"/>
        <v>0</v>
      </c>
      <c r="P566" s="4">
        <f t="shared" si="34"/>
        <v>45352</v>
      </c>
      <c r="Q566" s="4">
        <f t="shared" si="35"/>
        <v>45413</v>
      </c>
    </row>
    <row r="567" spans="1:17" x14ac:dyDescent="0.25">
      <c r="A567" s="35" t="s">
        <v>2276</v>
      </c>
      <c r="B567" t="s">
        <v>2385</v>
      </c>
      <c r="C567" t="str">
        <f>_xlfn.XLOOKUP(B567,Multipliers!A:A,Multipliers!C:C)</f>
        <v>John Powell</v>
      </c>
      <c r="D567" s="3">
        <v>45299</v>
      </c>
      <c r="E567" t="s">
        <v>2391</v>
      </c>
      <c r="F567" t="s">
        <v>2397</v>
      </c>
      <c r="G567" t="s">
        <v>2334</v>
      </c>
      <c r="H567">
        <v>0</v>
      </c>
      <c r="I567" s="1">
        <v>0</v>
      </c>
      <c r="J567" s="1">
        <v>0</v>
      </c>
      <c r="K567">
        <v>0</v>
      </c>
      <c r="L567">
        <f>IF(E567="4. Renewal - MRR",IF(I567&lt;=0,0,VLOOKUP(B567,Multipliers!A:L,MATCH(K567,Multipliers!$A$1:$L$1,0),FALSE)),VLOOKUP(B567,Multipliers!A:L,MATCH(K567,Multipliers!$A$1:$L$1,0),FALSE))</f>
        <v>0</v>
      </c>
      <c r="M567">
        <f t="shared" si="32"/>
        <v>0</v>
      </c>
      <c r="N567" s="1">
        <f>_xlfn.XLOOKUP(A567,'Product Detail'!$AG:$AG,'Product Detail'!$AH:$AH,"N/A")</f>
        <v>62.622900000000023</v>
      </c>
      <c r="O567" s="1">
        <f t="shared" si="33"/>
        <v>0</v>
      </c>
      <c r="P567" s="4">
        <f t="shared" si="34"/>
        <v>45352</v>
      </c>
      <c r="Q567" s="4">
        <f t="shared" si="35"/>
        <v>45413</v>
      </c>
    </row>
    <row r="568" spans="1:17" x14ac:dyDescent="0.25">
      <c r="A568" s="35" t="s">
        <v>2277</v>
      </c>
      <c r="B568" t="s">
        <v>2385</v>
      </c>
      <c r="C568" t="str">
        <f>_xlfn.XLOOKUP(B568,Multipliers!A:A,Multipliers!C:C)</f>
        <v>John Powell</v>
      </c>
      <c r="D568" s="3">
        <v>45301</v>
      </c>
      <c r="E568" t="s">
        <v>2391</v>
      </c>
      <c r="F568" t="s">
        <v>2392</v>
      </c>
      <c r="G568" t="s">
        <v>2329</v>
      </c>
      <c r="H568">
        <v>0</v>
      </c>
      <c r="I568" s="1">
        <v>0</v>
      </c>
      <c r="J568" s="1">
        <v>0</v>
      </c>
      <c r="K568">
        <v>0</v>
      </c>
      <c r="L568">
        <f>IF(E568="4. Renewal - MRR",IF(I568&lt;=0,0,VLOOKUP(B568,Multipliers!A:L,MATCH(K568,Multipliers!$A$1:$L$1,0),FALSE)),VLOOKUP(B568,Multipliers!A:L,MATCH(K568,Multipliers!$A$1:$L$1,0),FALSE))</f>
        <v>0</v>
      </c>
      <c r="M568">
        <f t="shared" si="32"/>
        <v>0</v>
      </c>
      <c r="N568" s="1">
        <f>_xlfn.XLOOKUP(A568,'Product Detail'!$AG:$AG,'Product Detail'!$AH:$AH,"N/A")</f>
        <v>2.8347499999999997</v>
      </c>
      <c r="O568" s="1">
        <f t="shared" si="33"/>
        <v>0</v>
      </c>
      <c r="P568" s="4">
        <f t="shared" si="34"/>
        <v>45352</v>
      </c>
      <c r="Q568" s="4">
        <f t="shared" si="35"/>
        <v>45413</v>
      </c>
    </row>
    <row r="569" spans="1:17" x14ac:dyDescent="0.25">
      <c r="A569" s="35" t="s">
        <v>2278</v>
      </c>
      <c r="B569" t="s">
        <v>2385</v>
      </c>
      <c r="C569" t="str">
        <f>_xlfn.XLOOKUP(B569,Multipliers!A:A,Multipliers!C:C)</f>
        <v>John Powell</v>
      </c>
      <c r="D569" s="3">
        <v>45301</v>
      </c>
      <c r="E569" t="s">
        <v>2391</v>
      </c>
      <c r="F569" t="s">
        <v>1969</v>
      </c>
      <c r="G569" t="s">
        <v>2335</v>
      </c>
      <c r="H569">
        <v>0</v>
      </c>
      <c r="I569" s="1">
        <v>0</v>
      </c>
      <c r="J569" s="1">
        <v>0</v>
      </c>
      <c r="K569">
        <v>0</v>
      </c>
      <c r="L569">
        <f>IF(E569="4. Renewal - MRR",IF(I569&lt;=0,0,VLOOKUP(B569,Multipliers!A:L,MATCH(K569,Multipliers!$A$1:$L$1,0),FALSE)),VLOOKUP(B569,Multipliers!A:L,MATCH(K569,Multipliers!$A$1:$L$1,0),FALSE))</f>
        <v>0</v>
      </c>
      <c r="M569">
        <f t="shared" si="32"/>
        <v>0</v>
      </c>
      <c r="N569" s="1">
        <f>_xlfn.XLOOKUP(A569,'Product Detail'!$AG:$AG,'Product Detail'!$AH:$AH,"N/A")</f>
        <v>0.64855000000000029</v>
      </c>
      <c r="O569" s="1">
        <f t="shared" si="33"/>
        <v>0</v>
      </c>
      <c r="P569" s="4">
        <f t="shared" si="34"/>
        <v>45352</v>
      </c>
      <c r="Q569" s="4">
        <f t="shared" si="35"/>
        <v>45413</v>
      </c>
    </row>
    <row r="570" spans="1:17" x14ac:dyDescent="0.25">
      <c r="A570" s="35" t="s">
        <v>2279</v>
      </c>
      <c r="B570" t="s">
        <v>2385</v>
      </c>
      <c r="C570" t="str">
        <f>_xlfn.XLOOKUP(B570,Multipliers!A:A,Multipliers!C:C)</f>
        <v>John Powell</v>
      </c>
      <c r="D570" s="3">
        <v>45301</v>
      </c>
      <c r="E570" t="s">
        <v>2391</v>
      </c>
      <c r="F570" t="s">
        <v>2398</v>
      </c>
      <c r="G570" t="s">
        <v>2336</v>
      </c>
      <c r="H570">
        <v>0</v>
      </c>
      <c r="I570" s="1">
        <v>0</v>
      </c>
      <c r="J570" s="1">
        <v>0</v>
      </c>
      <c r="K570">
        <v>0</v>
      </c>
      <c r="L570">
        <f>IF(E570="4. Renewal - MRR",IF(I570&lt;=0,0,VLOOKUP(B570,Multipliers!A:L,MATCH(K570,Multipliers!$A$1:$L$1,0),FALSE)),VLOOKUP(B570,Multipliers!A:L,MATCH(K570,Multipliers!$A$1:$L$1,0),FALSE))</f>
        <v>0</v>
      </c>
      <c r="M570">
        <f t="shared" si="32"/>
        <v>0</v>
      </c>
      <c r="N570" s="1">
        <f>_xlfn.XLOOKUP(A570,'Product Detail'!$AG:$AG,'Product Detail'!$AH:$AH,"N/A")</f>
        <v>2.8168999999999991</v>
      </c>
      <c r="O570" s="1">
        <f t="shared" si="33"/>
        <v>0</v>
      </c>
      <c r="P570" s="4">
        <f t="shared" si="34"/>
        <v>45352</v>
      </c>
      <c r="Q570" s="4">
        <f t="shared" si="35"/>
        <v>45413</v>
      </c>
    </row>
    <row r="571" spans="1:17" x14ac:dyDescent="0.25">
      <c r="A571" s="35" t="s">
        <v>2280</v>
      </c>
      <c r="B571" t="s">
        <v>2385</v>
      </c>
      <c r="C571" t="str">
        <f>_xlfn.XLOOKUP(B571,Multipliers!A:A,Multipliers!C:C)</f>
        <v>John Powell</v>
      </c>
      <c r="D571" s="3">
        <v>45302</v>
      </c>
      <c r="E571" t="s">
        <v>2391</v>
      </c>
      <c r="F571" t="s">
        <v>1969</v>
      </c>
      <c r="G571" t="s">
        <v>2337</v>
      </c>
      <c r="H571">
        <v>0</v>
      </c>
      <c r="I571" s="1">
        <v>0</v>
      </c>
      <c r="J571" s="1">
        <v>0</v>
      </c>
      <c r="K571">
        <v>0</v>
      </c>
      <c r="L571">
        <f>IF(E571="4. Renewal - MRR",IF(I571&lt;=0,0,VLOOKUP(B571,Multipliers!A:L,MATCH(K571,Multipliers!$A$1:$L$1,0),FALSE)),VLOOKUP(B571,Multipliers!A:L,MATCH(K571,Multipliers!$A$1:$L$1,0),FALSE))</f>
        <v>0</v>
      </c>
      <c r="M571">
        <f t="shared" si="32"/>
        <v>0</v>
      </c>
      <c r="N571" s="1">
        <f>_xlfn.XLOOKUP(A571,'Product Detail'!$AG:$AG,'Product Detail'!$AH:$AH,"N/A")</f>
        <v>5.0158499999999995</v>
      </c>
      <c r="O571" s="1">
        <f t="shared" si="33"/>
        <v>0</v>
      </c>
      <c r="P571" s="4">
        <f t="shared" si="34"/>
        <v>45352</v>
      </c>
      <c r="Q571" s="4">
        <f t="shared" si="35"/>
        <v>45413</v>
      </c>
    </row>
    <row r="572" spans="1:17" x14ac:dyDescent="0.25">
      <c r="A572" s="35" t="s">
        <v>2281</v>
      </c>
      <c r="B572" t="s">
        <v>2385</v>
      </c>
      <c r="C572" t="str">
        <f>_xlfn.XLOOKUP(B572,Multipliers!A:A,Multipliers!C:C)</f>
        <v>John Powell</v>
      </c>
      <c r="D572" s="3">
        <v>45302</v>
      </c>
      <c r="E572" t="s">
        <v>2391</v>
      </c>
      <c r="F572" t="s">
        <v>2399</v>
      </c>
      <c r="G572" t="s">
        <v>2338</v>
      </c>
      <c r="H572">
        <v>0</v>
      </c>
      <c r="I572" s="1">
        <v>0</v>
      </c>
      <c r="J572" s="1">
        <v>0</v>
      </c>
      <c r="K572">
        <v>0</v>
      </c>
      <c r="L572">
        <f>IF(E572="4. Renewal - MRR",IF(I572&lt;=0,0,VLOOKUP(B572,Multipliers!A:L,MATCH(K572,Multipliers!$A$1:$L$1,0),FALSE)),VLOOKUP(B572,Multipliers!A:L,MATCH(K572,Multipliers!$A$1:$L$1,0),FALSE))</f>
        <v>0</v>
      </c>
      <c r="M572">
        <f t="shared" si="32"/>
        <v>0</v>
      </c>
      <c r="N572" s="1">
        <f>_xlfn.XLOOKUP(A572,'Product Detail'!$AG:$AG,'Product Detail'!$AH:$AH,"N/A")</f>
        <v>3.0583000000000018</v>
      </c>
      <c r="O572" s="1">
        <f t="shared" si="33"/>
        <v>0</v>
      </c>
      <c r="P572" s="4">
        <f t="shared" si="34"/>
        <v>45352</v>
      </c>
      <c r="Q572" s="4">
        <f t="shared" si="35"/>
        <v>45413</v>
      </c>
    </row>
    <row r="573" spans="1:17" x14ac:dyDescent="0.25">
      <c r="A573" s="35" t="s">
        <v>2282</v>
      </c>
      <c r="B573" t="s">
        <v>2385</v>
      </c>
      <c r="C573" t="str">
        <f>_xlfn.XLOOKUP(B573,Multipliers!A:A,Multipliers!C:C)</f>
        <v>John Powell</v>
      </c>
      <c r="D573" s="3">
        <v>45303</v>
      </c>
      <c r="E573" t="s">
        <v>2391</v>
      </c>
      <c r="F573" t="s">
        <v>2400</v>
      </c>
      <c r="G573" t="s">
        <v>2339</v>
      </c>
      <c r="H573">
        <v>0</v>
      </c>
      <c r="I573" s="1">
        <v>0</v>
      </c>
      <c r="J573" s="1">
        <v>0</v>
      </c>
      <c r="K573">
        <v>0</v>
      </c>
      <c r="L573">
        <f>IF(E573="4. Renewal - MRR",IF(I573&lt;=0,0,VLOOKUP(B573,Multipliers!A:L,MATCH(K573,Multipliers!$A$1:$L$1,0),FALSE)),VLOOKUP(B573,Multipliers!A:L,MATCH(K573,Multipliers!$A$1:$L$1,0),FALSE))</f>
        <v>0</v>
      </c>
      <c r="M573">
        <f t="shared" si="32"/>
        <v>0</v>
      </c>
      <c r="N573" s="1">
        <f>_xlfn.XLOOKUP(A573,'Product Detail'!$AG:$AG,'Product Detail'!$AH:$AH,"N/A")</f>
        <v>517.03545000000008</v>
      </c>
      <c r="O573" s="1">
        <f t="shared" si="33"/>
        <v>0</v>
      </c>
      <c r="P573" s="4">
        <f t="shared" si="34"/>
        <v>45352</v>
      </c>
      <c r="Q573" s="4">
        <f t="shared" si="35"/>
        <v>45413</v>
      </c>
    </row>
    <row r="574" spans="1:17" x14ac:dyDescent="0.25">
      <c r="A574" s="35" t="s">
        <v>2283</v>
      </c>
      <c r="B574" t="s">
        <v>156</v>
      </c>
      <c r="C574" t="str">
        <f>_xlfn.XLOOKUP(B574,Multipliers!A:A,Multipliers!C:C)</f>
        <v>Anthony Laiewski</v>
      </c>
      <c r="D574" s="3">
        <v>45303</v>
      </c>
      <c r="E574" t="s">
        <v>2391</v>
      </c>
      <c r="F574" t="s">
        <v>2401</v>
      </c>
      <c r="G574" t="s">
        <v>2340</v>
      </c>
      <c r="H574">
        <v>0</v>
      </c>
      <c r="I574" s="1">
        <v>1445</v>
      </c>
      <c r="J574" s="1">
        <v>0</v>
      </c>
      <c r="K574">
        <v>12</v>
      </c>
      <c r="L574">
        <f>IF(E574="4. Renewal - MRR",IF(I574&lt;=0,0,VLOOKUP(B574,Multipliers!A:L,MATCH(K574,Multipliers!$A$1:$L$1,0),FALSE)),VLOOKUP(B574,Multipliers!A:L,MATCH(K574,Multipliers!$A$1:$L$1,0),FALSE))</f>
        <v>0.15</v>
      </c>
      <c r="M574">
        <f t="shared" si="32"/>
        <v>0</v>
      </c>
      <c r="N574" s="1">
        <f>_xlfn.XLOOKUP(A574,'Product Detail'!$AG:$AG,'Product Detail'!$AH:$AH,"N/A")</f>
        <v>0</v>
      </c>
      <c r="O574" s="1">
        <f t="shared" si="33"/>
        <v>216.75</v>
      </c>
      <c r="P574" s="4">
        <f t="shared" si="34"/>
        <v>45352</v>
      </c>
      <c r="Q574" s="4">
        <f t="shared" si="35"/>
        <v>45413</v>
      </c>
    </row>
    <row r="575" spans="1:17" x14ac:dyDescent="0.25">
      <c r="A575" s="35" t="s">
        <v>2284</v>
      </c>
      <c r="B575" t="s">
        <v>2385</v>
      </c>
      <c r="C575" t="str">
        <f>_xlfn.XLOOKUP(B575,Multipliers!A:A,Multipliers!C:C)</f>
        <v>John Powell</v>
      </c>
      <c r="D575" s="3">
        <v>45303</v>
      </c>
      <c r="E575" t="s">
        <v>2391</v>
      </c>
      <c r="F575" t="s">
        <v>2402</v>
      </c>
      <c r="G575" t="s">
        <v>2341</v>
      </c>
      <c r="H575">
        <v>0</v>
      </c>
      <c r="I575" s="1">
        <v>0</v>
      </c>
      <c r="J575" s="1">
        <v>0</v>
      </c>
      <c r="K575">
        <v>0</v>
      </c>
      <c r="L575">
        <f>IF(E575="4. Renewal - MRR",IF(I575&lt;=0,0,VLOOKUP(B575,Multipliers!A:L,MATCH(K575,Multipliers!$A$1:$L$1,0),FALSE)),VLOOKUP(B575,Multipliers!A:L,MATCH(K575,Multipliers!$A$1:$L$1,0),FALSE))</f>
        <v>0</v>
      </c>
      <c r="M575">
        <f t="shared" si="32"/>
        <v>0</v>
      </c>
      <c r="N575" s="1">
        <f>_xlfn.XLOOKUP(A575,'Product Detail'!$AG:$AG,'Product Detail'!$AH:$AH,"N/A")</f>
        <v>22.290399999999984</v>
      </c>
      <c r="O575" s="1">
        <f t="shared" si="33"/>
        <v>0</v>
      </c>
      <c r="P575" s="4">
        <f t="shared" si="34"/>
        <v>45352</v>
      </c>
      <c r="Q575" s="4">
        <f t="shared" si="35"/>
        <v>45413</v>
      </c>
    </row>
    <row r="576" spans="1:17" x14ac:dyDescent="0.25">
      <c r="A576" s="35" t="s">
        <v>2285</v>
      </c>
      <c r="B576" t="s">
        <v>2385</v>
      </c>
      <c r="C576" t="str">
        <f>_xlfn.XLOOKUP(B576,Multipliers!A:A,Multipliers!C:C)</f>
        <v>John Powell</v>
      </c>
      <c r="D576" s="3">
        <v>45303</v>
      </c>
      <c r="E576" t="s">
        <v>2391</v>
      </c>
      <c r="F576" t="s">
        <v>2399</v>
      </c>
      <c r="G576" t="s">
        <v>2342</v>
      </c>
      <c r="H576">
        <v>0</v>
      </c>
      <c r="I576" s="1">
        <v>0</v>
      </c>
      <c r="J576" s="1">
        <v>0</v>
      </c>
      <c r="K576">
        <v>0</v>
      </c>
      <c r="L576">
        <f>IF(E576="4. Renewal - MRR",IF(I576&lt;=0,0,VLOOKUP(B576,Multipliers!A:L,MATCH(K576,Multipliers!$A$1:$L$1,0),FALSE)),VLOOKUP(B576,Multipliers!A:L,MATCH(K576,Multipliers!$A$1:$L$1,0),FALSE))</f>
        <v>0</v>
      </c>
      <c r="M576">
        <f t="shared" si="32"/>
        <v>0</v>
      </c>
      <c r="N576" s="1">
        <f>_xlfn.XLOOKUP(A576,'Product Detail'!$AG:$AG,'Product Detail'!$AH:$AH,"N/A")</f>
        <v>22.014150000000011</v>
      </c>
      <c r="O576" s="1">
        <f t="shared" si="33"/>
        <v>0</v>
      </c>
      <c r="P576" s="4">
        <f t="shared" si="34"/>
        <v>45352</v>
      </c>
      <c r="Q576" s="4">
        <f t="shared" si="35"/>
        <v>45413</v>
      </c>
    </row>
    <row r="577" spans="1:17" x14ac:dyDescent="0.25">
      <c r="A577" s="35" t="s">
        <v>2286</v>
      </c>
      <c r="B577" t="s">
        <v>2385</v>
      </c>
      <c r="C577" t="str">
        <f>_xlfn.XLOOKUP(B577,Multipliers!A:A,Multipliers!C:C)</f>
        <v>John Powell</v>
      </c>
      <c r="D577" s="3">
        <v>45303</v>
      </c>
      <c r="E577" t="s">
        <v>2391</v>
      </c>
      <c r="F577" t="s">
        <v>2403</v>
      </c>
      <c r="G577" t="s">
        <v>2343</v>
      </c>
      <c r="H577">
        <v>0</v>
      </c>
      <c r="I577" s="1">
        <v>0</v>
      </c>
      <c r="J577" s="1">
        <v>0</v>
      </c>
      <c r="K577">
        <v>0</v>
      </c>
      <c r="L577">
        <f>IF(E577="4. Renewal - MRR",IF(I577&lt;=0,0,VLOOKUP(B577,Multipliers!A:L,MATCH(K577,Multipliers!$A$1:$L$1,0),FALSE)),VLOOKUP(B577,Multipliers!A:L,MATCH(K577,Multipliers!$A$1:$L$1,0),FALSE))</f>
        <v>0</v>
      </c>
      <c r="M577">
        <f t="shared" si="32"/>
        <v>0</v>
      </c>
      <c r="N577" s="1">
        <f>_xlfn.XLOOKUP(A577,'Product Detail'!$AG:$AG,'Product Detail'!$AH:$AH,"N/A")</f>
        <v>24.084749999999993</v>
      </c>
      <c r="O577" s="1">
        <f t="shared" si="33"/>
        <v>0</v>
      </c>
      <c r="P577" s="4">
        <f t="shared" si="34"/>
        <v>45352</v>
      </c>
      <c r="Q577" s="4">
        <f t="shared" si="35"/>
        <v>45413</v>
      </c>
    </row>
    <row r="578" spans="1:17" x14ac:dyDescent="0.25">
      <c r="A578" s="35" t="s">
        <v>2287</v>
      </c>
      <c r="B578" t="s">
        <v>2385</v>
      </c>
      <c r="C578" t="str">
        <f>_xlfn.XLOOKUP(B578,Multipliers!A:A,Multipliers!C:C)</f>
        <v>John Powell</v>
      </c>
      <c r="D578" s="3">
        <v>45303</v>
      </c>
      <c r="E578" t="s">
        <v>2391</v>
      </c>
      <c r="F578" t="s">
        <v>2404</v>
      </c>
      <c r="G578" t="s">
        <v>2344</v>
      </c>
      <c r="H578">
        <v>0</v>
      </c>
      <c r="I578" s="1">
        <v>0</v>
      </c>
      <c r="J578" s="1">
        <v>0</v>
      </c>
      <c r="K578">
        <v>0</v>
      </c>
      <c r="L578">
        <f>IF(E578="4. Renewal - MRR",IF(I578&lt;=0,0,VLOOKUP(B578,Multipliers!A:L,MATCH(K578,Multipliers!$A$1:$L$1,0),FALSE)),VLOOKUP(B578,Multipliers!A:L,MATCH(K578,Multipliers!$A$1:$L$1,0),FALSE))</f>
        <v>0</v>
      </c>
      <c r="M578">
        <f t="shared" ref="M578:M618" si="36">IF(E578="4. Renewal - MRR",IF(K578&gt;24,0.25,0),0)</f>
        <v>0</v>
      </c>
      <c r="N578" s="1">
        <f>_xlfn.XLOOKUP(A578,'Product Detail'!$AG:$AG,'Product Detail'!$AH:$AH,"N/A")</f>
        <v>12.651399999999994</v>
      </c>
      <c r="O578" s="1">
        <f t="shared" ref="O578:O618" si="37">I578*L578+J578*M578</f>
        <v>0</v>
      </c>
      <c r="P578" s="4">
        <f t="shared" ref="P578:P618" si="38">EOMONTH(D578,1)+1</f>
        <v>45352</v>
      </c>
      <c r="Q578" s="4">
        <f t="shared" ref="Q578:Q618" si="39">EOMONTH(D578,3)+1</f>
        <v>45413</v>
      </c>
    </row>
    <row r="579" spans="1:17" x14ac:dyDescent="0.25">
      <c r="A579" s="35" t="s">
        <v>2288</v>
      </c>
      <c r="B579" t="s">
        <v>117</v>
      </c>
      <c r="C579" t="str">
        <f>_xlfn.XLOOKUP(B579,Multipliers!A:A,Multipliers!C:C)</f>
        <v>Simon Beeny</v>
      </c>
      <c r="D579" s="3">
        <v>45306</v>
      </c>
      <c r="E579" t="s">
        <v>2393</v>
      </c>
      <c r="F579" t="s">
        <v>2405</v>
      </c>
      <c r="G579" t="s">
        <v>2345</v>
      </c>
      <c r="H579">
        <v>0</v>
      </c>
      <c r="I579" s="1">
        <v>4045.35</v>
      </c>
      <c r="J579" s="1">
        <v>0</v>
      </c>
      <c r="K579">
        <v>36</v>
      </c>
      <c r="L579">
        <f>IF(E579="4. Renewal - MRR",IF(I579&lt;=0,0,VLOOKUP(B579,Multipliers!A:L,MATCH(K579,Multipliers!$A$1:$L$1,0),FALSE)),VLOOKUP(B579,Multipliers!A:L,MATCH(K579,Multipliers!$A$1:$L$1,0),FALSE))</f>
        <v>1</v>
      </c>
      <c r="M579">
        <f t="shared" si="36"/>
        <v>0</v>
      </c>
      <c r="N579" s="1">
        <f>_xlfn.XLOOKUP(A579,'Product Detail'!$AG:$AG,'Product Detail'!$AH:$AH,"N/A")</f>
        <v>0</v>
      </c>
      <c r="O579" s="1">
        <f t="shared" si="37"/>
        <v>4045.35</v>
      </c>
      <c r="P579" s="4">
        <f t="shared" si="38"/>
        <v>45352</v>
      </c>
      <c r="Q579" s="4">
        <f t="shared" si="39"/>
        <v>45413</v>
      </c>
    </row>
    <row r="580" spans="1:17" x14ac:dyDescent="0.25">
      <c r="A580" s="35" t="s">
        <v>2289</v>
      </c>
      <c r="B580" t="s">
        <v>2385</v>
      </c>
      <c r="C580" t="str">
        <f>_xlfn.XLOOKUP(B580,Multipliers!A:A,Multipliers!C:C)</f>
        <v>John Powell</v>
      </c>
      <c r="D580" s="3">
        <v>45306</v>
      </c>
      <c r="E580" t="s">
        <v>2391</v>
      </c>
      <c r="F580" t="s">
        <v>2406</v>
      </c>
      <c r="G580" t="s">
        <v>2346</v>
      </c>
      <c r="H580">
        <v>0</v>
      </c>
      <c r="I580" s="1">
        <v>0</v>
      </c>
      <c r="J580" s="1">
        <v>0</v>
      </c>
      <c r="K580">
        <v>0</v>
      </c>
      <c r="L580">
        <f>IF(E580="4. Renewal - MRR",IF(I580&lt;=0,0,VLOOKUP(B580,Multipliers!A:L,MATCH(K580,Multipliers!$A$1:$L$1,0),FALSE)),VLOOKUP(B580,Multipliers!A:L,MATCH(K580,Multipliers!$A$1:$L$1,0),FALSE))</f>
        <v>0</v>
      </c>
      <c r="M580">
        <f t="shared" si="36"/>
        <v>0</v>
      </c>
      <c r="N580" s="1">
        <f>_xlfn.XLOOKUP(A580,'Product Detail'!$AG:$AG,'Product Detail'!$AH:$AH,"N/A")</f>
        <v>2.5372500000000011</v>
      </c>
      <c r="O580" s="1">
        <f t="shared" si="37"/>
        <v>0</v>
      </c>
      <c r="P580" s="4">
        <f t="shared" si="38"/>
        <v>45352</v>
      </c>
      <c r="Q580" s="4">
        <f t="shared" si="39"/>
        <v>45413</v>
      </c>
    </row>
    <row r="581" spans="1:17" x14ac:dyDescent="0.25">
      <c r="A581" s="35" t="s">
        <v>2290</v>
      </c>
      <c r="B581" t="s">
        <v>2385</v>
      </c>
      <c r="C581" t="str">
        <f>_xlfn.XLOOKUP(B581,Multipliers!A:A,Multipliers!C:C)</f>
        <v>John Powell</v>
      </c>
      <c r="D581" s="3">
        <v>45306</v>
      </c>
      <c r="E581" t="s">
        <v>2391</v>
      </c>
      <c r="F581" t="s">
        <v>2398</v>
      </c>
      <c r="G581" t="s">
        <v>2347</v>
      </c>
      <c r="H581">
        <v>0</v>
      </c>
      <c r="I581" s="1">
        <v>0</v>
      </c>
      <c r="J581" s="1">
        <v>0</v>
      </c>
      <c r="K581">
        <v>0</v>
      </c>
      <c r="L581">
        <f>IF(E581="4. Renewal - MRR",IF(I581&lt;=0,0,VLOOKUP(B581,Multipliers!A:L,MATCH(K581,Multipliers!$A$1:$L$1,0),FALSE)),VLOOKUP(B581,Multipliers!A:L,MATCH(K581,Multipliers!$A$1:$L$1,0),FALSE))</f>
        <v>0</v>
      </c>
      <c r="M581">
        <f t="shared" si="36"/>
        <v>0</v>
      </c>
      <c r="N581" s="1">
        <f>_xlfn.XLOOKUP(A581,'Product Detail'!$AG:$AG,'Product Detail'!$AH:$AH,"N/A")</f>
        <v>0.51255000000000017</v>
      </c>
      <c r="O581" s="1">
        <f t="shared" si="37"/>
        <v>0</v>
      </c>
      <c r="P581" s="4">
        <f t="shared" si="38"/>
        <v>45352</v>
      </c>
      <c r="Q581" s="4">
        <f t="shared" si="39"/>
        <v>45413</v>
      </c>
    </row>
    <row r="582" spans="1:17" x14ac:dyDescent="0.25">
      <c r="A582" s="35" t="s">
        <v>2291</v>
      </c>
      <c r="B582" t="s">
        <v>2385</v>
      </c>
      <c r="C582" t="str">
        <f>_xlfn.XLOOKUP(B582,Multipliers!A:A,Multipliers!C:C)</f>
        <v>John Powell</v>
      </c>
      <c r="D582" s="3">
        <v>45306</v>
      </c>
      <c r="E582" t="s">
        <v>2391</v>
      </c>
      <c r="F582" t="s">
        <v>2407</v>
      </c>
      <c r="G582" t="s">
        <v>2348</v>
      </c>
      <c r="H582">
        <v>0</v>
      </c>
      <c r="I582" s="1">
        <v>0</v>
      </c>
      <c r="J582" s="1">
        <v>0</v>
      </c>
      <c r="K582">
        <v>0</v>
      </c>
      <c r="L582">
        <f>IF(E582="4. Renewal - MRR",IF(I582&lt;=0,0,VLOOKUP(B582,Multipliers!A:L,MATCH(K582,Multipliers!$A$1:$L$1,0),FALSE)),VLOOKUP(B582,Multipliers!A:L,MATCH(K582,Multipliers!$A$1:$L$1,0),FALSE))</f>
        <v>0</v>
      </c>
      <c r="M582">
        <f t="shared" si="36"/>
        <v>0</v>
      </c>
      <c r="N582" s="1">
        <f>_xlfn.XLOOKUP(A582,'Product Detail'!$AG:$AG,'Product Detail'!$AH:$AH,"N/A")</f>
        <v>0.43349999999999955</v>
      </c>
      <c r="O582" s="1">
        <f t="shared" si="37"/>
        <v>0</v>
      </c>
      <c r="P582" s="4">
        <f t="shared" si="38"/>
        <v>45352</v>
      </c>
      <c r="Q582" s="4">
        <f t="shared" si="39"/>
        <v>45413</v>
      </c>
    </row>
    <row r="583" spans="1:17" x14ac:dyDescent="0.25">
      <c r="A583" s="35" t="s">
        <v>2292</v>
      </c>
      <c r="B583" t="s">
        <v>2387</v>
      </c>
      <c r="C583" t="str">
        <f>_xlfn.XLOOKUP(B583,Multipliers!A:A,Multipliers!C:C)</f>
        <v>Anthony Laiewski</v>
      </c>
      <c r="D583" s="3">
        <v>45307</v>
      </c>
      <c r="E583" t="s">
        <v>2391</v>
      </c>
      <c r="F583" t="s">
        <v>2408</v>
      </c>
      <c r="G583" t="s">
        <v>2349</v>
      </c>
      <c r="H583">
        <v>0</v>
      </c>
      <c r="I583" s="1">
        <v>247.5</v>
      </c>
      <c r="J583" s="1">
        <v>0</v>
      </c>
      <c r="K583">
        <v>36</v>
      </c>
      <c r="L583">
        <f>IF(E583="4. Renewal - MRR",IF(I583&lt;=0,0,VLOOKUP(B583,Multipliers!A:L,MATCH(K583,Multipliers!$A$1:$L$1,0),FALSE)),VLOOKUP(B583,Multipliers!A:L,MATCH(K583,Multipliers!$A$1:$L$1,0),FALSE))</f>
        <v>0.5</v>
      </c>
      <c r="M583">
        <f t="shared" si="36"/>
        <v>0</v>
      </c>
      <c r="N583" s="1">
        <f>_xlfn.XLOOKUP(A583,'Product Detail'!$AG:$AG,'Product Detail'!$AH:$AH,"N/A")</f>
        <v>19.8</v>
      </c>
      <c r="O583" s="1">
        <f t="shared" si="37"/>
        <v>123.75</v>
      </c>
      <c r="P583" s="4">
        <f t="shared" si="38"/>
        <v>45352</v>
      </c>
      <c r="Q583" s="4">
        <f t="shared" si="39"/>
        <v>45413</v>
      </c>
    </row>
    <row r="584" spans="1:17" x14ac:dyDescent="0.25">
      <c r="A584" s="35" t="s">
        <v>2293</v>
      </c>
      <c r="B584" t="s">
        <v>2385</v>
      </c>
      <c r="C584" t="str">
        <f>_xlfn.XLOOKUP(B584,Multipliers!A:A,Multipliers!C:C)</f>
        <v>John Powell</v>
      </c>
      <c r="D584" s="3">
        <v>45307</v>
      </c>
      <c r="E584" t="s">
        <v>2391</v>
      </c>
      <c r="F584" t="s">
        <v>1969</v>
      </c>
      <c r="G584" t="s">
        <v>2350</v>
      </c>
      <c r="H584">
        <v>0</v>
      </c>
      <c r="I584" s="1">
        <v>0</v>
      </c>
      <c r="J584" s="1">
        <v>0</v>
      </c>
      <c r="K584">
        <v>0</v>
      </c>
      <c r="L584">
        <f>IF(E584="4. Renewal - MRR",IF(I584&lt;=0,0,VLOOKUP(B584,Multipliers!A:L,MATCH(K584,Multipliers!$A$1:$L$1,0),FALSE)),VLOOKUP(B584,Multipliers!A:L,MATCH(K584,Multipliers!$A$1:$L$1,0),FALSE))</f>
        <v>0</v>
      </c>
      <c r="M584">
        <f t="shared" si="36"/>
        <v>0</v>
      </c>
      <c r="N584" s="1">
        <f>_xlfn.XLOOKUP(A584,'Product Detail'!$AG:$AG,'Product Detail'!$AH:$AH,"N/A")</f>
        <v>2.8517500000000013</v>
      </c>
      <c r="O584" s="1">
        <f t="shared" si="37"/>
        <v>0</v>
      </c>
      <c r="P584" s="4">
        <f t="shared" si="38"/>
        <v>45352</v>
      </c>
      <c r="Q584" s="4">
        <f t="shared" si="39"/>
        <v>45413</v>
      </c>
    </row>
    <row r="585" spans="1:17" x14ac:dyDescent="0.25">
      <c r="A585" s="35" t="s">
        <v>2294</v>
      </c>
      <c r="B585" t="s">
        <v>121</v>
      </c>
      <c r="C585" t="str">
        <f>_xlfn.XLOOKUP(B585,Multipliers!A:A,Multipliers!C:C)</f>
        <v>Simon Beeny</v>
      </c>
      <c r="D585" s="3">
        <v>45308</v>
      </c>
      <c r="E585" t="s">
        <v>2393</v>
      </c>
      <c r="F585" t="s">
        <v>2409</v>
      </c>
      <c r="G585" t="s">
        <v>2351</v>
      </c>
      <c r="H585">
        <v>0</v>
      </c>
      <c r="I585" s="1">
        <v>5322.97</v>
      </c>
      <c r="J585" s="1">
        <v>0</v>
      </c>
      <c r="K585">
        <v>12</v>
      </c>
      <c r="L585">
        <f>IF(E585="4. Renewal - MRR",IF(I585&lt;=0,0,VLOOKUP(B585,Multipliers!A:L,MATCH(K585,Multipliers!$A$1:$L$1,0),FALSE)),VLOOKUP(B585,Multipliers!A:L,MATCH(K585,Multipliers!$A$1:$L$1,0),FALSE))</f>
        <v>0.35</v>
      </c>
      <c r="M585">
        <f t="shared" si="36"/>
        <v>0</v>
      </c>
      <c r="N585" s="1">
        <f>_xlfn.XLOOKUP(A585,'Product Detail'!$AG:$AG,'Product Detail'!$AH:$AH,"N/A")</f>
        <v>0</v>
      </c>
      <c r="O585" s="1">
        <f t="shared" si="37"/>
        <v>1863.0394999999999</v>
      </c>
      <c r="P585" s="4">
        <f t="shared" si="38"/>
        <v>45352</v>
      </c>
      <c r="Q585" s="4">
        <f t="shared" si="39"/>
        <v>45413</v>
      </c>
    </row>
    <row r="586" spans="1:17" x14ac:dyDescent="0.25">
      <c r="A586" s="35" t="s">
        <v>2295</v>
      </c>
      <c r="B586" t="s">
        <v>2385</v>
      </c>
      <c r="C586" t="str">
        <f>_xlfn.XLOOKUP(B586,Multipliers!A:A,Multipliers!C:C)</f>
        <v>John Powell</v>
      </c>
      <c r="D586" s="3">
        <v>45308</v>
      </c>
      <c r="E586" t="s">
        <v>2391</v>
      </c>
      <c r="F586" t="s">
        <v>2410</v>
      </c>
      <c r="G586" t="s">
        <v>2352</v>
      </c>
      <c r="H586">
        <v>0</v>
      </c>
      <c r="I586" s="1">
        <v>0</v>
      </c>
      <c r="J586" s="1">
        <v>0</v>
      </c>
      <c r="K586">
        <v>0</v>
      </c>
      <c r="L586">
        <f>IF(E586="4. Renewal - MRR",IF(I586&lt;=0,0,VLOOKUP(B586,Multipliers!A:L,MATCH(K586,Multipliers!$A$1:$L$1,0),FALSE)),VLOOKUP(B586,Multipliers!A:L,MATCH(K586,Multipliers!$A$1:$L$1,0),FALSE))</f>
        <v>0</v>
      </c>
      <c r="M586">
        <f t="shared" si="36"/>
        <v>0</v>
      </c>
      <c r="N586" s="1">
        <f>_xlfn.XLOOKUP(A586,'Product Detail'!$AG:$AG,'Product Detail'!$AH:$AH,"N/A")</f>
        <v>62.950999999999958</v>
      </c>
      <c r="O586" s="1">
        <f t="shared" si="37"/>
        <v>0</v>
      </c>
      <c r="P586" s="4">
        <f t="shared" si="38"/>
        <v>45352</v>
      </c>
      <c r="Q586" s="4">
        <f t="shared" si="39"/>
        <v>45413</v>
      </c>
    </row>
    <row r="587" spans="1:17" x14ac:dyDescent="0.25">
      <c r="A587" s="35" t="s">
        <v>2296</v>
      </c>
      <c r="B587" t="s">
        <v>2385</v>
      </c>
      <c r="C587" t="str">
        <f>_xlfn.XLOOKUP(B587,Multipliers!A:A,Multipliers!C:C)</f>
        <v>John Powell</v>
      </c>
      <c r="D587" s="3">
        <v>45308</v>
      </c>
      <c r="E587" t="s">
        <v>2391</v>
      </c>
      <c r="F587" t="s">
        <v>2399</v>
      </c>
      <c r="G587" t="s">
        <v>2353</v>
      </c>
      <c r="H587">
        <v>0</v>
      </c>
      <c r="I587" s="1">
        <v>0</v>
      </c>
      <c r="J587" s="1">
        <v>0</v>
      </c>
      <c r="K587">
        <v>0</v>
      </c>
      <c r="L587">
        <f>IF(E587="4. Renewal - MRR",IF(I587&lt;=0,0,VLOOKUP(B587,Multipliers!A:L,MATCH(K587,Multipliers!$A$1:$L$1,0),FALSE)),VLOOKUP(B587,Multipliers!A:L,MATCH(K587,Multipliers!$A$1:$L$1,0),FALSE))</f>
        <v>0</v>
      </c>
      <c r="M587">
        <f t="shared" si="36"/>
        <v>0</v>
      </c>
      <c r="N587" s="1">
        <f>_xlfn.XLOOKUP(A587,'Product Detail'!$AG:$AG,'Product Detail'!$AH:$AH,"N/A")</f>
        <v>19.933350000000001</v>
      </c>
      <c r="O587" s="1">
        <f t="shared" si="37"/>
        <v>0</v>
      </c>
      <c r="P587" s="4">
        <f t="shared" si="38"/>
        <v>45352</v>
      </c>
      <c r="Q587" s="4">
        <f t="shared" si="39"/>
        <v>45413</v>
      </c>
    </row>
    <row r="588" spans="1:17" x14ac:dyDescent="0.25">
      <c r="A588" s="35" t="s">
        <v>2297</v>
      </c>
      <c r="B588" t="s">
        <v>2387</v>
      </c>
      <c r="C588" t="str">
        <f>_xlfn.XLOOKUP(B588,Multipliers!A:A,Multipliers!C:C)</f>
        <v>Anthony Laiewski</v>
      </c>
      <c r="D588" s="3">
        <v>45309</v>
      </c>
      <c r="E588" t="s">
        <v>2411</v>
      </c>
      <c r="F588" t="s">
        <v>2412</v>
      </c>
      <c r="G588" t="s">
        <v>2354</v>
      </c>
      <c r="H588">
        <v>0</v>
      </c>
      <c r="I588" s="1">
        <v>0</v>
      </c>
      <c r="J588" s="1">
        <v>0</v>
      </c>
      <c r="K588">
        <v>6</v>
      </c>
      <c r="L588">
        <f>IF(E588="(Non CW) Renewal",IF(I588&lt;=0,0,VLOOKUP(B588,Multipliers!A:L,MATCH(K588,Multipliers!$A$1:$L$1,0),FALSE)),VLOOKUP(B588,Multipliers!A:L,MATCH(K588,Multipliers!$A$1:$L$1,0),FALSE))</f>
        <v>0</v>
      </c>
      <c r="M588">
        <f t="shared" si="36"/>
        <v>0</v>
      </c>
      <c r="N588" s="1">
        <f>_xlfn.XLOOKUP(A588,'Product Detail'!$AG:$AG,'Product Detail'!$AH:$AH,"N/A")</f>
        <v>0</v>
      </c>
      <c r="O588" s="1">
        <f t="shared" si="37"/>
        <v>0</v>
      </c>
      <c r="P588" s="4">
        <f t="shared" si="38"/>
        <v>45352</v>
      </c>
      <c r="Q588" s="4">
        <f t="shared" si="39"/>
        <v>45413</v>
      </c>
    </row>
    <row r="589" spans="1:17" x14ac:dyDescent="0.25">
      <c r="A589" s="35" t="s">
        <v>2298</v>
      </c>
      <c r="B589" t="s">
        <v>156</v>
      </c>
      <c r="C589" t="str">
        <f>_xlfn.XLOOKUP(B589,Multipliers!A:A,Multipliers!C:C)</f>
        <v>Anthony Laiewski</v>
      </c>
      <c r="D589" s="3">
        <v>45309</v>
      </c>
      <c r="E589" t="s">
        <v>2391</v>
      </c>
      <c r="F589" t="s">
        <v>2413</v>
      </c>
      <c r="G589" t="s">
        <v>2355</v>
      </c>
      <c r="H589">
        <v>0</v>
      </c>
      <c r="I589" s="1">
        <v>0</v>
      </c>
      <c r="J589" s="1">
        <v>0</v>
      </c>
      <c r="K589">
        <v>0</v>
      </c>
      <c r="L589">
        <f>IF(E589="4. Renewal - MRR",IF(I589&lt;=0,0,VLOOKUP(B589,Multipliers!A:L,MATCH(K589,Multipliers!$A$1:$L$1,0),FALSE)),VLOOKUP(B589,Multipliers!A:L,MATCH(K589,Multipliers!$A$1:$L$1,0),FALSE))</f>
        <v>0</v>
      </c>
      <c r="M589">
        <f t="shared" si="36"/>
        <v>0</v>
      </c>
      <c r="N589" s="1">
        <f>_xlfn.XLOOKUP(A589,'Product Detail'!$AG:$AG,'Product Detail'!$AH:$AH,"N/A")</f>
        <v>5.4</v>
      </c>
      <c r="O589" s="1">
        <f t="shared" si="37"/>
        <v>0</v>
      </c>
      <c r="P589" s="4">
        <f t="shared" si="38"/>
        <v>45352</v>
      </c>
      <c r="Q589" s="4">
        <f t="shared" si="39"/>
        <v>45413</v>
      </c>
    </row>
    <row r="590" spans="1:17" x14ac:dyDescent="0.25">
      <c r="A590" s="35" t="s">
        <v>2299</v>
      </c>
      <c r="B590" t="s">
        <v>2385</v>
      </c>
      <c r="C590" t="str">
        <f>_xlfn.XLOOKUP(B590,Multipliers!A:A,Multipliers!C:C)</f>
        <v>John Powell</v>
      </c>
      <c r="D590" s="3">
        <v>45309</v>
      </c>
      <c r="E590" t="s">
        <v>2391</v>
      </c>
      <c r="F590" t="s">
        <v>2410</v>
      </c>
      <c r="G590" t="s">
        <v>2356</v>
      </c>
      <c r="H590">
        <v>0</v>
      </c>
      <c r="I590" s="1">
        <v>0</v>
      </c>
      <c r="J590" s="1">
        <v>0</v>
      </c>
      <c r="K590">
        <v>0</v>
      </c>
      <c r="L590">
        <f>IF(E590="4. Renewal - MRR",IF(I590&lt;=0,0,VLOOKUP(B590,Multipliers!A:L,MATCH(K590,Multipliers!$A$1:$L$1,0),FALSE)),VLOOKUP(B590,Multipliers!A:L,MATCH(K590,Multipliers!$A$1:$L$1,0),FALSE))</f>
        <v>0</v>
      </c>
      <c r="M590">
        <f t="shared" si="36"/>
        <v>0</v>
      </c>
      <c r="N590" s="1">
        <f>_xlfn.XLOOKUP(A590,'Product Detail'!$AG:$AG,'Product Detail'!$AH:$AH,"N/A")</f>
        <v>1.2342000000000009</v>
      </c>
      <c r="O590" s="1">
        <f t="shared" si="37"/>
        <v>0</v>
      </c>
      <c r="P590" s="4">
        <f t="shared" si="38"/>
        <v>45352</v>
      </c>
      <c r="Q590" s="4">
        <f t="shared" si="39"/>
        <v>45413</v>
      </c>
    </row>
    <row r="591" spans="1:17" x14ac:dyDescent="0.25">
      <c r="A591" s="35" t="s">
        <v>2300</v>
      </c>
      <c r="B591" t="s">
        <v>2385</v>
      </c>
      <c r="C591" t="str">
        <f>_xlfn.XLOOKUP(B591,Multipliers!A:A,Multipliers!C:C)</f>
        <v>John Powell</v>
      </c>
      <c r="D591" s="3">
        <v>45309</v>
      </c>
      <c r="E591" t="s">
        <v>2391</v>
      </c>
      <c r="F591" t="s">
        <v>2410</v>
      </c>
      <c r="G591" t="s">
        <v>2357</v>
      </c>
      <c r="H591">
        <v>0</v>
      </c>
      <c r="I591" s="1">
        <v>0</v>
      </c>
      <c r="J591" s="1">
        <v>0</v>
      </c>
      <c r="K591">
        <v>0</v>
      </c>
      <c r="L591">
        <f>IF(E591="4. Renewal - MRR",IF(I591&lt;=0,0,VLOOKUP(B591,Multipliers!A:L,MATCH(K591,Multipliers!$A$1:$L$1,0),FALSE)),VLOOKUP(B591,Multipliers!A:L,MATCH(K591,Multipliers!$A$1:$L$1,0),FALSE))</f>
        <v>0</v>
      </c>
      <c r="M591">
        <f t="shared" si="36"/>
        <v>0</v>
      </c>
      <c r="N591" s="1">
        <f>_xlfn.XLOOKUP(A591,'Product Detail'!$AG:$AG,'Product Detail'!$AH:$AH,"N/A")</f>
        <v>4.5398500000000022</v>
      </c>
      <c r="O591" s="1">
        <f t="shared" si="37"/>
        <v>0</v>
      </c>
      <c r="P591" s="4">
        <f t="shared" si="38"/>
        <v>45352</v>
      </c>
      <c r="Q591" s="4">
        <f t="shared" si="39"/>
        <v>45413</v>
      </c>
    </row>
    <row r="592" spans="1:17" x14ac:dyDescent="0.25">
      <c r="A592" s="35" t="s">
        <v>2301</v>
      </c>
      <c r="B592" t="s">
        <v>2385</v>
      </c>
      <c r="C592" t="str">
        <f>_xlfn.XLOOKUP(B592,Multipliers!A:A,Multipliers!C:C)</f>
        <v>John Powell</v>
      </c>
      <c r="D592" s="3">
        <v>45309</v>
      </c>
      <c r="E592" t="s">
        <v>2391</v>
      </c>
      <c r="F592" t="s">
        <v>2414</v>
      </c>
      <c r="G592" t="s">
        <v>2358</v>
      </c>
      <c r="H592">
        <v>0</v>
      </c>
      <c r="I592" s="1">
        <v>0</v>
      </c>
      <c r="J592" s="1">
        <v>0</v>
      </c>
      <c r="K592">
        <v>0</v>
      </c>
      <c r="L592">
        <f>IF(E592="4. Renewal - MRR",IF(I592&lt;=0,0,VLOOKUP(B592,Multipliers!A:L,MATCH(K592,Multipliers!$A$1:$L$1,0),FALSE)),VLOOKUP(B592,Multipliers!A:L,MATCH(K592,Multipliers!$A$1:$L$1,0),FALSE))</f>
        <v>0</v>
      </c>
      <c r="M592">
        <f t="shared" si="36"/>
        <v>0</v>
      </c>
      <c r="N592" s="1">
        <f>_xlfn.XLOOKUP(A592,'Product Detail'!$AG:$AG,'Product Detail'!$AH:$AH,"N/A")</f>
        <v>11.521749999999997</v>
      </c>
      <c r="O592" s="1">
        <f t="shared" si="37"/>
        <v>0</v>
      </c>
      <c r="P592" s="4">
        <f t="shared" si="38"/>
        <v>45352</v>
      </c>
      <c r="Q592" s="4">
        <f t="shared" si="39"/>
        <v>45413</v>
      </c>
    </row>
    <row r="593" spans="1:17" x14ac:dyDescent="0.25">
      <c r="A593" s="35" t="s">
        <v>2302</v>
      </c>
      <c r="B593" t="s">
        <v>168</v>
      </c>
      <c r="C593" t="str">
        <f>_xlfn.XLOOKUP(B593,Multipliers!A:A,Multipliers!C:C)</f>
        <v>Simon Beeny</v>
      </c>
      <c r="D593" s="3">
        <v>45310</v>
      </c>
      <c r="E593" t="s">
        <v>2393</v>
      </c>
      <c r="F593" t="s">
        <v>2415</v>
      </c>
      <c r="G593" t="s">
        <v>2359</v>
      </c>
      <c r="H593">
        <v>0</v>
      </c>
      <c r="I593" s="1">
        <v>970</v>
      </c>
      <c r="J593" s="1">
        <v>0</v>
      </c>
      <c r="K593">
        <v>36</v>
      </c>
      <c r="L593">
        <f>IF(E593="4. Renewal - MRR",IF(I593&lt;=0,0,VLOOKUP(B593,Multipliers!A:L,MATCH(K593,Multipliers!$A$1:$L$1,0),FALSE)),VLOOKUP(B593,Multipliers!A:L,MATCH(K593,Multipliers!$A$1:$L$1,0),FALSE))</f>
        <v>0</v>
      </c>
      <c r="M593">
        <f t="shared" si="36"/>
        <v>0</v>
      </c>
      <c r="N593" s="1">
        <f>_xlfn.XLOOKUP(A593,'Product Detail'!$AG:$AG,'Product Detail'!$AH:$AH,"N/A")</f>
        <v>0</v>
      </c>
      <c r="O593" s="1">
        <f t="shared" si="37"/>
        <v>0</v>
      </c>
      <c r="P593" s="4">
        <f t="shared" si="38"/>
        <v>45352</v>
      </c>
      <c r="Q593" s="4">
        <f t="shared" si="39"/>
        <v>45413</v>
      </c>
    </row>
    <row r="594" spans="1:17" x14ac:dyDescent="0.25">
      <c r="A594" s="35" t="s">
        <v>2303</v>
      </c>
      <c r="B594" t="s">
        <v>2385</v>
      </c>
      <c r="C594" t="str">
        <f>_xlfn.XLOOKUP(B594,Multipliers!A:A,Multipliers!C:C)</f>
        <v>John Powell</v>
      </c>
      <c r="D594" s="3">
        <v>45310</v>
      </c>
      <c r="E594" t="s">
        <v>2391</v>
      </c>
      <c r="F594" t="s">
        <v>2416</v>
      </c>
      <c r="G594" t="s">
        <v>2360</v>
      </c>
      <c r="H594">
        <v>0</v>
      </c>
      <c r="I594" s="1">
        <v>0</v>
      </c>
      <c r="J594" s="1">
        <v>0</v>
      </c>
      <c r="K594">
        <v>0</v>
      </c>
      <c r="L594">
        <f>IF(E594="4. Renewal - MRR",IF(I594&lt;=0,0,VLOOKUP(B594,Multipliers!A:L,MATCH(K594,Multipliers!$A$1:$L$1,0),FALSE)),VLOOKUP(B594,Multipliers!A:L,MATCH(K594,Multipliers!$A$1:$L$1,0),FALSE))</f>
        <v>0</v>
      </c>
      <c r="M594">
        <f t="shared" si="36"/>
        <v>0</v>
      </c>
      <c r="N594" s="1">
        <f>_xlfn.XLOOKUP(A594,'Product Detail'!$AG:$AG,'Product Detail'!$AH:$AH,"N/A")</f>
        <v>9.8923000000000005</v>
      </c>
      <c r="O594" s="1">
        <f t="shared" si="37"/>
        <v>0</v>
      </c>
      <c r="P594" s="4">
        <f t="shared" si="38"/>
        <v>45352</v>
      </c>
      <c r="Q594" s="4">
        <f t="shared" si="39"/>
        <v>45413</v>
      </c>
    </row>
    <row r="595" spans="1:17" x14ac:dyDescent="0.25">
      <c r="A595" s="35" t="s">
        <v>2304</v>
      </c>
      <c r="B595" t="s">
        <v>2385</v>
      </c>
      <c r="C595" t="str">
        <f>_xlfn.XLOOKUP(B595,Multipliers!A:A,Multipliers!C:C)</f>
        <v>John Powell</v>
      </c>
      <c r="D595" s="3">
        <v>45310</v>
      </c>
      <c r="E595" t="s">
        <v>2391</v>
      </c>
      <c r="F595" t="s">
        <v>2417</v>
      </c>
      <c r="G595" t="s">
        <v>2361</v>
      </c>
      <c r="H595">
        <v>0</v>
      </c>
      <c r="I595" s="1">
        <v>0</v>
      </c>
      <c r="J595" s="1">
        <v>0</v>
      </c>
      <c r="K595">
        <v>0</v>
      </c>
      <c r="L595">
        <f>IF(E595="4. Renewal - MRR",IF(I595&lt;=0,0,VLOOKUP(B595,Multipliers!A:L,MATCH(K595,Multipliers!$A$1:$L$1,0),FALSE)),VLOOKUP(B595,Multipliers!A:L,MATCH(K595,Multipliers!$A$1:$L$1,0),FALSE))</f>
        <v>0</v>
      </c>
      <c r="M595">
        <f t="shared" si="36"/>
        <v>0</v>
      </c>
      <c r="N595" s="1">
        <f>_xlfn.XLOOKUP(A595,'Product Detail'!$AG:$AG,'Product Detail'!$AH:$AH,"N/A")</f>
        <v>138.80160000000001</v>
      </c>
      <c r="O595" s="1">
        <f t="shared" si="37"/>
        <v>0</v>
      </c>
      <c r="P595" s="4">
        <f t="shared" si="38"/>
        <v>45352</v>
      </c>
      <c r="Q595" s="4">
        <f t="shared" si="39"/>
        <v>45413</v>
      </c>
    </row>
    <row r="596" spans="1:17" x14ac:dyDescent="0.25">
      <c r="A596" s="35" t="s">
        <v>2305</v>
      </c>
      <c r="B596" t="s">
        <v>2385</v>
      </c>
      <c r="C596" t="str">
        <f>_xlfn.XLOOKUP(B596,Multipliers!A:A,Multipliers!C:C)</f>
        <v>John Powell</v>
      </c>
      <c r="D596" s="3">
        <v>45310</v>
      </c>
      <c r="E596" t="s">
        <v>2391</v>
      </c>
      <c r="F596" t="s">
        <v>2418</v>
      </c>
      <c r="G596" t="s">
        <v>2362</v>
      </c>
      <c r="H596">
        <v>0</v>
      </c>
      <c r="I596" s="1">
        <v>0</v>
      </c>
      <c r="J596" s="1">
        <v>0</v>
      </c>
      <c r="K596">
        <v>0</v>
      </c>
      <c r="L596">
        <f>IF(E596="4. Renewal - MRR",IF(I596&lt;=0,0,VLOOKUP(B596,Multipliers!A:L,MATCH(K596,Multipliers!$A$1:$L$1,0),FALSE)),VLOOKUP(B596,Multipliers!A:L,MATCH(K596,Multipliers!$A$1:$L$1,0),FALSE))</f>
        <v>0</v>
      </c>
      <c r="M596">
        <f t="shared" si="36"/>
        <v>0</v>
      </c>
      <c r="N596" s="1">
        <f>_xlfn.XLOOKUP(A596,'Product Detail'!$AG:$AG,'Product Detail'!$AH:$AH,"N/A")</f>
        <v>493.10880000000009</v>
      </c>
      <c r="O596" s="1">
        <f t="shared" si="37"/>
        <v>0</v>
      </c>
      <c r="P596" s="4">
        <f t="shared" si="38"/>
        <v>45352</v>
      </c>
      <c r="Q596" s="4">
        <f t="shared" si="39"/>
        <v>45413</v>
      </c>
    </row>
    <row r="597" spans="1:17" x14ac:dyDescent="0.25">
      <c r="A597" s="35" t="s">
        <v>2306</v>
      </c>
      <c r="B597" t="s">
        <v>117</v>
      </c>
      <c r="C597" t="str">
        <f>_xlfn.XLOOKUP(B597,Multipliers!A:A,Multipliers!C:C)</f>
        <v>Simon Beeny</v>
      </c>
      <c r="D597" s="3">
        <v>45313</v>
      </c>
      <c r="E597" t="s">
        <v>2393</v>
      </c>
      <c r="F597" t="s">
        <v>2419</v>
      </c>
      <c r="G597" t="s">
        <v>2363</v>
      </c>
      <c r="H597">
        <v>0</v>
      </c>
      <c r="I597" s="1">
        <v>0</v>
      </c>
      <c r="J597" s="1">
        <v>0</v>
      </c>
      <c r="K597">
        <v>1</v>
      </c>
      <c r="L597">
        <f>IF(E597="4. Renewal - MRR",IF(I597&lt;=0,0,VLOOKUP(B597,Multipliers!A:L,MATCH(K597,Multipliers!$A$1:$L$1,0),FALSE)),VLOOKUP(B597,Multipliers!A:L,MATCH(K597,Multipliers!$A$1:$L$1,0),FALSE))</f>
        <v>0</v>
      </c>
      <c r="M597">
        <f t="shared" si="36"/>
        <v>0</v>
      </c>
      <c r="N597" s="1">
        <f>_xlfn.XLOOKUP(A597,'Product Detail'!$AG:$AG,'Product Detail'!$AH:$AH,"N/A")</f>
        <v>269</v>
      </c>
      <c r="O597" s="1">
        <f t="shared" si="37"/>
        <v>0</v>
      </c>
      <c r="P597" s="4">
        <f t="shared" si="38"/>
        <v>45352</v>
      </c>
      <c r="Q597" s="4">
        <f t="shared" si="39"/>
        <v>45413</v>
      </c>
    </row>
    <row r="598" spans="1:17" x14ac:dyDescent="0.25">
      <c r="A598" s="35" t="s">
        <v>2307</v>
      </c>
      <c r="B598" t="s">
        <v>2385</v>
      </c>
      <c r="C598" t="str">
        <f>_xlfn.XLOOKUP(B598,Multipliers!A:A,Multipliers!C:C)</f>
        <v>John Powell</v>
      </c>
      <c r="D598" s="3">
        <v>45313</v>
      </c>
      <c r="E598" t="s">
        <v>2391</v>
      </c>
      <c r="F598" t="s">
        <v>2420</v>
      </c>
      <c r="G598" t="s">
        <v>2364</v>
      </c>
      <c r="H598">
        <v>0</v>
      </c>
      <c r="I598" s="1">
        <v>0</v>
      </c>
      <c r="J598" s="1">
        <v>0</v>
      </c>
      <c r="K598">
        <v>0</v>
      </c>
      <c r="L598">
        <f>IF(E598="4. Renewal - MRR",IF(I598&lt;=0,0,VLOOKUP(B598,Multipliers!A:L,MATCH(K598,Multipliers!$A$1:$L$1,0),FALSE)),VLOOKUP(B598,Multipliers!A:L,MATCH(K598,Multipliers!$A$1:$L$1,0),FALSE))</f>
        <v>0</v>
      </c>
      <c r="M598">
        <f t="shared" si="36"/>
        <v>0</v>
      </c>
      <c r="N598" s="1">
        <f>_xlfn.XLOOKUP(A598,'Product Detail'!$AG:$AG,'Product Detail'!$AH:$AH,"N/A")</f>
        <v>13.096799999999995</v>
      </c>
      <c r="O598" s="1">
        <f t="shared" si="37"/>
        <v>0</v>
      </c>
      <c r="P598" s="4">
        <f t="shared" si="38"/>
        <v>45352</v>
      </c>
      <c r="Q598" s="4">
        <f t="shared" si="39"/>
        <v>45413</v>
      </c>
    </row>
    <row r="599" spans="1:17" x14ac:dyDescent="0.25">
      <c r="A599" s="35" t="s">
        <v>2308</v>
      </c>
      <c r="B599" t="s">
        <v>2386</v>
      </c>
      <c r="C599" t="str">
        <f>_xlfn.XLOOKUP(B599,Multipliers!A:A,Multipliers!C:C)</f>
        <v>Simon Beeny</v>
      </c>
      <c r="D599" s="3">
        <v>45314</v>
      </c>
      <c r="E599" t="s">
        <v>2393</v>
      </c>
      <c r="F599" t="s">
        <v>2421</v>
      </c>
      <c r="G599" t="s">
        <v>2365</v>
      </c>
      <c r="H599">
        <v>0</v>
      </c>
      <c r="I599" s="1">
        <v>0</v>
      </c>
      <c r="J599" s="1">
        <v>0</v>
      </c>
      <c r="K599">
        <v>12</v>
      </c>
      <c r="L599">
        <f>IF(E599="4. Renewal - MRR",IF(I599&lt;=0,0,VLOOKUP(B599,Multipliers!A:L,MATCH(K599,Multipliers!$A$1:$L$1,0),FALSE)),VLOOKUP(B599,Multipliers!A:L,MATCH(K599,Multipliers!$A$1:$L$1,0),FALSE))</f>
        <v>0.35</v>
      </c>
      <c r="M599">
        <f t="shared" si="36"/>
        <v>0</v>
      </c>
      <c r="N599" s="1">
        <f>_xlfn.XLOOKUP(A599,'Product Detail'!$AG:$AG,'Product Detail'!$AH:$AH,"N/A")</f>
        <v>28.741800000000005</v>
      </c>
      <c r="O599" s="1">
        <f t="shared" si="37"/>
        <v>0</v>
      </c>
      <c r="P599" s="4">
        <f t="shared" si="38"/>
        <v>45352</v>
      </c>
      <c r="Q599" s="4">
        <f t="shared" si="39"/>
        <v>45413</v>
      </c>
    </row>
    <row r="600" spans="1:17" x14ac:dyDescent="0.25">
      <c r="A600" s="35" t="s">
        <v>2309</v>
      </c>
      <c r="B600" t="s">
        <v>2387</v>
      </c>
      <c r="C600" t="str">
        <f>_xlfn.XLOOKUP(B600,Multipliers!A:A,Multipliers!C:C)</f>
        <v>Anthony Laiewski</v>
      </c>
      <c r="D600" s="3">
        <v>45314</v>
      </c>
      <c r="E600" t="s">
        <v>2391</v>
      </c>
      <c r="F600" t="s">
        <v>2422</v>
      </c>
      <c r="G600" t="s">
        <v>2366</v>
      </c>
      <c r="H600">
        <v>0</v>
      </c>
      <c r="I600" s="1">
        <v>292.5</v>
      </c>
      <c r="J600" s="1">
        <v>0</v>
      </c>
      <c r="K600">
        <v>12</v>
      </c>
      <c r="L600">
        <f>IF(E600="4. Renewal - MRR",IF(I600&lt;=0,0,VLOOKUP(B600,Multipliers!A:L,MATCH(K600,Multipliers!$A$1:$L$1,0),FALSE)),VLOOKUP(B600,Multipliers!A:L,MATCH(K600,Multipliers!$A$1:$L$1,0),FALSE))</f>
        <v>0.15</v>
      </c>
      <c r="M600">
        <f t="shared" si="36"/>
        <v>0</v>
      </c>
      <c r="N600" s="1">
        <f>_xlfn.XLOOKUP(A600,'Product Detail'!$AG:$AG,'Product Detail'!$AH:$AH,"N/A")</f>
        <v>0</v>
      </c>
      <c r="O600" s="1">
        <f t="shared" si="37"/>
        <v>43.875</v>
      </c>
      <c r="P600" s="4">
        <f t="shared" si="38"/>
        <v>45352</v>
      </c>
      <c r="Q600" s="4">
        <f t="shared" si="39"/>
        <v>45413</v>
      </c>
    </row>
    <row r="601" spans="1:17" x14ac:dyDescent="0.25">
      <c r="A601" s="35" t="s">
        <v>2310</v>
      </c>
      <c r="B601" t="s">
        <v>2385</v>
      </c>
      <c r="C601" t="str">
        <f>_xlfn.XLOOKUP(B601,Multipliers!A:A,Multipliers!C:C)</f>
        <v>John Powell</v>
      </c>
      <c r="D601" s="3">
        <v>45314</v>
      </c>
      <c r="E601" t="s">
        <v>2391</v>
      </c>
      <c r="F601" t="s">
        <v>2423</v>
      </c>
      <c r="G601" t="s">
        <v>2367</v>
      </c>
      <c r="H601">
        <v>0</v>
      </c>
      <c r="I601" s="1">
        <v>0</v>
      </c>
      <c r="J601" s="1">
        <v>0</v>
      </c>
      <c r="K601">
        <v>0</v>
      </c>
      <c r="L601">
        <f>IF(E601="4. Renewal - MRR",IF(I601&lt;=0,0,VLOOKUP(B601,Multipliers!A:L,MATCH(K601,Multipliers!$A$1:$L$1,0),FALSE)),VLOOKUP(B601,Multipliers!A:L,MATCH(K601,Multipliers!$A$1:$L$1,0),FALSE))</f>
        <v>0</v>
      </c>
      <c r="M601">
        <f t="shared" si="36"/>
        <v>0</v>
      </c>
      <c r="N601" s="1">
        <f>_xlfn.XLOOKUP(A601,'Product Detail'!$AG:$AG,'Product Detail'!$AH:$AH,"N/A")</f>
        <v>281.35000000000002</v>
      </c>
      <c r="O601" s="1">
        <f t="shared" si="37"/>
        <v>0</v>
      </c>
      <c r="P601" s="4">
        <f t="shared" si="38"/>
        <v>45352</v>
      </c>
      <c r="Q601" s="4">
        <f t="shared" si="39"/>
        <v>45413</v>
      </c>
    </row>
    <row r="602" spans="1:17" x14ac:dyDescent="0.25">
      <c r="A602" s="35" t="s">
        <v>2311</v>
      </c>
      <c r="B602" t="s">
        <v>2385</v>
      </c>
      <c r="C602" t="str">
        <f>_xlfn.XLOOKUP(B602,Multipliers!A:A,Multipliers!C:C)</f>
        <v>John Powell</v>
      </c>
      <c r="D602" s="3">
        <v>45314</v>
      </c>
      <c r="E602" t="s">
        <v>2391</v>
      </c>
      <c r="F602" t="s">
        <v>2424</v>
      </c>
      <c r="G602" t="s">
        <v>2368</v>
      </c>
      <c r="H602">
        <v>0</v>
      </c>
      <c r="I602" s="1">
        <v>0</v>
      </c>
      <c r="J602" s="1">
        <v>0</v>
      </c>
      <c r="K602">
        <v>0</v>
      </c>
      <c r="L602">
        <f>IF(E602="4. Renewal - MRR",IF(I602&lt;=0,0,VLOOKUP(B602,Multipliers!A:L,MATCH(K602,Multipliers!$A$1:$L$1,0),FALSE)),VLOOKUP(B602,Multipliers!A:L,MATCH(K602,Multipliers!$A$1:$L$1,0),FALSE))</f>
        <v>0</v>
      </c>
      <c r="M602">
        <f t="shared" si="36"/>
        <v>0</v>
      </c>
      <c r="N602" s="1">
        <f>_xlfn.XLOOKUP(A602,'Product Detail'!$AG:$AG,'Product Detail'!$AH:$AH,"N/A")</f>
        <v>21.984400000000011</v>
      </c>
      <c r="O602" s="1">
        <f t="shared" si="37"/>
        <v>0</v>
      </c>
      <c r="P602" s="4">
        <f t="shared" si="38"/>
        <v>45352</v>
      </c>
      <c r="Q602" s="4">
        <f t="shared" si="39"/>
        <v>45413</v>
      </c>
    </row>
    <row r="603" spans="1:17" x14ac:dyDescent="0.25">
      <c r="A603" s="35" t="s">
        <v>2312</v>
      </c>
      <c r="B603" t="s">
        <v>2385</v>
      </c>
      <c r="C603" t="str">
        <f>_xlfn.XLOOKUP(B603,Multipliers!A:A,Multipliers!C:C)</f>
        <v>John Powell</v>
      </c>
      <c r="D603" s="3">
        <v>45314</v>
      </c>
      <c r="E603" t="s">
        <v>2391</v>
      </c>
      <c r="F603" t="s">
        <v>2425</v>
      </c>
      <c r="G603" t="s">
        <v>2369</v>
      </c>
      <c r="H603">
        <v>0</v>
      </c>
      <c r="I603" s="1">
        <v>0</v>
      </c>
      <c r="J603" s="1">
        <v>0</v>
      </c>
      <c r="K603">
        <v>0</v>
      </c>
      <c r="L603">
        <f>IF(E603="4. Renewal - MRR",IF(I603&lt;=0,0,VLOOKUP(B603,Multipliers!A:L,MATCH(K603,Multipliers!$A$1:$L$1,0),FALSE)),VLOOKUP(B603,Multipliers!A:L,MATCH(K603,Multipliers!$A$1:$L$1,0),FALSE))</f>
        <v>0</v>
      </c>
      <c r="M603">
        <f t="shared" si="36"/>
        <v>0</v>
      </c>
      <c r="N603" s="1">
        <f>_xlfn.XLOOKUP(A603,'Product Detail'!$AG:$AG,'Product Detail'!$AH:$AH,"N/A")</f>
        <v>63.582550000000019</v>
      </c>
      <c r="O603" s="1">
        <f t="shared" si="37"/>
        <v>0</v>
      </c>
      <c r="P603" s="4">
        <f t="shared" si="38"/>
        <v>45352</v>
      </c>
      <c r="Q603" s="4">
        <f t="shared" si="39"/>
        <v>45413</v>
      </c>
    </row>
    <row r="604" spans="1:17" x14ac:dyDescent="0.25">
      <c r="A604" s="35" t="s">
        <v>2313</v>
      </c>
      <c r="B604" t="s">
        <v>2385</v>
      </c>
      <c r="C604" t="str">
        <f>_xlfn.XLOOKUP(B604,Multipliers!A:A,Multipliers!C:C)</f>
        <v>John Powell</v>
      </c>
      <c r="D604" s="3">
        <v>45314</v>
      </c>
      <c r="E604" t="s">
        <v>2391</v>
      </c>
      <c r="F604" t="s">
        <v>2426</v>
      </c>
      <c r="G604" t="s">
        <v>2370</v>
      </c>
      <c r="H604">
        <v>0</v>
      </c>
      <c r="I604" s="1">
        <v>0</v>
      </c>
      <c r="J604" s="1">
        <v>0</v>
      </c>
      <c r="K604">
        <v>0</v>
      </c>
      <c r="L604">
        <f>IF(E604="4. Renewal - MRR",IF(I604&lt;=0,0,VLOOKUP(B604,Multipliers!A:L,MATCH(K604,Multipliers!$A$1:$L$1,0),FALSE)),VLOOKUP(B604,Multipliers!A:L,MATCH(K604,Multipliers!$A$1:$L$1,0),FALSE))</f>
        <v>0</v>
      </c>
      <c r="M604">
        <f t="shared" si="36"/>
        <v>0</v>
      </c>
      <c r="N604" s="1">
        <f>_xlfn.XLOOKUP(A604,'Product Detail'!$AG:$AG,'Product Detail'!$AH:$AH,"N/A")</f>
        <v>65.273200000000017</v>
      </c>
      <c r="O604" s="1">
        <f t="shared" si="37"/>
        <v>0</v>
      </c>
      <c r="P604" s="4">
        <f t="shared" si="38"/>
        <v>45352</v>
      </c>
      <c r="Q604" s="4">
        <f t="shared" si="39"/>
        <v>45413</v>
      </c>
    </row>
    <row r="605" spans="1:17" x14ac:dyDescent="0.25">
      <c r="A605" s="35" t="s">
        <v>2314</v>
      </c>
      <c r="B605" t="s">
        <v>2385</v>
      </c>
      <c r="C605" t="str">
        <f>_xlfn.XLOOKUP(B605,Multipliers!A:A,Multipliers!C:C)</f>
        <v>John Powell</v>
      </c>
      <c r="D605" s="3">
        <v>45314</v>
      </c>
      <c r="E605" t="s">
        <v>2391</v>
      </c>
      <c r="F605" t="s">
        <v>1969</v>
      </c>
      <c r="G605" t="s">
        <v>2371</v>
      </c>
      <c r="H605">
        <v>0</v>
      </c>
      <c r="I605" s="1">
        <v>0</v>
      </c>
      <c r="J605" s="1">
        <v>0</v>
      </c>
      <c r="K605">
        <v>0</v>
      </c>
      <c r="L605">
        <f>IF(E605="4. Renewal - MRR",IF(I605&lt;=0,0,VLOOKUP(B605,Multipliers!A:L,MATCH(K605,Multipliers!$A$1:$L$1,0),FALSE)),VLOOKUP(B605,Multipliers!A:L,MATCH(K605,Multipliers!$A$1:$L$1,0),FALSE))</f>
        <v>0</v>
      </c>
      <c r="M605">
        <f t="shared" si="36"/>
        <v>0</v>
      </c>
      <c r="N605" s="1">
        <f>_xlfn.XLOOKUP(A605,'Product Detail'!$AG:$AG,'Product Detail'!$AH:$AH,"N/A")</f>
        <v>0.79730000000000023</v>
      </c>
      <c r="O605" s="1">
        <f t="shared" si="37"/>
        <v>0</v>
      </c>
      <c r="P605" s="4">
        <f t="shared" si="38"/>
        <v>45352</v>
      </c>
      <c r="Q605" s="4">
        <f t="shared" si="39"/>
        <v>45413</v>
      </c>
    </row>
    <row r="606" spans="1:17" x14ac:dyDescent="0.25">
      <c r="A606" s="35" t="s">
        <v>2315</v>
      </c>
      <c r="B606" t="s">
        <v>2385</v>
      </c>
      <c r="C606" t="str">
        <f>_xlfn.XLOOKUP(B606,Multipliers!A:A,Multipliers!C:C)</f>
        <v>John Powell</v>
      </c>
      <c r="D606" s="3">
        <v>45314</v>
      </c>
      <c r="E606" t="s">
        <v>2391</v>
      </c>
      <c r="F606" t="s">
        <v>2396</v>
      </c>
      <c r="G606" t="s">
        <v>2372</v>
      </c>
      <c r="H606">
        <v>0</v>
      </c>
      <c r="I606" s="1">
        <v>0</v>
      </c>
      <c r="J606" s="1">
        <v>0</v>
      </c>
      <c r="K606">
        <v>0</v>
      </c>
      <c r="L606">
        <f>IF(E606="4. Renewal - MRR",IF(I606&lt;=0,0,VLOOKUP(B606,Multipliers!A:L,MATCH(K606,Multipliers!$A$1:$L$1,0),FALSE)),VLOOKUP(B606,Multipliers!A:L,MATCH(K606,Multipliers!$A$1:$L$1,0),FALSE))</f>
        <v>0</v>
      </c>
      <c r="M606">
        <f t="shared" si="36"/>
        <v>0</v>
      </c>
      <c r="N606" s="1">
        <f>_xlfn.XLOOKUP(A606,'Product Detail'!$AG:$AG,'Product Detail'!$AH:$AH,"N/A")</f>
        <v>2.1556000000000002</v>
      </c>
      <c r="O606" s="1">
        <f t="shared" si="37"/>
        <v>0</v>
      </c>
      <c r="P606" s="4">
        <f t="shared" si="38"/>
        <v>45352</v>
      </c>
      <c r="Q606" s="4">
        <f t="shared" si="39"/>
        <v>45413</v>
      </c>
    </row>
    <row r="607" spans="1:17" x14ac:dyDescent="0.25">
      <c r="A607" s="35" t="s">
        <v>2316</v>
      </c>
      <c r="B607" t="s">
        <v>2385</v>
      </c>
      <c r="C607" t="str">
        <f>_xlfn.XLOOKUP(B607,Multipliers!A:A,Multipliers!C:C)</f>
        <v>John Powell</v>
      </c>
      <c r="D607" s="3">
        <v>45314</v>
      </c>
      <c r="E607" t="s">
        <v>2391</v>
      </c>
      <c r="F607" t="s">
        <v>2427</v>
      </c>
      <c r="G607" t="s">
        <v>2373</v>
      </c>
      <c r="H607">
        <v>0</v>
      </c>
      <c r="I607" s="1">
        <v>0</v>
      </c>
      <c r="J607" s="1">
        <v>0</v>
      </c>
      <c r="K607">
        <v>0</v>
      </c>
      <c r="L607">
        <f>IF(E607="4. Renewal - MRR",IF(I607&lt;=0,0,VLOOKUP(B607,Multipliers!A:L,MATCH(K607,Multipliers!$A$1:$L$1,0),FALSE)),VLOOKUP(B607,Multipliers!A:L,MATCH(K607,Multipliers!$A$1:$L$1,0),FALSE))</f>
        <v>0</v>
      </c>
      <c r="M607">
        <f t="shared" si="36"/>
        <v>0</v>
      </c>
      <c r="N607" s="1">
        <f>_xlfn.XLOOKUP(A607,'Product Detail'!$AG:$AG,'Product Detail'!$AH:$AH,"N/A")</f>
        <v>14.044550000000003</v>
      </c>
      <c r="O607" s="1">
        <f t="shared" si="37"/>
        <v>0</v>
      </c>
      <c r="P607" s="4">
        <f t="shared" si="38"/>
        <v>45352</v>
      </c>
      <c r="Q607" s="4">
        <f t="shared" si="39"/>
        <v>45413</v>
      </c>
    </row>
    <row r="608" spans="1:17" x14ac:dyDescent="0.25">
      <c r="A608" s="35" t="s">
        <v>2317</v>
      </c>
      <c r="B608" t="s">
        <v>2385</v>
      </c>
      <c r="C608" t="str">
        <f>_xlfn.XLOOKUP(B608,Multipliers!A:A,Multipliers!C:C)</f>
        <v>John Powell</v>
      </c>
      <c r="D608" s="3">
        <v>45314</v>
      </c>
      <c r="E608" t="s">
        <v>2391</v>
      </c>
      <c r="F608" t="s">
        <v>1969</v>
      </c>
      <c r="G608" t="s">
        <v>2374</v>
      </c>
      <c r="H608">
        <v>0</v>
      </c>
      <c r="I608" s="1">
        <v>0</v>
      </c>
      <c r="J608" s="1">
        <v>0</v>
      </c>
      <c r="K608">
        <v>0</v>
      </c>
      <c r="L608">
        <f>IF(E608="4. Renewal - MRR",IF(I608&lt;=0,0,VLOOKUP(B608,Multipliers!A:L,MATCH(K608,Multipliers!$A$1:$L$1,0),FALSE)),VLOOKUP(B608,Multipliers!A:L,MATCH(K608,Multipliers!$A$1:$L$1,0),FALSE))</f>
        <v>0</v>
      </c>
      <c r="M608">
        <f t="shared" si="36"/>
        <v>0</v>
      </c>
      <c r="N608" s="1">
        <f>_xlfn.XLOOKUP(A608,'Product Detail'!$AG:$AG,'Product Detail'!$AH:$AH,"N/A")</f>
        <v>52.02</v>
      </c>
      <c r="O608" s="1">
        <f t="shared" si="37"/>
        <v>0</v>
      </c>
      <c r="P608" s="4">
        <f t="shared" si="38"/>
        <v>45352</v>
      </c>
      <c r="Q608" s="4">
        <f t="shared" si="39"/>
        <v>45413</v>
      </c>
    </row>
    <row r="609" spans="1:17" x14ac:dyDescent="0.25">
      <c r="A609" s="35" t="s">
        <v>2318</v>
      </c>
      <c r="B609" t="s">
        <v>143</v>
      </c>
      <c r="C609" t="str">
        <f>_xlfn.XLOOKUP(B609,Multipliers!A:A,Multipliers!C:C)</f>
        <v>Anthony Laiewski</v>
      </c>
      <c r="D609" s="3">
        <v>45315</v>
      </c>
      <c r="E609" t="s">
        <v>2391</v>
      </c>
      <c r="F609" t="s">
        <v>2428</v>
      </c>
      <c r="G609" t="s">
        <v>2375</v>
      </c>
      <c r="H609">
        <v>0</v>
      </c>
      <c r="I609" s="1">
        <v>1200</v>
      </c>
      <c r="J609" s="1">
        <v>0</v>
      </c>
      <c r="K609">
        <v>24</v>
      </c>
      <c r="L609">
        <f>IF(E609="4. Renewal - MRR",IF(I609&lt;=0,0,VLOOKUP(B609,Multipliers!A:L,MATCH(K609,Multipliers!$A$1:$L$1,0),FALSE)),VLOOKUP(B609,Multipliers!A:L,MATCH(K609,Multipliers!$A$1:$L$1,0),FALSE))</f>
        <v>0.25</v>
      </c>
      <c r="M609">
        <f t="shared" si="36"/>
        <v>0</v>
      </c>
      <c r="N609" s="1">
        <f>_xlfn.XLOOKUP(A609,'Product Detail'!$AG:$AG,'Product Detail'!$AH:$AH,"N/A")</f>
        <v>0</v>
      </c>
      <c r="O609" s="1">
        <f t="shared" si="37"/>
        <v>300</v>
      </c>
      <c r="P609" s="4">
        <f t="shared" si="38"/>
        <v>45352</v>
      </c>
      <c r="Q609" s="4">
        <f t="shared" si="39"/>
        <v>45413</v>
      </c>
    </row>
    <row r="610" spans="1:17" x14ac:dyDescent="0.25">
      <c r="A610" s="35" t="s">
        <v>2319</v>
      </c>
      <c r="B610" t="s">
        <v>2385</v>
      </c>
      <c r="C610" t="str">
        <f>_xlfn.XLOOKUP(B610,Multipliers!A:A,Multipliers!C:C)</f>
        <v>John Powell</v>
      </c>
      <c r="D610" s="3">
        <v>45315</v>
      </c>
      <c r="E610" t="s">
        <v>2391</v>
      </c>
      <c r="F610" t="s">
        <v>2429</v>
      </c>
      <c r="G610" t="s">
        <v>2376</v>
      </c>
      <c r="H610">
        <v>0</v>
      </c>
      <c r="I610" s="1">
        <v>0</v>
      </c>
      <c r="J610" s="1">
        <v>0</v>
      </c>
      <c r="K610">
        <v>0</v>
      </c>
      <c r="L610">
        <f>IF(E610="4. Renewal - MRR",IF(I610&lt;=0,0,VLOOKUP(B610,Multipliers!A:L,MATCH(K610,Multipliers!$A$1:$L$1,0),FALSE)),VLOOKUP(B610,Multipliers!A:L,MATCH(K610,Multipliers!$A$1:$L$1,0),FALSE))</f>
        <v>0</v>
      </c>
      <c r="M610">
        <f t="shared" si="36"/>
        <v>0</v>
      </c>
      <c r="N610" s="1">
        <f>_xlfn.XLOOKUP(A610,'Product Detail'!$AG:$AG,'Product Detail'!$AH:$AH,"N/A")</f>
        <v>20.495199999999993</v>
      </c>
      <c r="O610" s="1">
        <f t="shared" si="37"/>
        <v>0</v>
      </c>
      <c r="P610" s="4">
        <f t="shared" si="38"/>
        <v>45352</v>
      </c>
      <c r="Q610" s="4">
        <f t="shared" si="39"/>
        <v>45413</v>
      </c>
    </row>
    <row r="611" spans="1:17" x14ac:dyDescent="0.25">
      <c r="A611" s="35" t="s">
        <v>2320</v>
      </c>
      <c r="B611" t="s">
        <v>2385</v>
      </c>
      <c r="C611" t="str">
        <f>_xlfn.XLOOKUP(B611,Multipliers!A:A,Multipliers!C:C)</f>
        <v>John Powell</v>
      </c>
      <c r="D611" s="3">
        <v>45316</v>
      </c>
      <c r="E611" t="s">
        <v>2391</v>
      </c>
      <c r="F611" t="s">
        <v>2399</v>
      </c>
      <c r="G611" t="s">
        <v>2377</v>
      </c>
      <c r="H611">
        <v>0</v>
      </c>
      <c r="I611" s="1">
        <v>0</v>
      </c>
      <c r="J611" s="1">
        <v>0</v>
      </c>
      <c r="K611">
        <v>0</v>
      </c>
      <c r="L611">
        <f>IF(E611="4. Renewal - MRR",IF(I611&lt;=0,0,VLOOKUP(B611,Multipliers!A:L,MATCH(K611,Multipliers!$A$1:$L$1,0),FALSE)),VLOOKUP(B611,Multipliers!A:L,MATCH(K611,Multipliers!$A$1:$L$1,0),FALSE))</f>
        <v>0</v>
      </c>
      <c r="M611">
        <f t="shared" si="36"/>
        <v>0</v>
      </c>
      <c r="N611" s="1">
        <f>_xlfn.XLOOKUP(A611,'Product Detail'!$AG:$AG,'Product Detail'!$AH:$AH,"N/A")</f>
        <v>16.843599999999999</v>
      </c>
      <c r="O611" s="1">
        <f t="shared" si="37"/>
        <v>0</v>
      </c>
      <c r="P611" s="4">
        <f t="shared" si="38"/>
        <v>45352</v>
      </c>
      <c r="Q611" s="4">
        <f t="shared" si="39"/>
        <v>45413</v>
      </c>
    </row>
    <row r="612" spans="1:17" x14ac:dyDescent="0.25">
      <c r="A612" s="35" t="s">
        <v>2321</v>
      </c>
      <c r="B612" t="s">
        <v>2385</v>
      </c>
      <c r="C612" t="str">
        <f>_xlfn.XLOOKUP(B612,Multipliers!A:A,Multipliers!C:C)</f>
        <v>John Powell</v>
      </c>
      <c r="D612" s="3">
        <v>45316</v>
      </c>
      <c r="E612" t="s">
        <v>2391</v>
      </c>
      <c r="F612" t="s">
        <v>2397</v>
      </c>
      <c r="G612" t="s">
        <v>2378</v>
      </c>
      <c r="H612">
        <v>0</v>
      </c>
      <c r="I612" s="1">
        <v>0</v>
      </c>
      <c r="J612" s="1">
        <v>0</v>
      </c>
      <c r="K612">
        <v>0</v>
      </c>
      <c r="L612">
        <f>IF(E612="4. Renewal - MRR",IF(I612&lt;=0,0,VLOOKUP(B612,Multipliers!A:L,MATCH(K612,Multipliers!$A$1:$L$1,0),FALSE)),VLOOKUP(B612,Multipliers!A:L,MATCH(K612,Multipliers!$A$1:$L$1,0),FALSE))</f>
        <v>0</v>
      </c>
      <c r="M612">
        <f t="shared" si="36"/>
        <v>0</v>
      </c>
      <c r="N612" s="1">
        <f>_xlfn.XLOOKUP(A612,'Product Detail'!$AG:$AG,'Product Detail'!$AH:$AH,"N/A")</f>
        <v>214.91314999999997</v>
      </c>
      <c r="O612" s="1">
        <f t="shared" si="37"/>
        <v>0</v>
      </c>
      <c r="P612" s="4">
        <f t="shared" si="38"/>
        <v>45352</v>
      </c>
      <c r="Q612" s="4">
        <f t="shared" si="39"/>
        <v>45413</v>
      </c>
    </row>
    <row r="613" spans="1:17" x14ac:dyDescent="0.25">
      <c r="A613" s="35" t="s">
        <v>2322</v>
      </c>
      <c r="B613" t="s">
        <v>2385</v>
      </c>
      <c r="C613" t="str">
        <f>_xlfn.XLOOKUP(B613,Multipliers!A:A,Multipliers!C:C)</f>
        <v>John Powell</v>
      </c>
      <c r="D613" s="3">
        <v>45317</v>
      </c>
      <c r="E613" t="s">
        <v>2391</v>
      </c>
      <c r="F613" t="s">
        <v>2430</v>
      </c>
      <c r="G613" t="s">
        <v>2379</v>
      </c>
      <c r="H613">
        <v>0</v>
      </c>
      <c r="I613" s="1">
        <v>0</v>
      </c>
      <c r="J613" s="1">
        <v>0</v>
      </c>
      <c r="K613">
        <v>0</v>
      </c>
      <c r="L613">
        <f>IF(E613="4. Renewal - MRR",IF(I613&lt;=0,0,VLOOKUP(B613,Multipliers!A:L,MATCH(K613,Multipliers!$A$1:$L$1,0),FALSE)),VLOOKUP(B613,Multipliers!A:L,MATCH(K613,Multipliers!$A$1:$L$1,0),FALSE))</f>
        <v>0</v>
      </c>
      <c r="M613">
        <f t="shared" si="36"/>
        <v>0</v>
      </c>
      <c r="N613" s="1">
        <f>_xlfn.XLOOKUP(A613,'Product Detail'!$AG:$AG,'Product Detail'!$AH:$AH,"N/A")</f>
        <v>172.43950000000007</v>
      </c>
      <c r="O613" s="1">
        <f t="shared" si="37"/>
        <v>0</v>
      </c>
      <c r="P613" s="4">
        <f t="shared" si="38"/>
        <v>45352</v>
      </c>
      <c r="Q613" s="4">
        <f t="shared" si="39"/>
        <v>45413</v>
      </c>
    </row>
    <row r="614" spans="1:17" x14ac:dyDescent="0.25">
      <c r="A614" s="35" t="s">
        <v>2323</v>
      </c>
      <c r="B614" t="s">
        <v>2385</v>
      </c>
      <c r="C614" t="str">
        <f>_xlfn.XLOOKUP(B614,Multipliers!A:A,Multipliers!C:C)</f>
        <v>John Powell</v>
      </c>
      <c r="D614" s="3">
        <v>45318</v>
      </c>
      <c r="E614" t="s">
        <v>2391</v>
      </c>
      <c r="F614" t="s">
        <v>2431</v>
      </c>
      <c r="G614" t="s">
        <v>2380</v>
      </c>
      <c r="H614">
        <v>0</v>
      </c>
      <c r="I614" s="1">
        <v>0</v>
      </c>
      <c r="J614" s="1">
        <v>0</v>
      </c>
      <c r="K614">
        <v>0</v>
      </c>
      <c r="L614">
        <f>IF(E614="4. Renewal - MRR",IF(I614&lt;=0,0,VLOOKUP(B614,Multipliers!A:L,MATCH(K614,Multipliers!$A$1:$L$1,0),FALSE)),VLOOKUP(B614,Multipliers!A:L,MATCH(K614,Multipliers!$A$1:$L$1,0),FALSE))</f>
        <v>0</v>
      </c>
      <c r="M614">
        <f t="shared" si="36"/>
        <v>0</v>
      </c>
      <c r="N614" s="1">
        <f>_xlfn.XLOOKUP(A614,'Product Detail'!$AG:$AG,'Product Detail'!$AH:$AH,"N/A")</f>
        <v>32.816799999999994</v>
      </c>
      <c r="O614" s="1">
        <f t="shared" si="37"/>
        <v>0</v>
      </c>
      <c r="P614" s="4">
        <f t="shared" si="38"/>
        <v>45352</v>
      </c>
      <c r="Q614" s="4">
        <f t="shared" si="39"/>
        <v>45413</v>
      </c>
    </row>
    <row r="615" spans="1:17" x14ac:dyDescent="0.25">
      <c r="A615" s="35" t="s">
        <v>2324</v>
      </c>
      <c r="B615" t="s">
        <v>2385</v>
      </c>
      <c r="C615" t="str">
        <f>_xlfn.XLOOKUP(B615,Multipliers!A:A,Multipliers!C:C)</f>
        <v>John Powell</v>
      </c>
      <c r="D615" s="3">
        <v>45320</v>
      </c>
      <c r="E615" t="s">
        <v>2391</v>
      </c>
      <c r="F615" t="s">
        <v>2432</v>
      </c>
      <c r="G615" t="s">
        <v>2381</v>
      </c>
      <c r="H615">
        <v>0</v>
      </c>
      <c r="I615" s="1">
        <v>0</v>
      </c>
      <c r="J615" s="1">
        <v>0</v>
      </c>
      <c r="K615">
        <v>0</v>
      </c>
      <c r="L615">
        <f>IF(E615="4. Renewal - MRR",IF(I615&lt;=0,0,VLOOKUP(B615,Multipliers!A:L,MATCH(K615,Multipliers!$A$1:$L$1,0),FALSE)),VLOOKUP(B615,Multipliers!A:L,MATCH(K615,Multipliers!$A$1:$L$1,0),FALSE))</f>
        <v>0</v>
      </c>
      <c r="M615">
        <f t="shared" si="36"/>
        <v>0</v>
      </c>
      <c r="N615" s="1">
        <f>_xlfn.XLOOKUP(A615,'Product Detail'!$AG:$AG,'Product Detail'!$AH:$AH,"N/A")</f>
        <v>54.790999999999997</v>
      </c>
      <c r="O615" s="1">
        <f t="shared" si="37"/>
        <v>0</v>
      </c>
      <c r="P615" s="4">
        <f t="shared" si="38"/>
        <v>45352</v>
      </c>
      <c r="Q615" s="4">
        <f t="shared" si="39"/>
        <v>45413</v>
      </c>
    </row>
    <row r="616" spans="1:17" x14ac:dyDescent="0.25">
      <c r="A616" s="35" t="s">
        <v>2325</v>
      </c>
      <c r="B616" t="s">
        <v>70</v>
      </c>
      <c r="C616" t="str">
        <f>_xlfn.XLOOKUP(B616,Multipliers!A:A,Multipliers!C:C)</f>
        <v>John Powell</v>
      </c>
      <c r="D616" s="3">
        <v>45321</v>
      </c>
      <c r="E616" t="s">
        <v>2391</v>
      </c>
      <c r="F616" t="s">
        <v>2433</v>
      </c>
      <c r="G616" t="s">
        <v>2382</v>
      </c>
      <c r="H616">
        <v>0</v>
      </c>
      <c r="I616" s="1">
        <v>0</v>
      </c>
      <c r="J616" s="1">
        <v>0</v>
      </c>
      <c r="K616">
        <v>0</v>
      </c>
      <c r="L616">
        <f>IF(E616="4. Renewal - MRR",IF(I616&lt;=0,0,VLOOKUP(B616,Multipliers!A:L,MATCH(K616,Multipliers!$A$1:$L$1,0),FALSE)),VLOOKUP(B616,Multipliers!A:L,MATCH(K616,Multipliers!$A$1:$L$1,0),FALSE))</f>
        <v>0</v>
      </c>
      <c r="M616">
        <f t="shared" si="36"/>
        <v>0</v>
      </c>
      <c r="N616" s="1">
        <f>_xlfn.XLOOKUP(A616,'Product Detail'!$AG:$AG,'Product Detail'!$AH:$AH,"N/A")</f>
        <v>0</v>
      </c>
      <c r="O616" s="1">
        <f t="shared" si="37"/>
        <v>0</v>
      </c>
      <c r="P616" s="4">
        <f t="shared" si="38"/>
        <v>45352</v>
      </c>
      <c r="Q616" s="4">
        <f t="shared" si="39"/>
        <v>45413</v>
      </c>
    </row>
    <row r="617" spans="1:17" x14ac:dyDescent="0.25">
      <c r="A617" s="35" t="s">
        <v>2326</v>
      </c>
      <c r="B617" t="s">
        <v>2385</v>
      </c>
      <c r="C617" t="str">
        <f>_xlfn.XLOOKUP(B617,Multipliers!A:A,Multipliers!C:C)</f>
        <v>John Powell</v>
      </c>
      <c r="D617" s="3">
        <v>45321</v>
      </c>
      <c r="E617" t="s">
        <v>2391</v>
      </c>
      <c r="F617" t="s">
        <v>2410</v>
      </c>
      <c r="G617" t="s">
        <v>2383</v>
      </c>
      <c r="H617">
        <v>0</v>
      </c>
      <c r="I617" s="1">
        <v>0</v>
      </c>
      <c r="J617" s="1">
        <v>0</v>
      </c>
      <c r="K617">
        <v>0</v>
      </c>
      <c r="L617">
        <f>IF(E617="4. Renewal - MRR",IF(I617&lt;=0,0,VLOOKUP(B617,Multipliers!A:L,MATCH(K617,Multipliers!$A$1:$L$1,0),FALSE)),VLOOKUP(B617,Multipliers!A:L,MATCH(K617,Multipliers!$A$1:$L$1,0),FALSE))</f>
        <v>0</v>
      </c>
      <c r="M617">
        <f t="shared" si="36"/>
        <v>0</v>
      </c>
      <c r="N617" s="1">
        <f>_xlfn.XLOOKUP(A617,'Product Detail'!$AG:$AG,'Product Detail'!$AH:$AH,"N/A")</f>
        <v>18.060800000000004</v>
      </c>
      <c r="O617" s="1">
        <f t="shared" si="37"/>
        <v>0</v>
      </c>
      <c r="P617" s="4">
        <f t="shared" si="38"/>
        <v>45352</v>
      </c>
      <c r="Q617" s="4">
        <f t="shared" si="39"/>
        <v>45413</v>
      </c>
    </row>
    <row r="618" spans="1:17" x14ac:dyDescent="0.25">
      <c r="A618" s="35" t="s">
        <v>2327</v>
      </c>
      <c r="B618" t="s">
        <v>2385</v>
      </c>
      <c r="C618" t="str">
        <f>_xlfn.XLOOKUP(B618,Multipliers!A:A,Multipliers!C:C)</f>
        <v>John Powell</v>
      </c>
      <c r="D618" s="3">
        <v>45321</v>
      </c>
      <c r="E618" t="s">
        <v>2391</v>
      </c>
      <c r="F618" t="s">
        <v>2397</v>
      </c>
      <c r="G618" t="s">
        <v>2384</v>
      </c>
      <c r="H618">
        <v>0</v>
      </c>
      <c r="I618" s="1">
        <v>0</v>
      </c>
      <c r="J618" s="1">
        <v>0</v>
      </c>
      <c r="K618">
        <v>0</v>
      </c>
      <c r="L618">
        <f>IF(E618="4. Renewal - MRR",IF(I618&lt;=0,0,VLOOKUP(B618,Multipliers!A:L,MATCH(K618,Multipliers!$A$1:$L$1,0),FALSE)),VLOOKUP(B618,Multipliers!A:L,MATCH(K618,Multipliers!$A$1:$L$1,0),FALSE))</f>
        <v>0</v>
      </c>
      <c r="M618">
        <f t="shared" si="36"/>
        <v>0</v>
      </c>
      <c r="N618" s="1">
        <f>_xlfn.XLOOKUP(A618,'Product Detail'!$AG:$AG,'Product Detail'!$AH:$AH,"N/A")</f>
        <v>8.3215000000000074</v>
      </c>
      <c r="O618" s="1">
        <f t="shared" si="37"/>
        <v>0</v>
      </c>
      <c r="P618" s="4">
        <f t="shared" si="38"/>
        <v>45352</v>
      </c>
      <c r="Q618" s="4">
        <f t="shared" si="39"/>
        <v>45413</v>
      </c>
    </row>
  </sheetData>
  <autoFilter ref="A1:Q618" xr:uid="{8725940A-7D05-4610-9001-50E0A96C9978}">
    <sortState xmlns:xlrd2="http://schemas.microsoft.com/office/spreadsheetml/2017/richdata2" ref="A2:Q618">
      <sortCondition ref="A1:A618"/>
    </sortState>
  </autoFilter>
  <conditionalFormatting sqref="A2:A115">
    <cfRule type="duplicateValues" dxfId="10" priority="11"/>
  </conditionalFormatting>
  <conditionalFormatting sqref="A533:A543">
    <cfRule type="duplicateValues" dxfId="9" priority="8"/>
  </conditionalFormatting>
  <conditionalFormatting sqref="A544">
    <cfRule type="duplicateValues" dxfId="8" priority="6"/>
    <cfRule type="duplicateValues" dxfId="7" priority="7"/>
  </conditionalFormatting>
  <conditionalFormatting sqref="A545">
    <cfRule type="duplicateValues" dxfId="6" priority="5"/>
  </conditionalFormatting>
  <conditionalFormatting sqref="A546">
    <cfRule type="duplicateValues" dxfId="5" priority="4"/>
  </conditionalFormatting>
  <conditionalFormatting sqref="A560">
    <cfRule type="duplicateValues" dxfId="4" priority="3"/>
  </conditionalFormatting>
  <conditionalFormatting sqref="A561:A618">
    <cfRule type="duplicateValues" dxfId="3" priority="26"/>
    <cfRule type="duplicateValues" dxfId="2" priority="27"/>
  </conditionalFormatting>
  <conditionalFormatting sqref="A619:A1048576 A547:A558 A1:A532">
    <cfRule type="duplicateValues" dxfId="1" priority="9"/>
    <cfRule type="duplicateValues" dxfId="0" priority="10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EB74E-8E37-4126-826C-B5610ACAA6A7}">
  <dimension ref="A1:E35"/>
  <sheetViews>
    <sheetView workbookViewId="0">
      <selection activeCell="E35" sqref="D35:E35"/>
    </sheetView>
  </sheetViews>
  <sheetFormatPr defaultRowHeight="15" x14ac:dyDescent="0.25"/>
  <cols>
    <col min="1" max="1" width="19" bestFit="1" customWidth="1"/>
    <col min="2" max="2" width="16.42578125" bestFit="1" customWidth="1"/>
    <col min="3" max="3" width="20.28515625" bestFit="1" customWidth="1"/>
    <col min="4" max="4" width="24.140625" bestFit="1" customWidth="1"/>
    <col min="5" max="5" width="24" bestFit="1" customWidth="1"/>
  </cols>
  <sheetData>
    <row r="1" spans="1:5" x14ac:dyDescent="0.25">
      <c r="A1" s="30" t="s">
        <v>52</v>
      </c>
      <c r="B1" t="s">
        <v>2443</v>
      </c>
      <c r="C1" t="s">
        <v>2444</v>
      </c>
      <c r="D1" t="s">
        <v>2462</v>
      </c>
      <c r="E1" t="s">
        <v>2461</v>
      </c>
    </row>
    <row r="2" spans="1:5" x14ac:dyDescent="0.25">
      <c r="A2" s="19" t="s">
        <v>140</v>
      </c>
      <c r="B2">
        <v>62.4</v>
      </c>
      <c r="C2">
        <v>133.82</v>
      </c>
      <c r="D2">
        <v>9.36</v>
      </c>
      <c r="E2">
        <v>1323.3664000000001</v>
      </c>
    </row>
    <row r="3" spans="1:5" x14ac:dyDescent="0.25">
      <c r="A3" s="19" t="s">
        <v>2385</v>
      </c>
      <c r="B3">
        <v>0</v>
      </c>
      <c r="C3">
        <v>0</v>
      </c>
      <c r="D3">
        <v>0</v>
      </c>
      <c r="E3">
        <v>2923.3174500000014</v>
      </c>
    </row>
    <row r="4" spans="1:5" x14ac:dyDescent="0.25">
      <c r="A4" s="19" t="s">
        <v>174</v>
      </c>
      <c r="B4">
        <v>50.330000000000005</v>
      </c>
      <c r="C4">
        <v>1.55</v>
      </c>
      <c r="D4">
        <v>0</v>
      </c>
      <c r="E4">
        <v>0</v>
      </c>
    </row>
    <row r="5" spans="1:5" x14ac:dyDescent="0.25">
      <c r="A5" s="19" t="s">
        <v>151</v>
      </c>
      <c r="B5">
        <v>20</v>
      </c>
      <c r="C5">
        <v>2553</v>
      </c>
      <c r="D5">
        <v>10</v>
      </c>
      <c r="E5">
        <v>255.60319999999999</v>
      </c>
    </row>
    <row r="6" spans="1:5" x14ac:dyDescent="0.25">
      <c r="A6" s="19" t="s">
        <v>121</v>
      </c>
      <c r="B6">
        <v>5322.97</v>
      </c>
      <c r="C6">
        <v>0</v>
      </c>
      <c r="D6">
        <v>1863.0394999999999</v>
      </c>
      <c r="E6">
        <v>0</v>
      </c>
    </row>
    <row r="7" spans="1:5" x14ac:dyDescent="0.25">
      <c r="A7" s="19" t="s">
        <v>117</v>
      </c>
      <c r="B7">
        <v>4045.35</v>
      </c>
      <c r="C7">
        <v>0</v>
      </c>
      <c r="D7">
        <v>4045.35</v>
      </c>
      <c r="E7">
        <v>269</v>
      </c>
    </row>
    <row r="8" spans="1:5" x14ac:dyDescent="0.25">
      <c r="A8" s="19" t="s">
        <v>178</v>
      </c>
      <c r="B8">
        <v>0</v>
      </c>
      <c r="C8">
        <v>0</v>
      </c>
      <c r="D8">
        <v>0</v>
      </c>
      <c r="E8">
        <v>0</v>
      </c>
    </row>
    <row r="9" spans="1:5" x14ac:dyDescent="0.25">
      <c r="A9" s="19" t="s">
        <v>56</v>
      </c>
      <c r="B9">
        <v>1197.5899999999999</v>
      </c>
      <c r="C9">
        <v>7484</v>
      </c>
      <c r="D9">
        <v>2329.13625</v>
      </c>
      <c r="E9">
        <v>2052.3482999999992</v>
      </c>
    </row>
    <row r="10" spans="1:5" x14ac:dyDescent="0.25">
      <c r="A10" s="19" t="s">
        <v>156</v>
      </c>
      <c r="B10">
        <v>1505</v>
      </c>
      <c r="C10">
        <v>0</v>
      </c>
      <c r="D10">
        <v>216.75</v>
      </c>
      <c r="E10">
        <v>678.57639999999992</v>
      </c>
    </row>
    <row r="11" spans="1:5" x14ac:dyDescent="0.25">
      <c r="A11" s="19" t="s">
        <v>2386</v>
      </c>
      <c r="B11">
        <v>5680</v>
      </c>
      <c r="C11">
        <v>0</v>
      </c>
      <c r="D11">
        <v>2840</v>
      </c>
      <c r="E11">
        <v>108.74180000000001</v>
      </c>
    </row>
    <row r="12" spans="1:5" x14ac:dyDescent="0.25">
      <c r="A12" s="19" t="s">
        <v>2387</v>
      </c>
      <c r="B12">
        <v>540</v>
      </c>
      <c r="C12">
        <v>0</v>
      </c>
      <c r="D12">
        <v>167.625</v>
      </c>
      <c r="E12">
        <v>19.8</v>
      </c>
    </row>
    <row r="13" spans="1:5" x14ac:dyDescent="0.25">
      <c r="A13" s="19" t="s">
        <v>166</v>
      </c>
      <c r="B13">
        <v>0</v>
      </c>
      <c r="C13">
        <v>0</v>
      </c>
      <c r="D13">
        <v>0</v>
      </c>
      <c r="E13">
        <v>428</v>
      </c>
    </row>
    <row r="14" spans="1:5" x14ac:dyDescent="0.25">
      <c r="A14" s="19" t="s">
        <v>147</v>
      </c>
      <c r="B14">
        <v>3250.75</v>
      </c>
      <c r="C14">
        <v>0.9</v>
      </c>
      <c r="D14">
        <v>1625.0225</v>
      </c>
      <c r="E14">
        <v>562.7396</v>
      </c>
    </row>
    <row r="15" spans="1:5" x14ac:dyDescent="0.25">
      <c r="A15" s="19" t="s">
        <v>90</v>
      </c>
      <c r="B15">
        <v>9153.5400000000009</v>
      </c>
      <c r="C15">
        <v>0</v>
      </c>
      <c r="D15">
        <v>3203.739</v>
      </c>
      <c r="E15">
        <v>0</v>
      </c>
    </row>
    <row r="16" spans="1:5" x14ac:dyDescent="0.25">
      <c r="A16" s="19" t="s">
        <v>181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19" t="s">
        <v>61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19" t="s">
        <v>66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19" t="s">
        <v>51</v>
      </c>
      <c r="B19">
        <v>20</v>
      </c>
      <c r="C19">
        <v>0</v>
      </c>
      <c r="D19">
        <v>0</v>
      </c>
      <c r="E19">
        <v>2435.5672500000005</v>
      </c>
    </row>
    <row r="20" spans="1:5" x14ac:dyDescent="0.25">
      <c r="A20" s="19" t="s">
        <v>1874</v>
      </c>
      <c r="B20">
        <v>2485.2799999999997</v>
      </c>
      <c r="C20">
        <v>1579</v>
      </c>
      <c r="D20">
        <v>1438.8910000000001</v>
      </c>
      <c r="E20">
        <v>4248.5255999999999</v>
      </c>
    </row>
    <row r="21" spans="1:5" x14ac:dyDescent="0.25">
      <c r="A21" s="19" t="s">
        <v>188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19" t="s">
        <v>184</v>
      </c>
      <c r="B22">
        <v>27</v>
      </c>
      <c r="C22">
        <v>0</v>
      </c>
      <c r="D22">
        <v>0</v>
      </c>
      <c r="E22">
        <v>0</v>
      </c>
    </row>
    <row r="23" spans="1:5" x14ac:dyDescent="0.25">
      <c r="A23" s="19" t="s">
        <v>150</v>
      </c>
      <c r="B23">
        <v>264.75</v>
      </c>
      <c r="C23">
        <v>0</v>
      </c>
      <c r="D23">
        <v>74.762500000000017</v>
      </c>
      <c r="E23">
        <v>536.42240000000004</v>
      </c>
    </row>
    <row r="24" spans="1:5" x14ac:dyDescent="0.25">
      <c r="A24" s="19" t="s">
        <v>132</v>
      </c>
      <c r="B24">
        <v>2018.87</v>
      </c>
      <c r="C24">
        <v>266.71000000000004</v>
      </c>
      <c r="D24">
        <v>913.68100000000004</v>
      </c>
      <c r="E24">
        <v>5700.6735999999992</v>
      </c>
    </row>
    <row r="25" spans="1:5" x14ac:dyDescent="0.25">
      <c r="A25" s="19" t="s">
        <v>70</v>
      </c>
      <c r="B25">
        <v>2.09</v>
      </c>
      <c r="C25">
        <v>0</v>
      </c>
      <c r="D25">
        <v>0</v>
      </c>
      <c r="E25">
        <v>0</v>
      </c>
    </row>
    <row r="26" spans="1:5" x14ac:dyDescent="0.25">
      <c r="A26" s="19" t="s">
        <v>143</v>
      </c>
      <c r="B26">
        <v>1200</v>
      </c>
      <c r="C26">
        <v>0</v>
      </c>
      <c r="D26">
        <v>300</v>
      </c>
      <c r="E26">
        <v>0</v>
      </c>
    </row>
    <row r="27" spans="1:5" x14ac:dyDescent="0.25">
      <c r="A27" s="19" t="s">
        <v>47</v>
      </c>
      <c r="B27">
        <v>566.95000000000005</v>
      </c>
      <c r="C27">
        <v>0</v>
      </c>
      <c r="D27">
        <v>367.76375000000007</v>
      </c>
      <c r="E27">
        <v>811.78245000000004</v>
      </c>
    </row>
    <row r="28" spans="1:5" x14ac:dyDescent="0.25">
      <c r="A28" s="19" t="s">
        <v>107</v>
      </c>
      <c r="B28">
        <v>353.58</v>
      </c>
      <c r="C28">
        <v>0</v>
      </c>
      <c r="D28">
        <v>335.89350000000002</v>
      </c>
      <c r="E28">
        <v>757.05200000000013</v>
      </c>
    </row>
    <row r="29" spans="1:5" x14ac:dyDescent="0.25">
      <c r="A29" s="19" t="s">
        <v>80</v>
      </c>
      <c r="B29">
        <v>0</v>
      </c>
      <c r="C29">
        <v>0</v>
      </c>
      <c r="D29">
        <v>0</v>
      </c>
      <c r="E29">
        <v>19.905600000000003</v>
      </c>
    </row>
    <row r="30" spans="1:5" x14ac:dyDescent="0.25">
      <c r="A30" s="19" t="s">
        <v>105</v>
      </c>
      <c r="B30">
        <v>2408.69</v>
      </c>
      <c r="C30">
        <v>0</v>
      </c>
      <c r="D30">
        <v>1721.79</v>
      </c>
      <c r="E30">
        <v>964.90679999999998</v>
      </c>
    </row>
    <row r="31" spans="1:5" x14ac:dyDescent="0.25">
      <c r="A31" s="19" t="s">
        <v>43</v>
      </c>
      <c r="B31">
        <v>596.54999999999995</v>
      </c>
      <c r="C31">
        <v>9775</v>
      </c>
      <c r="D31">
        <v>2740.0000000000005</v>
      </c>
      <c r="E31">
        <v>4125.7883499999998</v>
      </c>
    </row>
    <row r="32" spans="1:5" x14ac:dyDescent="0.25">
      <c r="A32" s="19" t="s">
        <v>168</v>
      </c>
      <c r="B32">
        <v>5557</v>
      </c>
      <c r="C32">
        <v>0</v>
      </c>
      <c r="D32">
        <v>0</v>
      </c>
      <c r="E32">
        <v>0</v>
      </c>
    </row>
    <row r="33" spans="1:5" x14ac:dyDescent="0.25">
      <c r="A33" s="19" t="s">
        <v>84</v>
      </c>
      <c r="B33">
        <v>0</v>
      </c>
      <c r="C33">
        <v>0</v>
      </c>
      <c r="D33">
        <v>0</v>
      </c>
      <c r="E33">
        <v>2224</v>
      </c>
    </row>
    <row r="34" spans="1:5" x14ac:dyDescent="0.25">
      <c r="A34" s="19" t="s">
        <v>922</v>
      </c>
    </row>
    <row r="35" spans="1:5" x14ac:dyDescent="0.25">
      <c r="A35" s="19" t="s">
        <v>926</v>
      </c>
      <c r="B35">
        <v>46328.69</v>
      </c>
      <c r="C35">
        <v>21793.98</v>
      </c>
      <c r="D35">
        <v>24202.804000000004</v>
      </c>
      <c r="E35">
        <v>30446.117199999993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EB2E-E41F-4C82-AF68-780C13F03969}">
  <dimension ref="A1:Q15"/>
  <sheetViews>
    <sheetView workbookViewId="0">
      <selection activeCell="A14" sqref="A14:A15"/>
    </sheetView>
  </sheetViews>
  <sheetFormatPr defaultRowHeight="15" x14ac:dyDescent="0.25"/>
  <cols>
    <col min="1" max="2" width="16.42578125" bestFit="1" customWidth="1"/>
    <col min="3" max="3" width="20.28515625" bestFit="1" customWidth="1"/>
    <col min="6" max="6" width="14.85546875" bestFit="1" customWidth="1"/>
    <col min="7" max="7" width="10.42578125" bestFit="1" customWidth="1"/>
    <col min="9" max="9" width="21.42578125" bestFit="1" customWidth="1"/>
    <col min="10" max="10" width="17.42578125" bestFit="1" customWidth="1"/>
    <col min="12" max="12" width="14.42578125" bestFit="1" customWidth="1"/>
    <col min="13" max="13" width="23" bestFit="1" customWidth="1"/>
    <col min="14" max="14" width="10.42578125" bestFit="1" customWidth="1"/>
    <col min="16" max="16" width="20.5703125" bestFit="1" customWidth="1"/>
    <col min="17" max="17" width="16.85546875" bestFit="1" customWidth="1"/>
  </cols>
  <sheetData>
    <row r="1" spans="1:17" x14ac:dyDescent="0.25">
      <c r="A1" s="30" t="s">
        <v>52</v>
      </c>
      <c r="B1" t="s">
        <v>2443</v>
      </c>
      <c r="C1" t="s">
        <v>2444</v>
      </c>
      <c r="E1" t="s">
        <v>1866</v>
      </c>
      <c r="F1" t="s">
        <v>2445</v>
      </c>
      <c r="G1" t="s">
        <v>2446</v>
      </c>
      <c r="I1" t="s">
        <v>2447</v>
      </c>
      <c r="J1" t="s">
        <v>2448</v>
      </c>
      <c r="L1" t="s">
        <v>2450</v>
      </c>
      <c r="M1" t="s">
        <v>2451</v>
      </c>
      <c r="N1" t="s">
        <v>2446</v>
      </c>
      <c r="P1" t="s">
        <v>2452</v>
      </c>
      <c r="Q1" t="s">
        <v>2453</v>
      </c>
    </row>
    <row r="2" spans="1:17" x14ac:dyDescent="0.25">
      <c r="A2" s="19">
        <v>0</v>
      </c>
      <c r="B2">
        <v>0</v>
      </c>
      <c r="C2">
        <v>0</v>
      </c>
    </row>
    <row r="3" spans="1:17" x14ac:dyDescent="0.25">
      <c r="A3" s="19" t="s">
        <v>2436</v>
      </c>
      <c r="B3">
        <v>0</v>
      </c>
      <c r="C3">
        <v>0</v>
      </c>
      <c r="E3">
        <v>288800</v>
      </c>
      <c r="F3" s="38">
        <f>GETPIVOTDATA("Sum of New MRR",$A$1,"Sales Leader","Adrian Brokken")/E3</f>
        <v>0</v>
      </c>
      <c r="G3">
        <f>180000*0.8</f>
        <v>144000</v>
      </c>
      <c r="I3" s="1">
        <f>F3*G3</f>
        <v>0</v>
      </c>
      <c r="J3" t="s">
        <v>2449</v>
      </c>
    </row>
    <row r="4" spans="1:17" x14ac:dyDescent="0.25">
      <c r="A4" s="19" t="s">
        <v>2441</v>
      </c>
      <c r="B4">
        <v>4767.0199999999995</v>
      </c>
      <c r="C4">
        <v>19813.55</v>
      </c>
      <c r="E4">
        <v>481600</v>
      </c>
      <c r="F4" s="38">
        <f>GETPIVOTDATA("Sum of New MRR",$A$1,"Sales Leader","Anthony Laiewski")/E4</f>
        <v>9.8982973421926895E-3</v>
      </c>
      <c r="G4">
        <f>150000*0.66</f>
        <v>99000</v>
      </c>
      <c r="I4" s="1">
        <f>F4*G4</f>
        <v>979.93143687707629</v>
      </c>
      <c r="J4" t="s">
        <v>2449</v>
      </c>
      <c r="L4">
        <v>489100</v>
      </c>
      <c r="M4" s="38">
        <f>GETPIVOTDATA("Sum of Renewal MRR",$A$1,"Sales Leader","Anthony Laiewski")/L4</f>
        <v>4.0510222858311185E-2</v>
      </c>
      <c r="N4">
        <v>25000</v>
      </c>
      <c r="P4" s="1">
        <f>M4*N4</f>
        <v>1012.7555714577796</v>
      </c>
      <c r="Q4" t="s">
        <v>2449</v>
      </c>
    </row>
    <row r="5" spans="1:17" x14ac:dyDescent="0.25">
      <c r="A5" s="19" t="s">
        <v>2440</v>
      </c>
      <c r="B5">
        <v>9040.5400000000009</v>
      </c>
      <c r="C5">
        <v>1980.43</v>
      </c>
      <c r="E5">
        <v>522100</v>
      </c>
      <c r="F5" s="38">
        <f>GETPIVOTDATA("Sum of New MRR",$A$1,"Sales Leader","Jeffrey Weight")/E5</f>
        <v>1.731572495690481E-2</v>
      </c>
      <c r="G5">
        <f>180000*0.66</f>
        <v>118800</v>
      </c>
      <c r="I5" s="1">
        <f>F5*G5</f>
        <v>2057.1081248802916</v>
      </c>
      <c r="J5" t="s">
        <v>2449</v>
      </c>
      <c r="L5">
        <v>492100</v>
      </c>
      <c r="M5" s="38">
        <f>GETPIVOTDATA("Sum of Renewal MRR",$A$1,"Sales Leader","Jeffrey Weight")/L5</f>
        <v>4.0244462507620406E-3</v>
      </c>
      <c r="N5">
        <v>25000</v>
      </c>
      <c r="P5" s="1">
        <f>M5*N5</f>
        <v>100.61115626905101</v>
      </c>
      <c r="Q5" t="s">
        <v>2449</v>
      </c>
    </row>
    <row r="6" spans="1:17" x14ac:dyDescent="0.25">
      <c r="A6" s="19" t="s">
        <v>2435</v>
      </c>
      <c r="B6">
        <v>0</v>
      </c>
      <c r="C6">
        <v>0</v>
      </c>
      <c r="E6">
        <v>0</v>
      </c>
      <c r="F6" s="38"/>
    </row>
    <row r="7" spans="1:17" x14ac:dyDescent="0.25">
      <c r="A7" s="19" t="s">
        <v>2437</v>
      </c>
      <c r="B7">
        <v>9153.5400000000009</v>
      </c>
      <c r="C7">
        <v>0</v>
      </c>
      <c r="E7">
        <v>219400</v>
      </c>
      <c r="F7" s="38">
        <f>GETPIVOTDATA("Sum of New MRR",$A$1,"Sales Leader","Jon Kabrud")/E7</f>
        <v>4.1720783956244303E-2</v>
      </c>
      <c r="G7">
        <f>180000*0.8</f>
        <v>144000</v>
      </c>
      <c r="I7" s="1">
        <f>F7*G7</f>
        <v>6007.7928896991798</v>
      </c>
      <c r="J7" t="s">
        <v>2449</v>
      </c>
    </row>
    <row r="8" spans="1:17" x14ac:dyDescent="0.25">
      <c r="A8" s="19" t="s">
        <v>2438</v>
      </c>
      <c r="B8">
        <v>2762.27</v>
      </c>
      <c r="C8">
        <v>0</v>
      </c>
      <c r="E8">
        <v>334000</v>
      </c>
      <c r="F8" s="38">
        <f>GETPIVOTDATA("Sum of New MRR",$A$1,"Sales Leader","Luis Blanco")/E8</f>
        <v>8.2702694610778445E-3</v>
      </c>
      <c r="G8">
        <f>180000*0.8</f>
        <v>144000</v>
      </c>
      <c r="I8" s="1">
        <f>F8*G8</f>
        <v>1190.9188023952097</v>
      </c>
      <c r="J8" t="s">
        <v>2449</v>
      </c>
    </row>
    <row r="9" spans="1:17" x14ac:dyDescent="0.25">
      <c r="A9" s="19" t="s">
        <v>168</v>
      </c>
      <c r="B9">
        <v>20605.32</v>
      </c>
      <c r="C9">
        <v>0</v>
      </c>
      <c r="E9">
        <v>276800</v>
      </c>
      <c r="F9" s="38">
        <f>GETPIVOTDATA("Sum of New MRR",$A$1,"Sales Leader","Simon Beeny")/E9</f>
        <v>7.4441184971098265E-2</v>
      </c>
      <c r="G9">
        <f>150000*0.8</f>
        <v>120000</v>
      </c>
      <c r="I9" s="1">
        <f>F9*G9</f>
        <v>8932.9421965317924</v>
      </c>
      <c r="J9" t="s">
        <v>2449</v>
      </c>
    </row>
    <row r="10" spans="1:17" x14ac:dyDescent="0.25">
      <c r="A10" s="19" t="s">
        <v>922</v>
      </c>
    </row>
    <row r="11" spans="1:17" x14ac:dyDescent="0.25">
      <c r="A11" s="19" t="s">
        <v>926</v>
      </c>
      <c r="B11">
        <v>46328.69</v>
      </c>
      <c r="C11">
        <v>21793.98</v>
      </c>
    </row>
    <row r="14" spans="1:17" x14ac:dyDescent="0.25">
      <c r="A14" s="19" t="s">
        <v>2454</v>
      </c>
      <c r="B14">
        <f>SUM(GETPIVOTDATA("Sum of New MRR",$A$1,"Sales Leader","Adrian Brokken"),GETPIVOTDATA("Sum of New MRR",$A$1,"Sales Leader","Jon Kabrud"),GETPIVOTDATA("Sum of New MRR",$A$1,"Sales Leader","Jeffrey Weight"))</f>
        <v>18194.080000000002</v>
      </c>
      <c r="C14">
        <f>GETPIVOTDATA("Sum of Renewal MRR",$A$1,"Sales Leader","Jeffrey Weight")</f>
        <v>1980.43</v>
      </c>
      <c r="E14">
        <v>1019883</v>
      </c>
      <c r="F14" s="38">
        <f>B14/E14</f>
        <v>1.7839379615112717E-2</v>
      </c>
      <c r="G14">
        <f>225000*0.7</f>
        <v>157500</v>
      </c>
      <c r="I14" s="1">
        <f>F14*G14</f>
        <v>2809.7022893802528</v>
      </c>
      <c r="J14" t="s">
        <v>2449</v>
      </c>
      <c r="L14">
        <f>L5</f>
        <v>492100</v>
      </c>
      <c r="M14" s="38">
        <f>C14/L14</f>
        <v>4.0244462507620406E-3</v>
      </c>
      <c r="N14">
        <v>25000</v>
      </c>
      <c r="P14" s="1">
        <f>M14*N14</f>
        <v>100.61115626905101</v>
      </c>
      <c r="Q14" t="s">
        <v>2449</v>
      </c>
    </row>
    <row r="15" spans="1:17" x14ac:dyDescent="0.25">
      <c r="A15" s="19" t="s">
        <v>2455</v>
      </c>
      <c r="B15">
        <f>GETPIVOTDATA("Sum of New MRR",$A$1)</f>
        <v>46328.69</v>
      </c>
      <c r="C15">
        <f>GETPIVOTDATA("Sum of Renewal MRR",$A$1)</f>
        <v>21793.98</v>
      </c>
      <c r="E15">
        <v>1988493</v>
      </c>
      <c r="F15" s="38">
        <f>B15/E15</f>
        <v>2.3298392300098617E-2</v>
      </c>
      <c r="G15">
        <f>300000*1</f>
        <v>300000</v>
      </c>
      <c r="I15" s="1">
        <f>F15*G15</f>
        <v>6989.5176900295855</v>
      </c>
      <c r="J15" t="s">
        <v>2449</v>
      </c>
      <c r="L15">
        <f>SUM(L4:L5)</f>
        <v>981200</v>
      </c>
      <c r="M15" s="38">
        <f>C15/L15</f>
        <v>2.2211557276803913E-2</v>
      </c>
      <c r="N15">
        <v>30000</v>
      </c>
      <c r="P15" s="1">
        <f>M15*N15</f>
        <v>666.34671830411742</v>
      </c>
      <c r="Q15" t="s">
        <v>2449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8704-375D-4A12-963B-74008D7CF959}">
  <dimension ref="A1:R1048576"/>
  <sheetViews>
    <sheetView topLeftCell="B1" workbookViewId="0">
      <selection activeCell="B1" sqref="A1:XFD4"/>
    </sheetView>
  </sheetViews>
  <sheetFormatPr defaultRowHeight="15" x14ac:dyDescent="0.25"/>
  <cols>
    <col min="1" max="1" width="12.85546875" bestFit="1" customWidth="1"/>
    <col min="3" max="4" width="14.28515625" bestFit="1" customWidth="1"/>
    <col min="5" max="5" width="13.85546875" bestFit="1" customWidth="1"/>
    <col min="7" max="7" width="11.5703125" bestFit="1" customWidth="1"/>
  </cols>
  <sheetData>
    <row r="1" spans="1:18" x14ac:dyDescent="0.25">
      <c r="G1" s="41" t="s">
        <v>1853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x14ac:dyDescent="0.25">
      <c r="A2" t="s">
        <v>1851</v>
      </c>
      <c r="B2" t="s">
        <v>1852</v>
      </c>
      <c r="C2" t="s">
        <v>1866</v>
      </c>
      <c r="D2" t="s">
        <v>1872</v>
      </c>
      <c r="E2" t="s">
        <v>1867</v>
      </c>
      <c r="F2" t="s">
        <v>1868</v>
      </c>
      <c r="G2" s="26" t="s">
        <v>1854</v>
      </c>
      <c r="H2" s="26" t="s">
        <v>1855</v>
      </c>
      <c r="I2" s="26" t="s">
        <v>1856</v>
      </c>
      <c r="J2" s="26" t="s">
        <v>1857</v>
      </c>
      <c r="K2" s="26" t="s">
        <v>1858</v>
      </c>
      <c r="L2" s="26" t="s">
        <v>1859</v>
      </c>
      <c r="M2" s="26" t="s">
        <v>1860</v>
      </c>
      <c r="N2" s="26" t="s">
        <v>1861</v>
      </c>
      <c r="O2" s="26" t="s">
        <v>1862</v>
      </c>
      <c r="P2" s="26" t="s">
        <v>1863</v>
      </c>
      <c r="Q2" s="26" t="s">
        <v>1864</v>
      </c>
      <c r="R2" s="26" t="s">
        <v>1865</v>
      </c>
    </row>
    <row r="3" spans="1:18" x14ac:dyDescent="0.25">
      <c r="A3" t="s">
        <v>1869</v>
      </c>
      <c r="B3" s="3">
        <v>45292</v>
      </c>
      <c r="C3" s="27">
        <v>2258200</v>
      </c>
      <c r="D3" s="27">
        <v>1988345</v>
      </c>
      <c r="E3" s="29">
        <f>SUM(G3:R3)/D3</f>
        <v>2.5824024502790009E-2</v>
      </c>
      <c r="G3" s="28">
        <v>51347.07</v>
      </c>
    </row>
    <row r="4" spans="1:18" x14ac:dyDescent="0.25">
      <c r="A4" t="s">
        <v>1870</v>
      </c>
      <c r="B4" s="3">
        <v>45292</v>
      </c>
      <c r="C4" s="27">
        <v>2258200</v>
      </c>
      <c r="D4" s="27">
        <v>1988345</v>
      </c>
      <c r="E4" s="29">
        <f>SUM(G4:R4)/D4</f>
        <v>2.5824024502790009E-2</v>
      </c>
      <c r="G4" s="28">
        <v>51347.07</v>
      </c>
    </row>
    <row r="5" spans="1:18" x14ac:dyDescent="0.25">
      <c r="A5" t="s">
        <v>1871</v>
      </c>
      <c r="B5" s="3">
        <v>45292</v>
      </c>
      <c r="C5" s="27">
        <v>2258200</v>
      </c>
      <c r="D5" s="27">
        <v>1988345</v>
      </c>
      <c r="E5" s="29">
        <f>SUM(G5:R5)/D5</f>
        <v>2.5824024502790009E-2</v>
      </c>
      <c r="G5" s="28">
        <v>51347.07</v>
      </c>
    </row>
    <row r="7" spans="1:18" x14ac:dyDescent="0.25">
      <c r="G7" s="41" t="s">
        <v>1873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1:18" x14ac:dyDescent="0.25">
      <c r="G8" s="26" t="s">
        <v>1854</v>
      </c>
      <c r="H8" s="26" t="s">
        <v>1855</v>
      </c>
      <c r="I8" s="26" t="s">
        <v>1856</v>
      </c>
      <c r="J8" s="26" t="s">
        <v>1857</v>
      </c>
      <c r="K8" s="26" t="s">
        <v>1858</v>
      </c>
      <c r="L8" s="26" t="s">
        <v>1859</v>
      </c>
      <c r="M8" s="26" t="s">
        <v>1860</v>
      </c>
      <c r="N8" s="26" t="s">
        <v>1861</v>
      </c>
      <c r="O8" s="26" t="s">
        <v>1862</v>
      </c>
      <c r="P8" s="26" t="s">
        <v>1863</v>
      </c>
      <c r="Q8" s="26" t="s">
        <v>1864</v>
      </c>
      <c r="R8" s="26" t="s">
        <v>1865</v>
      </c>
    </row>
    <row r="9" spans="1:18" x14ac:dyDescent="0.25">
      <c r="A9" t="s">
        <v>1869</v>
      </c>
      <c r="B9" s="3">
        <v>45292</v>
      </c>
      <c r="C9" s="27">
        <v>981200</v>
      </c>
      <c r="D9" s="27">
        <f>C9</f>
        <v>981200</v>
      </c>
      <c r="E9" s="29">
        <f>SUM(G9:R9)/D9</f>
        <v>2.2211557276803913E-2</v>
      </c>
      <c r="G9" s="28">
        <v>21793.98</v>
      </c>
    </row>
    <row r="10" spans="1:18" x14ac:dyDescent="0.25">
      <c r="A10" t="s">
        <v>1870</v>
      </c>
      <c r="B10" s="3">
        <v>45292</v>
      </c>
      <c r="C10" s="27">
        <v>981200</v>
      </c>
      <c r="D10" s="27">
        <f>C10</f>
        <v>981200</v>
      </c>
      <c r="E10" s="29">
        <f>SUM(G10:R10)/D10</f>
        <v>2.2211557276803913E-2</v>
      </c>
      <c r="G10" s="28">
        <v>21793.98</v>
      </c>
    </row>
    <row r="11" spans="1:18" x14ac:dyDescent="0.25">
      <c r="A11" t="s">
        <v>1871</v>
      </c>
      <c r="B11" s="3">
        <v>45292</v>
      </c>
      <c r="C11" s="27">
        <v>981200</v>
      </c>
      <c r="D11" s="27">
        <f>C11</f>
        <v>981200</v>
      </c>
      <c r="E11" s="29">
        <f>SUM(G11:R11)/D11</f>
        <v>2.2211557276803913E-2</v>
      </c>
      <c r="G11" s="28">
        <v>21793.98</v>
      </c>
    </row>
    <row r="1048576" spans="4:4" x14ac:dyDescent="0.25">
      <c r="D1048576" s="27"/>
    </row>
  </sheetData>
  <mergeCells count="2">
    <mergeCell ref="G1:R1"/>
    <mergeCell ref="G7:R7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A115-F2AD-4E06-8338-E8AAE7D0AD77}">
  <dimension ref="A1:Q13"/>
  <sheetViews>
    <sheetView workbookViewId="0">
      <selection activeCell="E22" sqref="E22"/>
    </sheetView>
  </sheetViews>
  <sheetFormatPr defaultRowHeight="15" x14ac:dyDescent="0.25"/>
  <cols>
    <col min="1" max="1" width="19" bestFit="1" customWidth="1"/>
    <col min="2" max="2" width="9.5703125" bestFit="1" customWidth="1"/>
    <col min="3" max="3" width="12.5703125" bestFit="1" customWidth="1"/>
    <col min="4" max="4" width="13.85546875" bestFit="1" customWidth="1"/>
    <col min="6" max="6" width="14.28515625" bestFit="1" customWidth="1"/>
  </cols>
  <sheetData>
    <row r="1" spans="1:17" x14ac:dyDescent="0.25">
      <c r="F1" s="41" t="s">
        <v>1853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7" x14ac:dyDescent="0.25">
      <c r="A2" t="s">
        <v>2456</v>
      </c>
      <c r="B2" t="s">
        <v>1852</v>
      </c>
      <c r="C2" t="s">
        <v>1866</v>
      </c>
      <c r="D2" t="s">
        <v>1867</v>
      </c>
      <c r="E2" t="s">
        <v>1868</v>
      </c>
      <c r="F2" s="26" t="s">
        <v>1854</v>
      </c>
      <c r="G2" s="26" t="s">
        <v>1855</v>
      </c>
      <c r="H2" s="26" t="s">
        <v>1856</v>
      </c>
      <c r="I2" s="26" t="s">
        <v>1857</v>
      </c>
      <c r="J2" s="26" t="s">
        <v>1858</v>
      </c>
      <c r="K2" s="26" t="s">
        <v>1859</v>
      </c>
      <c r="L2" s="26" t="s">
        <v>1860</v>
      </c>
      <c r="M2" s="26" t="s">
        <v>1861</v>
      </c>
      <c r="N2" s="26" t="s">
        <v>1862</v>
      </c>
      <c r="O2" s="26" t="s">
        <v>1863</v>
      </c>
      <c r="P2" s="26" t="s">
        <v>1864</v>
      </c>
      <c r="Q2" s="26" t="s">
        <v>1865</v>
      </c>
    </row>
    <row r="3" spans="1:17" x14ac:dyDescent="0.25">
      <c r="A3" t="s">
        <v>61</v>
      </c>
      <c r="B3" s="3">
        <v>45292</v>
      </c>
      <c r="C3" s="27">
        <v>47949000</v>
      </c>
      <c r="D3" s="29">
        <f>SUM(F3:Q3)/C3</f>
        <v>4.7649550355586164E-2</v>
      </c>
      <c r="E3">
        <f>IF(D3&gt;=1,17000,IF(D3&gt;=0.75,12750,IF(D3&gt;=0.5,8500,IF(D3&gt;=0.25,4250,0))))</f>
        <v>0</v>
      </c>
      <c r="F3" s="28">
        <f>SUM('Product Detail'!Q:Q)</f>
        <v>2284748.290000001</v>
      </c>
    </row>
    <row r="4" spans="1:17" x14ac:dyDescent="0.25">
      <c r="A4" t="s">
        <v>2457</v>
      </c>
      <c r="B4" s="3">
        <v>45292</v>
      </c>
      <c r="C4" s="27">
        <v>47949000</v>
      </c>
      <c r="D4" s="29">
        <f>SUM(F4:Q4)/C4</f>
        <v>4.7649550355586164E-2</v>
      </c>
      <c r="E4">
        <f>IF(D4&gt;=1,17000,IF(D4&gt;=0.75,12750,IF(D4&gt;=0.5,8500,IF(D4&gt;=0.25,4250,0))))</f>
        <v>0</v>
      </c>
      <c r="F4" s="28">
        <f>SUM('Product Detail'!Q:Q)</f>
        <v>2284748.290000001</v>
      </c>
    </row>
    <row r="6" spans="1:17" x14ac:dyDescent="0.25">
      <c r="A6" t="s">
        <v>71</v>
      </c>
      <c r="B6" t="s">
        <v>1852</v>
      </c>
      <c r="C6" t="s">
        <v>1866</v>
      </c>
      <c r="D6" t="s">
        <v>1867</v>
      </c>
      <c r="E6" t="s">
        <v>1868</v>
      </c>
      <c r="F6" s="26" t="s">
        <v>1854</v>
      </c>
      <c r="G6" s="26" t="s">
        <v>1855</v>
      </c>
      <c r="H6" s="26" t="s">
        <v>1856</v>
      </c>
      <c r="I6" s="26" t="s">
        <v>1857</v>
      </c>
      <c r="J6" s="26" t="s">
        <v>1858</v>
      </c>
      <c r="K6" s="26" t="s">
        <v>1859</v>
      </c>
      <c r="L6" s="26" t="s">
        <v>1860</v>
      </c>
      <c r="M6" s="26" t="s">
        <v>1861</v>
      </c>
      <c r="N6" s="26" t="s">
        <v>1862</v>
      </c>
      <c r="O6" s="26" t="s">
        <v>1863</v>
      </c>
      <c r="P6" s="26" t="s">
        <v>1864</v>
      </c>
      <c r="Q6" s="26" t="s">
        <v>1865</v>
      </c>
    </row>
    <row r="7" spans="1:17" x14ac:dyDescent="0.25">
      <c r="A7" t="s">
        <v>70</v>
      </c>
      <c r="B7" s="3">
        <v>45292</v>
      </c>
      <c r="C7" s="27">
        <v>47949000</v>
      </c>
      <c r="D7" s="29">
        <f>SUM(F7:Q7)/C7</f>
        <v>4.7649550355586164E-2</v>
      </c>
      <c r="E7">
        <f>IF(D7&gt;=1,17000,IF(D7&gt;=0.75,12750,IF(D7&gt;=0.5,8500,IF(D7&gt;=0.25,4250,0))))</f>
        <v>0</v>
      </c>
      <c r="F7" s="28">
        <f>SUM('Product Detail'!Q:Q)</f>
        <v>2284748.290000001</v>
      </c>
    </row>
    <row r="8" spans="1:17" x14ac:dyDescent="0.25">
      <c r="A8" t="s">
        <v>2459</v>
      </c>
      <c r="B8" s="3">
        <v>45292</v>
      </c>
      <c r="C8" s="27">
        <v>47949000</v>
      </c>
      <c r="D8" s="29">
        <f>SUM(F8:Q8)/C8</f>
        <v>4.7649550355586164E-2</v>
      </c>
      <c r="E8">
        <f>IF(D8&gt;=1,17000,IF(D8&gt;=0.75,12750,IF(D8&gt;=0.5,8500,IF(D8&gt;=0.25,4250,0))))</f>
        <v>0</v>
      </c>
      <c r="F8" s="28">
        <f>SUM('Product Detail'!Q:Q)</f>
        <v>2284748.290000001</v>
      </c>
    </row>
    <row r="9" spans="1:17" x14ac:dyDescent="0.25">
      <c r="A9" t="s">
        <v>74</v>
      </c>
      <c r="B9" s="3">
        <v>45292</v>
      </c>
      <c r="C9" s="27">
        <v>47949000</v>
      </c>
      <c r="D9" s="29">
        <f>SUM(F9:Q9)/C9</f>
        <v>4.7649550355586164E-2</v>
      </c>
      <c r="E9">
        <f>IF(D9&gt;=1,17000,IF(D9&gt;=0.75,12750,IF(D9&gt;=0.5,8500,IF(D9&gt;=0.25,4250,0))))</f>
        <v>0</v>
      </c>
      <c r="F9" s="28">
        <f>SUM('Product Detail'!Q:Q)</f>
        <v>2284748.290000001</v>
      </c>
    </row>
    <row r="11" spans="1:17" x14ac:dyDescent="0.25">
      <c r="A11" t="s">
        <v>2458</v>
      </c>
      <c r="B11" t="s">
        <v>1852</v>
      </c>
      <c r="C11" t="s">
        <v>1866</v>
      </c>
      <c r="D11" t="s">
        <v>1867</v>
      </c>
      <c r="E11" t="s">
        <v>1868</v>
      </c>
      <c r="F11" s="26" t="s">
        <v>1854</v>
      </c>
      <c r="G11" s="26" t="s">
        <v>1855</v>
      </c>
      <c r="H11" s="26" t="s">
        <v>1856</v>
      </c>
      <c r="I11" s="26" t="s">
        <v>1857</v>
      </c>
      <c r="J11" s="26" t="s">
        <v>1858</v>
      </c>
      <c r="K11" s="26" t="s">
        <v>1859</v>
      </c>
      <c r="L11" s="26" t="s">
        <v>1860</v>
      </c>
      <c r="M11" s="26" t="s">
        <v>1861</v>
      </c>
      <c r="N11" s="26" t="s">
        <v>1862</v>
      </c>
      <c r="O11" s="26" t="s">
        <v>1863</v>
      </c>
      <c r="P11" s="26" t="s">
        <v>1864</v>
      </c>
      <c r="Q11" s="26" t="s">
        <v>1865</v>
      </c>
    </row>
    <row r="12" spans="1:17" x14ac:dyDescent="0.25">
      <c r="A12" t="s">
        <v>2460</v>
      </c>
      <c r="B12" s="3">
        <v>45292</v>
      </c>
      <c r="C12" s="27">
        <v>47949000</v>
      </c>
      <c r="D12" s="29">
        <f>SUM(F12:Q12)/C12</f>
        <v>4.7649550355586164E-2</v>
      </c>
      <c r="E12">
        <f>IF(D12&gt;=1,17000,IF(D12&gt;=0.75,12750,IF(D12&gt;=0.5,8500,IF(D12&gt;=0.25,4250,0))))</f>
        <v>0</v>
      </c>
      <c r="F12" s="28">
        <f>SUM('Product Detail'!Q:Q)</f>
        <v>2284748.290000001</v>
      </c>
    </row>
    <row r="13" spans="1:17" x14ac:dyDescent="0.25">
      <c r="A13" t="s">
        <v>178</v>
      </c>
      <c r="B13" s="3">
        <v>45292</v>
      </c>
      <c r="C13" s="27">
        <v>47949000</v>
      </c>
      <c r="D13" s="29">
        <f>SUM(F13:Q13)/C13</f>
        <v>4.7649550355586164E-2</v>
      </c>
      <c r="E13">
        <f>IF(D13&gt;=1,17000,IF(D13&gt;=0.75,12750,IF(D13&gt;=0.5,8500,IF(D13&gt;=0.25,4250,0))))</f>
        <v>0</v>
      </c>
      <c r="F13" s="28">
        <f>SUM('Product Detail'!Q:Q)</f>
        <v>2284748.290000001</v>
      </c>
    </row>
  </sheetData>
  <mergeCells count="1">
    <mergeCell ref="F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DD9F-19BB-4C9B-8116-0C0E53EF7FCF}">
  <dimension ref="A1:D31"/>
  <sheetViews>
    <sheetView workbookViewId="0">
      <selection activeCell="I30" sqref="I30"/>
    </sheetView>
  </sheetViews>
  <sheetFormatPr defaultRowHeight="15" x14ac:dyDescent="0.25"/>
  <cols>
    <col min="1" max="2" width="19" bestFit="1" customWidth="1"/>
    <col min="3" max="3" width="20.140625" style="1" bestFit="1" customWidth="1"/>
    <col min="4" max="4" width="16.5703125" bestFit="1" customWidth="1"/>
  </cols>
  <sheetData>
    <row r="1" spans="1:4" x14ac:dyDescent="0.25">
      <c r="A1" t="s">
        <v>2463</v>
      </c>
      <c r="B1" t="s">
        <v>2464</v>
      </c>
      <c r="C1" s="1" t="s">
        <v>2467</v>
      </c>
      <c r="D1" t="s">
        <v>2468</v>
      </c>
    </row>
    <row r="2" spans="1:4" x14ac:dyDescent="0.25">
      <c r="A2" s="19" t="s">
        <v>140</v>
      </c>
      <c r="B2" t="str">
        <f>_xlfn.XLOOKUP(A2,Multipliers!A:A,Multipliers!B:B)</f>
        <v>AM</v>
      </c>
      <c r="C2" s="1">
        <f>SUM(GETPIVOTDATA("Sum of MRR Commission",'Individual Contributors'!$A$1,"Opportunity Owner","Andrew Harp")*0.5,GETPIVOTDATA("Sum of NRR Commission",'Individual Contributors'!$A$1,"Opportunity Owner","Andrew Harp"))</f>
        <v>1328.0464000000002</v>
      </c>
      <c r="D2">
        <f>GETPIVOTDATA("Sum of MRR Commission",'Individual Contributors'!$A$1,"Opportunity Owner","Andrew Harp")*0.5</f>
        <v>4.68</v>
      </c>
    </row>
    <row r="3" spans="1:4" x14ac:dyDescent="0.25">
      <c r="A3" s="19" t="s">
        <v>2385</v>
      </c>
      <c r="B3" t="str">
        <f>_xlfn.XLOOKUP(A3,Multipliers!A:A,Multipliers!B:B)</f>
        <v>Solution Consultant</v>
      </c>
      <c r="C3" s="1">
        <f>SUM(GETPIVOTDATA("Sum of MRR Commission",'Individual Contributors'!$A$1,"Opportunity Owner","Anthony Kazlauskas")*0.5,GETPIVOTDATA("Sum of NRR Commission",'Individual Contributors'!$A$1,"Opportunity Owner","Anthony Kazlauskas"))</f>
        <v>2923.3174500000014</v>
      </c>
      <c r="D3" s="1">
        <f>GETPIVOTDATA("Sum of MRR Commission",'Individual Contributors'!$A$1,"Opportunity Owner","Anthony Kazlauskas")*0.5</f>
        <v>0</v>
      </c>
    </row>
    <row r="4" spans="1:4" x14ac:dyDescent="0.25">
      <c r="A4" s="19" t="s">
        <v>151</v>
      </c>
      <c r="B4" t="str">
        <f>_xlfn.XLOOKUP(A4,Multipliers!A:A,Multipliers!B:B)</f>
        <v>AM</v>
      </c>
      <c r="C4" s="1">
        <f>SUM(GETPIVOTDATA("Sum of MRR Commission",'Individual Contributors'!$A$1,"Opportunity Owner","Brandon Ring")*0.5,GETPIVOTDATA("Sum of NRR Commission",'Individual Contributors'!$A$1,"Opportunity Owner","Brandon Ring"))</f>
        <v>260.60320000000002</v>
      </c>
      <c r="D4" s="1">
        <f>GETPIVOTDATA("Sum of MRR Commission",'Individual Contributors'!$A$1,"Opportunity Owner","Brandon Ring")*0.5</f>
        <v>5</v>
      </c>
    </row>
    <row r="5" spans="1:4" x14ac:dyDescent="0.25">
      <c r="A5" s="19" t="s">
        <v>121</v>
      </c>
      <c r="B5" t="str">
        <f>_xlfn.XLOOKUP(A5,Multipliers!A:A,Multipliers!B:B)</f>
        <v>AE</v>
      </c>
      <c r="C5" s="1">
        <f>SUM(GETPIVOTDATA("Sum of MRR Commission",'Individual Contributors'!$A$1,"Opportunity Owner","Bryon Herpel")*0.5,GETPIVOTDATA("Sum of NRR Commission",'Individual Contributors'!$A$1,"Opportunity Owner","Bryon Herpel"))</f>
        <v>931.51974999999993</v>
      </c>
      <c r="D5" s="1">
        <f>GETPIVOTDATA("Sum of MRR Commission",'Individual Contributors'!$A$1,"Opportunity Owner","Bryon Herpel")*0.5</f>
        <v>931.51974999999993</v>
      </c>
    </row>
    <row r="6" spans="1:4" x14ac:dyDescent="0.25">
      <c r="A6" s="19" t="s">
        <v>117</v>
      </c>
      <c r="B6" t="str">
        <f>_xlfn.XLOOKUP(A6,Multipliers!A:A,Multipliers!B:B)</f>
        <v>AE</v>
      </c>
      <c r="C6" s="1">
        <f>SUM(GETPIVOTDATA("Sum of MRR Commission",'Individual Contributors'!$A$1,"Opportunity Owner","Chris Callahan")*0.5,GETPIVOTDATA("Sum of NRR Commission",'Individual Contributors'!$A$1,"Opportunity Owner","Chris Callahan"))</f>
        <v>2291.6750000000002</v>
      </c>
      <c r="D6" s="1">
        <f>GETPIVOTDATA("Sum of MRR Commission",'Individual Contributors'!$A$1,"Opportunity Owner","Chris Callahan")*0.5</f>
        <v>2022.675</v>
      </c>
    </row>
    <row r="7" spans="1:4" x14ac:dyDescent="0.25">
      <c r="A7" s="19" t="s">
        <v>56</v>
      </c>
      <c r="B7" t="str">
        <f>_xlfn.XLOOKUP(A7,Multipliers!A:A,Multipliers!B:B)</f>
        <v>Solution Consultant</v>
      </c>
      <c r="C7" s="1">
        <f>SUM(GETPIVOTDATA("Sum of MRR Commission",'Individual Contributors'!$A$1,"Opportunity Owner","Cynthia Newsom")*0.5,GETPIVOTDATA("Sum of NRR Commission",'Individual Contributors'!$A$1,"Opportunity Owner","Cynthia Newsom"))</f>
        <v>3216.9164249999994</v>
      </c>
      <c r="D7" s="1">
        <f>GETPIVOTDATA("Sum of MRR Commission",'Individual Contributors'!$A$1,"Opportunity Owner","Cynthia Newsom")*0.5</f>
        <v>1164.568125</v>
      </c>
    </row>
    <row r="8" spans="1:4" x14ac:dyDescent="0.25">
      <c r="A8" s="19" t="s">
        <v>156</v>
      </c>
      <c r="B8" t="str">
        <f>_xlfn.XLOOKUP(A8,Multipliers!A:A,Multipliers!B:B)</f>
        <v>AM</v>
      </c>
      <c r="C8" s="1">
        <f>SUM(GETPIVOTDATA("Sum of MRR Commission",'Individual Contributors'!$A$1,"Opportunity Owner","Daniel Tarkowski")*0.5,GETPIVOTDATA("Sum of NRR Commission",'Individual Contributors'!$A$1,"Opportunity Owner","Daniel Tarkowski"))</f>
        <v>786.95139999999992</v>
      </c>
      <c r="D8" s="1">
        <f>GETPIVOTDATA("Sum of MRR Commission",'Individual Contributors'!$A$1,"Opportunity Owner","Daniel Tarkowski")*0.5</f>
        <v>108.375</v>
      </c>
    </row>
    <row r="9" spans="1:4" x14ac:dyDescent="0.25">
      <c r="A9" s="19" t="s">
        <v>2386</v>
      </c>
      <c r="B9" t="str">
        <f>_xlfn.XLOOKUP(A9,Multipliers!A:A,Multipliers!B:B)</f>
        <v>AE</v>
      </c>
      <c r="C9" s="1">
        <f>SUM(GETPIVOTDATA("Sum of MRR Commission",'Individual Contributors'!$A$1,"Opportunity Owner","Dave Carlin")*0.5,GETPIVOTDATA("Sum of NRR Commission",'Individual Contributors'!$A$1,"Opportunity Owner","Dave Carlin"))</f>
        <v>1528.7418</v>
      </c>
      <c r="D9" s="1">
        <f>GETPIVOTDATA("Sum of MRR Commission",'Individual Contributors'!$A$1,"Opportunity Owner","Dave Carlin")*0.5</f>
        <v>1420</v>
      </c>
    </row>
    <row r="10" spans="1:4" x14ac:dyDescent="0.25">
      <c r="A10" s="19" t="s">
        <v>2387</v>
      </c>
      <c r="B10" t="str">
        <f>_xlfn.XLOOKUP(A10,Multipliers!A:A,Multipliers!B:B)</f>
        <v>AM</v>
      </c>
      <c r="C10" s="1">
        <f>SUM(GETPIVOTDATA("Sum of MRR Commission",'Individual Contributors'!$A$1,"Opportunity Owner","Demetrios Adams")*0.5,GETPIVOTDATA("Sum of NRR Commission",'Individual Contributors'!$A$1,"Opportunity Owner","Demetrios Adams"))</f>
        <v>103.6125</v>
      </c>
      <c r="D10" s="1">
        <f>GETPIVOTDATA("Sum of MRR Commission",'Individual Contributors'!$A$1,"Opportunity Owner","Demetrios Adams")*0.5</f>
        <v>83.8125</v>
      </c>
    </row>
    <row r="11" spans="1:4" x14ac:dyDescent="0.25">
      <c r="A11" s="19" t="s">
        <v>166</v>
      </c>
      <c r="B11" t="str">
        <f>_xlfn.XLOOKUP(A11,Multipliers!A:A,Multipliers!B:B)</f>
        <v>AE</v>
      </c>
      <c r="C11" s="1">
        <f>SUM(GETPIVOTDATA("Sum of MRR Commission",'Individual Contributors'!$A$1,"Opportunity Owner","Elmer Mosbey")*0.5,GETPIVOTDATA("Sum of NRR Commission",'Individual Contributors'!$A$1,"Opportunity Owner","Elmer Mosbey"))</f>
        <v>428</v>
      </c>
      <c r="D11" s="1">
        <f>GETPIVOTDATA("Sum of MRR Commission",'Individual Contributors'!$A$1,"Opportunity Owner","Elmer Mosbey")*0.5</f>
        <v>0</v>
      </c>
    </row>
    <row r="12" spans="1:4" x14ac:dyDescent="0.25">
      <c r="A12" s="19" t="s">
        <v>147</v>
      </c>
      <c r="B12" t="str">
        <f>_xlfn.XLOOKUP(A12,Multipliers!A:A,Multipliers!B:B)</f>
        <v>AM</v>
      </c>
      <c r="C12" s="1">
        <f>SUM(GETPIVOTDATA("Sum of MRR Commission",'Individual Contributors'!$A$1,"Opportunity Owner","Erminio Lalli")*0.5,GETPIVOTDATA("Sum of NRR Commission",'Individual Contributors'!$A$1,"Opportunity Owner","Erminio Lalli"))</f>
        <v>1375.2508499999999</v>
      </c>
      <c r="D12" s="1">
        <f>GETPIVOTDATA("Sum of MRR Commission",'Individual Contributors'!$A$1,"Opportunity Owner","Erminio Lalli")*0.5</f>
        <v>812.51125000000002</v>
      </c>
    </row>
    <row r="13" spans="1:4" x14ac:dyDescent="0.25">
      <c r="A13" s="19" t="s">
        <v>90</v>
      </c>
      <c r="B13" t="str">
        <f>_xlfn.XLOOKUP(A13,Multipliers!A:A,Multipliers!B:B)</f>
        <v>AE</v>
      </c>
      <c r="C13" s="1">
        <f>SUM(GETPIVOTDATA("Sum of MRR Commission",'Individual Contributors'!$A$1,"Opportunity Owner","Gary Veselka")*0.5,GETPIVOTDATA("Sum of NRR Commission",'Individual Contributors'!$A$1,"Opportunity Owner","Gary Veselka"))</f>
        <v>1601.8695</v>
      </c>
      <c r="D13" s="1">
        <f>GETPIVOTDATA("Sum of MRR Commission",'Individual Contributors'!$A$1,"Opportunity Owner","Gary Veselka")*0.5</f>
        <v>1601.8695</v>
      </c>
    </row>
    <row r="14" spans="1:4" x14ac:dyDescent="0.25">
      <c r="A14" s="19" t="s">
        <v>51</v>
      </c>
      <c r="B14" t="str">
        <f>_xlfn.XLOOKUP(A14,Multipliers!A:A,Multipliers!B:B)</f>
        <v>Solution Consultant</v>
      </c>
      <c r="C14" s="1">
        <f>SUM(GETPIVOTDATA("Sum of MRR Commission",'Individual Contributors'!$A$1,"Opportunity Owner","John Sobernheim")*0.5,GETPIVOTDATA("Sum of NRR Commission",'Individual Contributors'!$A$1,"Opportunity Owner","John Sobernheim"))</f>
        <v>2435.5672500000005</v>
      </c>
      <c r="D14" s="1">
        <f>GETPIVOTDATA("Sum of MRR Commission",'Individual Contributors'!$A$1,"Opportunity Owner","John Sobernheim")*0.5</f>
        <v>0</v>
      </c>
    </row>
    <row r="15" spans="1:4" x14ac:dyDescent="0.25">
      <c r="A15" s="19" t="s">
        <v>1874</v>
      </c>
      <c r="B15" t="str">
        <f>_xlfn.XLOOKUP(A15,Multipliers!A:A,Multipliers!B:B)</f>
        <v>AM</v>
      </c>
      <c r="C15" s="1">
        <f>SUM(GETPIVOTDATA("Sum of MRR Commission",'Individual Contributors'!$A$1,"Opportunity Owner","Jonathan DeFez")*0.5,GETPIVOTDATA("Sum of NRR Commission",'Individual Contributors'!$A$1,"Opportunity Owner","Jonathan DeFez"))</f>
        <v>4967.9710999999998</v>
      </c>
      <c r="D15" s="1">
        <f>GETPIVOTDATA("Sum of MRR Commission",'Individual Contributors'!$A$1,"Opportunity Owner","Jonathan DeFez")*0.5</f>
        <v>719.44550000000004</v>
      </c>
    </row>
    <row r="16" spans="1:4" x14ac:dyDescent="0.25">
      <c r="A16" s="19" t="s">
        <v>150</v>
      </c>
      <c r="B16" t="str">
        <f>_xlfn.XLOOKUP(A16,Multipliers!A:A,Multipliers!B:B)</f>
        <v>AM</v>
      </c>
      <c r="C16" s="1">
        <f>SUM(GETPIVOTDATA("Sum of MRR Commission",'Individual Contributors'!$A$1,"Opportunity Owner","Kennon Jayne")*0.5,GETPIVOTDATA("Sum of NRR Commission",'Individual Contributors'!$A$1,"Opportunity Owner","Kennon Jayne"))</f>
        <v>573.80365000000006</v>
      </c>
      <c r="D16" s="1">
        <f>GETPIVOTDATA("Sum of MRR Commission",'Individual Contributors'!$A$1,"Opportunity Owner","Kennon Jayne")*0.5</f>
        <v>37.381250000000009</v>
      </c>
    </row>
    <row r="17" spans="1:4" x14ac:dyDescent="0.25">
      <c r="A17" s="19" t="s">
        <v>132</v>
      </c>
      <c r="B17" t="str">
        <f>_xlfn.XLOOKUP(A17,Multipliers!A:A,Multipliers!B:B)</f>
        <v>AM</v>
      </c>
      <c r="C17" s="1">
        <f>SUM(GETPIVOTDATA("Sum of MRR Commission",'Individual Contributors'!$A$1,"Opportunity Owner","Lathrop Lougheed")*0.5,GETPIVOTDATA("Sum of NRR Commission",'Individual Contributors'!$A$1,"Opportunity Owner","Lathrop Lougheed"))</f>
        <v>6157.5140999999994</v>
      </c>
      <c r="D17" s="1">
        <f>GETPIVOTDATA("Sum of MRR Commission",'Individual Contributors'!$A$1,"Opportunity Owner","Lathrop Lougheed")*0.5</f>
        <v>456.84050000000002</v>
      </c>
    </row>
    <row r="18" spans="1:4" x14ac:dyDescent="0.25">
      <c r="A18" s="19" t="s">
        <v>143</v>
      </c>
      <c r="B18" t="str">
        <f>_xlfn.XLOOKUP(A18,Multipliers!A:A,Multipliers!B:B)</f>
        <v>AM</v>
      </c>
      <c r="C18" s="1">
        <f>SUM(GETPIVOTDATA("Sum of MRR Commission",'Individual Contributors'!$A$1,"Opportunity Owner","Matthew Digiacomo")*0.5,GETPIVOTDATA("Sum of NRR Commission",'Individual Contributors'!$A$1,"Opportunity Owner","Matthew Digiacomo"))</f>
        <v>150</v>
      </c>
      <c r="D18" s="1">
        <f>GETPIVOTDATA("Sum of MRR Commission",'Individual Contributors'!$A$1,"Opportunity Owner","Matthew Digiacomo")*0.5</f>
        <v>150</v>
      </c>
    </row>
    <row r="19" spans="1:4" x14ac:dyDescent="0.25">
      <c r="A19" s="19" t="s">
        <v>47</v>
      </c>
      <c r="B19" t="str">
        <f>_xlfn.XLOOKUP(A19,Multipliers!A:A,Multipliers!B:B)</f>
        <v>Solution Consultant</v>
      </c>
      <c r="C19" s="1">
        <f>SUM(GETPIVOTDATA("Sum of MRR Commission",'Individual Contributors'!$A$1,"Opportunity Owner","Michael True")*0.5,GETPIVOTDATA("Sum of NRR Commission",'Individual Contributors'!$A$1,"Opportunity Owner","Michael True"))</f>
        <v>995.66432500000008</v>
      </c>
      <c r="D19" s="1">
        <f>GETPIVOTDATA("Sum of MRR Commission",'Individual Contributors'!$A$1,"Opportunity Owner","Michael True")*0.5</f>
        <v>183.88187500000004</v>
      </c>
    </row>
    <row r="20" spans="1:4" x14ac:dyDescent="0.25">
      <c r="A20" s="19" t="s">
        <v>107</v>
      </c>
      <c r="B20" t="str">
        <f>_xlfn.XLOOKUP(A20,Multipliers!A:A,Multipliers!B:B)</f>
        <v>AE</v>
      </c>
      <c r="C20" s="1">
        <f>SUM(GETPIVOTDATA("Sum of MRR Commission",'Individual Contributors'!$A$1,"Opportunity Owner","Mitch Verma")*0.5,GETPIVOTDATA("Sum of NRR Commission",'Individual Contributors'!$A$1,"Opportunity Owner","Mitch Verma"))</f>
        <v>924.9987500000002</v>
      </c>
      <c r="D20" s="1">
        <f>GETPIVOTDATA("Sum of MRR Commission",'Individual Contributors'!$A$1,"Opportunity Owner","Mitch Verma")*0.5</f>
        <v>167.94675000000001</v>
      </c>
    </row>
    <row r="21" spans="1:4" x14ac:dyDescent="0.25">
      <c r="A21" s="19" t="s">
        <v>80</v>
      </c>
      <c r="B21" t="str">
        <f>_xlfn.XLOOKUP(A21,Multipliers!A:A,Multipliers!B:B)</f>
        <v>AE</v>
      </c>
      <c r="C21" s="1">
        <f>SUM(GETPIVOTDATA("Sum of MRR Commission",'Individual Contributors'!$A$1,"Opportunity Owner","Patrick Lakeman")*0.5,GETPIVOTDATA("Sum of NRR Commission",'Individual Contributors'!$A$1,"Opportunity Owner","Patrick Lakeman"))</f>
        <v>19.905600000000003</v>
      </c>
      <c r="D21" s="1">
        <f>GETPIVOTDATA("Sum of MRR Commission",'Individual Contributors'!$A$1,"Opportunity Owner","Patrick Lakeman")*0.5</f>
        <v>0</v>
      </c>
    </row>
    <row r="22" spans="1:4" x14ac:dyDescent="0.25">
      <c r="A22" s="19" t="s">
        <v>105</v>
      </c>
      <c r="B22" t="str">
        <f>_xlfn.XLOOKUP(A22,Multipliers!A:A,Multipliers!B:B)</f>
        <v>AE</v>
      </c>
      <c r="C22" s="1">
        <f>SUM(GETPIVOTDATA("Sum of MRR Commission",'Individual Contributors'!$A$1,"Opportunity Owner","Rick Carlson")*0.5,GETPIVOTDATA("Sum of NRR Commission",'Individual Contributors'!$A$1,"Opportunity Owner","Rick Carlson"))</f>
        <v>1825.8018</v>
      </c>
      <c r="D22" s="1">
        <f>GETPIVOTDATA("Sum of MRR Commission",'Individual Contributors'!$A$1,"Opportunity Owner","Rick Carlson")*0.5</f>
        <v>860.89499999999998</v>
      </c>
    </row>
    <row r="23" spans="1:4" x14ac:dyDescent="0.25">
      <c r="A23" s="19" t="s">
        <v>43</v>
      </c>
      <c r="B23" t="str">
        <f>_xlfn.XLOOKUP(A23,Multipliers!A:A,Multipliers!B:B)</f>
        <v>Solution Consultant</v>
      </c>
      <c r="C23" s="1">
        <f>SUM(GETPIVOTDATA("Sum of MRR Commission",'Individual Contributors'!$A$1,"Opportunity Owner","Ron Walker")*0.5,GETPIVOTDATA("Sum of NRR Commission",'Individual Contributors'!$A$1,"Opportunity Owner","Ron Walker"))</f>
        <v>5495.7883499999998</v>
      </c>
      <c r="D23" s="1">
        <f>GETPIVOTDATA("Sum of MRR Commission",'Individual Contributors'!$A$1,"Opportunity Owner","Ron Walker")*0.5</f>
        <v>1370.0000000000002</v>
      </c>
    </row>
    <row r="24" spans="1:4" x14ac:dyDescent="0.25">
      <c r="A24" s="19" t="s">
        <v>84</v>
      </c>
      <c r="B24" t="str">
        <f>_xlfn.XLOOKUP(A24,Multipliers!A:A,Multipliers!B:B)</f>
        <v>AE</v>
      </c>
      <c r="C24" s="1">
        <f>SUM(GETPIVOTDATA("Sum of MRR Commission",'Individual Contributors'!$A$1,"Opportunity Owner","Steve Croll")*0.5,GETPIVOTDATA("Sum of NRR Commission",'Individual Contributors'!$A$1,"Opportunity Owner","Steve Croll"))</f>
        <v>2224</v>
      </c>
      <c r="D24" s="1">
        <f>GETPIVOTDATA("Sum of MRR Commission",'Individual Contributors'!$A$1,"Opportunity Owner","Steve Croll")*0.5</f>
        <v>0</v>
      </c>
    </row>
    <row r="25" spans="1:4" x14ac:dyDescent="0.25">
      <c r="A25" s="19" t="s">
        <v>2441</v>
      </c>
      <c r="B25" t="s">
        <v>169</v>
      </c>
      <c r="C25" s="1">
        <f>SUM('Sales VP'!I4,'Sales VP'!P4)</f>
        <v>1992.6870083348558</v>
      </c>
      <c r="D25" s="1"/>
    </row>
    <row r="26" spans="1:4" x14ac:dyDescent="0.25">
      <c r="A26" s="19" t="s">
        <v>2440</v>
      </c>
      <c r="B26" t="s">
        <v>169</v>
      </c>
      <c r="C26" s="1">
        <f>SUM('Sales VP'!I5,'Sales VP'!P5)</f>
        <v>2157.7192811493428</v>
      </c>
      <c r="D26" s="1"/>
    </row>
    <row r="27" spans="1:4" x14ac:dyDescent="0.25">
      <c r="A27" s="19" t="s">
        <v>2437</v>
      </c>
      <c r="B27" t="s">
        <v>169</v>
      </c>
      <c r="C27" s="1">
        <f>'Sales VP'!I7</f>
        <v>6007.7928896991798</v>
      </c>
      <c r="D27" s="1"/>
    </row>
    <row r="28" spans="1:4" x14ac:dyDescent="0.25">
      <c r="A28" s="19" t="s">
        <v>2438</v>
      </c>
      <c r="B28" t="s">
        <v>169</v>
      </c>
      <c r="C28" s="1">
        <f>'Sales VP'!I8</f>
        <v>1190.9188023952097</v>
      </c>
      <c r="D28" s="1"/>
    </row>
    <row r="29" spans="1:4" x14ac:dyDescent="0.25">
      <c r="A29" s="19" t="s">
        <v>168</v>
      </c>
      <c r="B29" t="s">
        <v>169</v>
      </c>
      <c r="C29" s="1">
        <f>'Sales VP'!I9</f>
        <v>8932.9421965317924</v>
      </c>
      <c r="D29" s="1"/>
    </row>
    <row r="30" spans="1:4" x14ac:dyDescent="0.25">
      <c r="A30" s="19" t="s">
        <v>2454</v>
      </c>
      <c r="B30" t="s">
        <v>2465</v>
      </c>
      <c r="C30" s="1">
        <f>SUM('Sales VP'!I14,'Sales VP'!P14)</f>
        <v>2910.313445649304</v>
      </c>
      <c r="D30" s="1"/>
    </row>
    <row r="31" spans="1:4" x14ac:dyDescent="0.25">
      <c r="A31" s="19" t="s">
        <v>2455</v>
      </c>
      <c r="B31" t="s">
        <v>2466</v>
      </c>
      <c r="C31" s="1">
        <f>SUM('Sales VP'!I15,'Sales VP'!P15)</f>
        <v>7655.8644083337031</v>
      </c>
      <c r="D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Email List</vt:lpstr>
      <vt:lpstr>Product Detail</vt:lpstr>
      <vt:lpstr>Multipliers</vt:lpstr>
      <vt:lpstr>Approved Opportunities</vt:lpstr>
      <vt:lpstr>Individual Contributors</vt:lpstr>
      <vt:lpstr>Sales VP</vt:lpstr>
      <vt:lpstr>ISE Commission</vt:lpstr>
      <vt:lpstr>NRR Commissions</vt:lpstr>
      <vt:lpstr>Final Commission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Dusty Corning</dc:creator>
  <cp:lastModifiedBy>Dusty Corning</cp:lastModifiedBy>
  <dcterms:created xsi:type="dcterms:W3CDTF">2024-02-16T23:12:03Z</dcterms:created>
  <dcterms:modified xsi:type="dcterms:W3CDTF">2024-03-21T19:30:36Z</dcterms:modified>
</cp:coreProperties>
</file>