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son/Desktop/1. Finsolar/1. Clientes/Nu3/8 oct/"/>
    </mc:Choice>
  </mc:AlternateContent>
  <xr:revisionPtr revIDLastSave="0" documentId="13_ncr:1_{7F597B4D-2E66-A94F-AC4F-C94013079E6A}" xr6:coauthVersionLast="47" xr6:coauthVersionMax="47" xr10:uidLastSave="{00000000-0000-0000-0000-000000000000}"/>
  <bookViews>
    <workbookView xWindow="-38400" yWindow="-18420" windowWidth="38400" windowHeight="21100" xr2:uid="{4CEECD92-4F86-E74C-B6AA-7D7B94338274}"/>
  </bookViews>
  <sheets>
    <sheet name="Multiservicios" sheetId="1" r:id="rId1"/>
  </sheets>
  <definedNames>
    <definedName name="ActualNumberOfPayments">IFERROR(IF(LoanIsGood,IF(PaymentsPerYear=1,1,MATCH(0.01,End_Bal,-1)+1)),"")</definedName>
    <definedName name="apr">#REF!</definedName>
    <definedName name="array">#REF!</definedName>
    <definedName name="ColumnTitle1">#REF!</definedName>
    <definedName name="dates">#REF!</definedName>
    <definedName name="End_Bal">#REF!</definedName>
    <definedName name="ExtraPayments">#REF!</definedName>
    <definedName name="first_payment_date">#REF!</definedName>
    <definedName name="interest_compounded">#REF!</definedName>
    <definedName name="interest_paid">#REF!</definedName>
    <definedName name="InterestRate">#REF!</definedName>
    <definedName name="LastCol">MATCH(REPT("z",255),#REF!)</definedName>
    <definedName name="LastRow">MATCH(9.99E+307,#REF!)</definedName>
    <definedName name="LenderName">#REF!</definedName>
    <definedName name="loan">#REF!</definedName>
    <definedName name="LoanAmount">#REF!</definedName>
    <definedName name="LoanIsGood">(#REF!*#REF!*#REF!*#REF!)&gt;0</definedName>
    <definedName name="LoanPeriod">#REF!</definedName>
    <definedName name="LoanStartDate">#REF!</definedName>
    <definedName name="nper">#REF!</definedName>
    <definedName name="payment">#REF!</definedName>
    <definedName name="payment_due">#REF!</definedName>
    <definedName name="payment_frequency">#REF!</definedName>
    <definedName name="payment_type">#REF!</definedName>
    <definedName name="payment_types">#REF!</definedName>
    <definedName name="PaymentsPerYear">#REF!</definedName>
    <definedName name="periodic_table">#REF!</definedName>
    <definedName name="principal_paid">#REF!</definedName>
    <definedName name="PrintArea_SET">OFFSET(#REF!,,,LastRow,LastCol)</definedName>
    <definedName name="rate">#REF!</definedName>
    <definedName name="recurring_payment_frequency">#REF!</definedName>
    <definedName name="RowTitleRegion1..E9">#REF!</definedName>
    <definedName name="RowTitleRegion2..I7">#REF!</definedName>
    <definedName name="RowTitleRegion3..E9">#REF!</definedName>
    <definedName name="RowTitleRegion4..H9">#REF!</definedName>
    <definedName name="ScheduledNumberOfPayments">#REF!</definedName>
    <definedName name="ScheduledPayment">#REF!</definedName>
    <definedName name="term">#REF!</definedName>
    <definedName name="TotalEarlyPayments">SUM(#REF!)</definedName>
    <definedName name="TotalInterest">SUM(#REF!)</definedName>
    <definedName name="valuevx">42.314159</definedName>
    <definedName name="vertex42_copyright" hidden="1">"© 2008-2019 Vertex42 LLC"</definedName>
    <definedName name="vertex42_id" hidden="1">"loan-amortization-schedule.xlsx"</definedName>
    <definedName name="vertex42_title" hidden="1">"Loan Amortization Schedule"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3" i="1" l="1"/>
  <c r="V43" i="1"/>
  <c r="G39" i="1"/>
  <c r="I5" i="1"/>
  <c r="G13" i="1"/>
  <c r="N13" i="1" s="1"/>
  <c r="B5" i="1"/>
  <c r="B6" i="1" s="1"/>
  <c r="D14" i="1" l="1"/>
  <c r="B54" i="1"/>
  <c r="F54" i="1" s="1"/>
  <c r="B53" i="1"/>
  <c r="F53" i="1" s="1"/>
  <c r="B52" i="1"/>
  <c r="F52" i="1" s="1"/>
  <c r="F83" i="1"/>
  <c r="AD13" i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H42" i="1"/>
  <c r="I42" i="1" s="1"/>
  <c r="E39" i="1"/>
  <c r="R13" i="1" s="1"/>
  <c r="R43" i="1" s="1"/>
  <c r="C39" i="1"/>
  <c r="X13" i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E92" i="1" l="1"/>
  <c r="C44" i="1"/>
  <c r="B13" i="1"/>
  <c r="J59" i="1" s="1"/>
  <c r="J77" i="1" s="1"/>
  <c r="K44" i="1"/>
  <c r="E14" i="1" s="1"/>
  <c r="E82" i="1"/>
  <c r="E91" i="1"/>
  <c r="AE13" i="1"/>
  <c r="D15" i="1"/>
  <c r="S13" i="1"/>
  <c r="G43" i="1"/>
  <c r="H43" i="1" s="1"/>
  <c r="I43" i="1" s="1"/>
  <c r="M62" i="1"/>
  <c r="E44" i="1"/>
  <c r="M60" i="1"/>
  <c r="W13" i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M63" i="1"/>
  <c r="M64" i="1"/>
  <c r="AE14" i="1" l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BA14" i="1" s="1"/>
  <c r="V111" i="1"/>
  <c r="G91" i="1"/>
  <c r="F91" i="1"/>
  <c r="H91" i="1" s="1"/>
  <c r="I91" i="1"/>
  <c r="I92" i="1"/>
  <c r="F92" i="1"/>
  <c r="H92" i="1" s="1"/>
  <c r="G92" i="1"/>
  <c r="I82" i="1"/>
  <c r="G82" i="1"/>
  <c r="F82" i="1"/>
  <c r="H82" i="1" s="1"/>
  <c r="J75" i="1"/>
  <c r="G14" i="1"/>
  <c r="I6" i="1"/>
  <c r="B31" i="1"/>
  <c r="C13" i="1"/>
  <c r="C31" i="1" s="1"/>
  <c r="E15" i="1"/>
  <c r="G15" i="1" s="1"/>
  <c r="E93" i="1"/>
  <c r="I44" i="1"/>
  <c r="D16" i="1"/>
  <c r="S14" i="1"/>
  <c r="Y13" i="1"/>
  <c r="Z13" i="1" s="1"/>
  <c r="AF13" i="1"/>
  <c r="AG13" i="1" s="1"/>
  <c r="AI13" i="1" s="1"/>
  <c r="W111" i="1"/>
  <c r="M61" i="1"/>
  <c r="AF14" i="1"/>
  <c r="AG14" i="1" s="1"/>
  <c r="K15" i="1" l="1"/>
  <c r="J14" i="1"/>
  <c r="K14" i="1"/>
  <c r="L14" i="1" s="1"/>
  <c r="G93" i="1"/>
  <c r="D60" i="1" s="1"/>
  <c r="D61" i="1" s="1"/>
  <c r="D62" i="1" s="1"/>
  <c r="I7" i="1"/>
  <c r="K59" i="1"/>
  <c r="K75" i="1" s="1"/>
  <c r="I93" i="1"/>
  <c r="F71" i="1" s="1"/>
  <c r="F75" i="1" s="1"/>
  <c r="H93" i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F93" i="1"/>
  <c r="E16" i="1"/>
  <c r="E17" i="1" s="1"/>
  <c r="M65" i="1"/>
  <c r="Y14" i="1"/>
  <c r="Z14" i="1" s="1"/>
  <c r="J15" i="1" s="1"/>
  <c r="L15" i="1" s="1"/>
  <c r="D17" i="1"/>
  <c r="S15" i="1"/>
  <c r="AF15" i="1"/>
  <c r="AG15" i="1" s="1"/>
  <c r="M66" i="1"/>
  <c r="K16" i="1" l="1"/>
  <c r="AI14" i="1"/>
  <c r="G60" i="1"/>
  <c r="C59" i="1"/>
  <c r="C75" i="1" s="1"/>
  <c r="B59" i="1"/>
  <c r="G59" i="1" s="1"/>
  <c r="C50" i="1" s="1"/>
  <c r="N15" i="1"/>
  <c r="N14" i="1"/>
  <c r="C54" i="1"/>
  <c r="F77" i="1"/>
  <c r="D54" i="1" s="1"/>
  <c r="M59" i="1"/>
  <c r="K77" i="1"/>
  <c r="G16" i="1"/>
  <c r="E77" i="1"/>
  <c r="D53" i="1" s="1"/>
  <c r="E75" i="1"/>
  <c r="C53" i="1" s="1"/>
  <c r="M67" i="1"/>
  <c r="D63" i="1"/>
  <c r="G62" i="1"/>
  <c r="G61" i="1"/>
  <c r="E18" i="1"/>
  <c r="AF16" i="1"/>
  <c r="AG16" i="1" s="1"/>
  <c r="D18" i="1"/>
  <c r="S16" i="1"/>
  <c r="G17" i="1"/>
  <c r="Y15" i="1"/>
  <c r="Z15" i="1" s="1"/>
  <c r="J16" i="1" s="1"/>
  <c r="L16" i="1" s="1"/>
  <c r="AI15" i="1" l="1"/>
  <c r="K17" i="1"/>
  <c r="C77" i="1"/>
  <c r="B75" i="1"/>
  <c r="N16" i="1"/>
  <c r="B77" i="1"/>
  <c r="Y16" i="1"/>
  <c r="Z16" i="1" s="1"/>
  <c r="J17" i="1" s="1"/>
  <c r="E19" i="1"/>
  <c r="S17" i="1"/>
  <c r="G18" i="1"/>
  <c r="D19" i="1"/>
  <c r="D64" i="1"/>
  <c r="G63" i="1"/>
  <c r="AF17" i="1"/>
  <c r="AG17" i="1" s="1"/>
  <c r="AI16" i="1" l="1"/>
  <c r="K18" i="1"/>
  <c r="G64" i="1"/>
  <c r="D65" i="1"/>
  <c r="M69" i="1"/>
  <c r="G19" i="1"/>
  <c r="D20" i="1"/>
  <c r="S18" i="1"/>
  <c r="L17" i="1"/>
  <c r="M68" i="1"/>
  <c r="E20" i="1"/>
  <c r="AF18" i="1"/>
  <c r="AG18" i="1" s="1"/>
  <c r="D50" i="1"/>
  <c r="Y17" i="1"/>
  <c r="Z17" i="1" s="1"/>
  <c r="J18" i="1" s="1"/>
  <c r="L18" i="1" s="1"/>
  <c r="K19" i="1" l="1"/>
  <c r="AI17" i="1"/>
  <c r="N17" i="1"/>
  <c r="N18" i="1"/>
  <c r="D66" i="1"/>
  <c r="G65" i="1"/>
  <c r="AF19" i="1"/>
  <c r="AG19" i="1" s="1"/>
  <c r="E21" i="1"/>
  <c r="G20" i="1"/>
  <c r="S19" i="1"/>
  <c r="D21" i="1"/>
  <c r="Y18" i="1"/>
  <c r="Z18" i="1" s="1"/>
  <c r="J19" i="1" s="1"/>
  <c r="K20" i="1" l="1"/>
  <c r="AI18" i="1"/>
  <c r="E22" i="1"/>
  <c r="L19" i="1"/>
  <c r="D22" i="1"/>
  <c r="G21" i="1"/>
  <c r="S20" i="1"/>
  <c r="M70" i="1"/>
  <c r="M71" i="1"/>
  <c r="Y19" i="1"/>
  <c r="Z19" i="1" s="1"/>
  <c r="J20" i="1" s="1"/>
  <c r="L20" i="1" s="1"/>
  <c r="AF20" i="1"/>
  <c r="AG20" i="1" s="1"/>
  <c r="D67" i="1"/>
  <c r="G66" i="1"/>
  <c r="K21" i="1" l="1"/>
  <c r="AI19" i="1"/>
  <c r="N20" i="1"/>
  <c r="N19" i="1"/>
  <c r="G67" i="1"/>
  <c r="D68" i="1"/>
  <c r="M72" i="1"/>
  <c r="D23" i="1"/>
  <c r="S21" i="1"/>
  <c r="G22" i="1"/>
  <c r="AF21" i="1"/>
  <c r="AG21" i="1" s="1"/>
  <c r="Y20" i="1"/>
  <c r="Z20" i="1" s="1"/>
  <c r="J21" i="1" s="1"/>
  <c r="L21" i="1" s="1"/>
  <c r="E23" i="1"/>
  <c r="AI20" i="1" l="1"/>
  <c r="K22" i="1"/>
  <c r="N21" i="1"/>
  <c r="E24" i="1"/>
  <c r="Y21" i="1"/>
  <c r="Z21" i="1" s="1"/>
  <c r="J22" i="1" s="1"/>
  <c r="L22" i="1" s="1"/>
  <c r="N22" i="1" s="1"/>
  <c r="G68" i="1"/>
  <c r="D69" i="1"/>
  <c r="AF22" i="1"/>
  <c r="AG22" i="1" s="1"/>
  <c r="M73" i="1"/>
  <c r="S22" i="1"/>
  <c r="D24" i="1"/>
  <c r="G23" i="1"/>
  <c r="K23" i="1" l="1"/>
  <c r="AI21" i="1"/>
  <c r="G24" i="1"/>
  <c r="S23" i="1"/>
  <c r="D25" i="1"/>
  <c r="Y22" i="1"/>
  <c r="Z22" i="1" s="1"/>
  <c r="J23" i="1" s="1"/>
  <c r="L23" i="1" s="1"/>
  <c r="F29" i="1"/>
  <c r="F31" i="1"/>
  <c r="E25" i="1"/>
  <c r="D70" i="1"/>
  <c r="G69" i="1"/>
  <c r="AX14" i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F23" i="1"/>
  <c r="AG23" i="1" s="1"/>
  <c r="AI22" i="1" l="1"/>
  <c r="K24" i="1"/>
  <c r="N23" i="1"/>
  <c r="D71" i="1"/>
  <c r="G70" i="1"/>
  <c r="E26" i="1"/>
  <c r="Y23" i="1"/>
  <c r="Z23" i="1" s="1"/>
  <c r="J24" i="1" s="1"/>
  <c r="L24" i="1" s="1"/>
  <c r="AF24" i="1"/>
  <c r="AG24" i="1" s="1"/>
  <c r="S24" i="1"/>
  <c r="G25" i="1"/>
  <c r="D26" i="1"/>
  <c r="M74" i="1"/>
  <c r="L75" i="1"/>
  <c r="L77" i="1"/>
  <c r="K25" i="1" l="1"/>
  <c r="AI23" i="1"/>
  <c r="N24" i="1"/>
  <c r="Y24" i="1"/>
  <c r="Z24" i="1" s="1"/>
  <c r="J25" i="1" s="1"/>
  <c r="L25" i="1" s="1"/>
  <c r="D27" i="1"/>
  <c r="S25" i="1"/>
  <c r="G26" i="1"/>
  <c r="E27" i="1"/>
  <c r="AF25" i="1"/>
  <c r="AG25" i="1" s="1"/>
  <c r="H51" i="1"/>
  <c r="H55" i="1" s="1"/>
  <c r="H101" i="1"/>
  <c r="G51" i="1"/>
  <c r="G55" i="1" s="1"/>
  <c r="G101" i="1"/>
  <c r="M75" i="1"/>
  <c r="M77" i="1"/>
  <c r="G71" i="1"/>
  <c r="D72" i="1"/>
  <c r="K26" i="1" l="1"/>
  <c r="AI24" i="1"/>
  <c r="AC111" i="1"/>
  <c r="N25" i="1"/>
  <c r="AD111" i="1"/>
  <c r="D28" i="1"/>
  <c r="S28" i="1" s="1"/>
  <c r="S26" i="1"/>
  <c r="G27" i="1"/>
  <c r="AF26" i="1"/>
  <c r="AG26" i="1" s="1"/>
  <c r="E28" i="1"/>
  <c r="Y25" i="1"/>
  <c r="Z25" i="1" s="1"/>
  <c r="J26" i="1" s="1"/>
  <c r="L26" i="1" s="1"/>
  <c r="D73" i="1"/>
  <c r="G72" i="1"/>
  <c r="AI25" i="1" l="1"/>
  <c r="K27" i="1"/>
  <c r="N26" i="1"/>
  <c r="AF27" i="1"/>
  <c r="AG27" i="1" s="1"/>
  <c r="D74" i="1"/>
  <c r="G73" i="1"/>
  <c r="Y26" i="1"/>
  <c r="Z26" i="1" s="1"/>
  <c r="J27" i="1" s="1"/>
  <c r="L27" i="1" s="1"/>
  <c r="S27" i="1"/>
  <c r="G28" i="1"/>
  <c r="D29" i="1"/>
  <c r="C101" i="1" s="1"/>
  <c r="D31" i="1"/>
  <c r="D101" i="1" s="1"/>
  <c r="E29" i="1"/>
  <c r="C102" i="1" s="1"/>
  <c r="E31" i="1"/>
  <c r="D102" i="1" s="1"/>
  <c r="K28" i="1" l="1"/>
  <c r="AI26" i="1"/>
  <c r="N27" i="1"/>
  <c r="G31" i="1"/>
  <c r="G29" i="1"/>
  <c r="S29" i="1"/>
  <c r="Y27" i="1"/>
  <c r="Z27" i="1" s="1"/>
  <c r="J28" i="1" s="1"/>
  <c r="AF28" i="1"/>
  <c r="AG28" i="1" s="1"/>
  <c r="AZ14" i="1"/>
  <c r="G74" i="1"/>
  <c r="D75" i="1"/>
  <c r="G102" i="1" s="1"/>
  <c r="D77" i="1"/>
  <c r="H102" i="1" s="1"/>
  <c r="K29" i="1"/>
  <c r="K31" i="1"/>
  <c r="AI27" i="1" l="1"/>
  <c r="S30" i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AF30" i="1"/>
  <c r="AG30" i="1" s="1"/>
  <c r="L28" i="1"/>
  <c r="J31" i="1"/>
  <c r="D103" i="1" s="1"/>
  <c r="D104" i="1" s="1"/>
  <c r="J29" i="1"/>
  <c r="C103" i="1" s="1"/>
  <c r="C104" i="1" s="1"/>
  <c r="Y28" i="1"/>
  <c r="Z28" i="1" s="1"/>
  <c r="AI28" i="1" s="1"/>
  <c r="H104" i="1"/>
  <c r="D52" i="1"/>
  <c r="D55" i="1" s="1"/>
  <c r="I55" i="1" s="1"/>
  <c r="G104" i="1"/>
  <c r="C52" i="1"/>
  <c r="C55" i="1" s="1"/>
  <c r="G77" i="1"/>
  <c r="G75" i="1"/>
  <c r="AF29" i="1"/>
  <c r="AG29" i="1" s="1"/>
  <c r="AM111" i="1" l="1"/>
  <c r="L5" i="1"/>
  <c r="Y30" i="1"/>
  <c r="Z30" i="1" s="1"/>
  <c r="AI30" i="1" s="1"/>
  <c r="AF31" i="1"/>
  <c r="AG31" i="1" s="1"/>
  <c r="N28" i="1"/>
  <c r="L31" i="1"/>
  <c r="H105" i="1"/>
  <c r="D105" i="1" s="1"/>
  <c r="G105" i="1"/>
  <c r="C105" i="1" s="1"/>
  <c r="AE111" i="1"/>
  <c r="Y29" i="1"/>
  <c r="Z29" i="1" s="1"/>
  <c r="AI29" i="1" s="1"/>
  <c r="L29" i="1"/>
  <c r="AF32" i="1" l="1"/>
  <c r="AG32" i="1" s="1"/>
  <c r="Y31" i="1"/>
  <c r="Z31" i="1" s="1"/>
  <c r="AI31" i="1" s="1"/>
  <c r="N29" i="1"/>
  <c r="N31" i="1"/>
  <c r="X111" i="1"/>
  <c r="AG111" i="1"/>
  <c r="AH111" i="1" l="1"/>
  <c r="AI111" i="1"/>
  <c r="Y32" i="1"/>
  <c r="Z32" i="1" s="1"/>
  <c r="AI32" i="1" s="1"/>
  <c r="AF33" i="1"/>
  <c r="AG33" i="1" s="1"/>
  <c r="Z111" i="1"/>
  <c r="AB111" i="1" s="1"/>
  <c r="Y33" i="1" l="1"/>
  <c r="Z33" i="1" s="1"/>
  <c r="AI33" i="1" s="1"/>
  <c r="AF34" i="1"/>
  <c r="AG34" i="1" s="1"/>
  <c r="AF35" i="1" l="1"/>
  <c r="AG35" i="1" s="1"/>
  <c r="Y34" i="1"/>
  <c r="Z34" i="1" s="1"/>
  <c r="AI34" i="1" s="1"/>
  <c r="Y35" i="1" l="1"/>
  <c r="Z35" i="1" s="1"/>
  <c r="AI35" i="1" s="1"/>
  <c r="AF36" i="1"/>
  <c r="AG36" i="1" s="1"/>
  <c r="AF37" i="1" l="1"/>
  <c r="AG37" i="1" s="1"/>
  <c r="Y36" i="1"/>
  <c r="Z36" i="1" s="1"/>
  <c r="AI36" i="1" s="1"/>
  <c r="Y37" i="1" l="1"/>
  <c r="Z37" i="1" s="1"/>
  <c r="AI37" i="1" s="1"/>
  <c r="AF38" i="1"/>
  <c r="AG38" i="1" s="1"/>
  <c r="AF39" i="1" l="1"/>
  <c r="AG39" i="1" s="1"/>
  <c r="Y38" i="1"/>
  <c r="Z38" i="1" s="1"/>
  <c r="AI38" i="1" s="1"/>
  <c r="Y39" i="1" l="1"/>
  <c r="Z39" i="1" s="1"/>
  <c r="AI39" i="1" s="1"/>
  <c r="AF40" i="1"/>
  <c r="AG40" i="1" s="1"/>
  <c r="AF41" i="1" l="1"/>
  <c r="AG41" i="1" s="1"/>
  <c r="Y40" i="1"/>
  <c r="Z40" i="1" s="1"/>
  <c r="AI40" i="1" s="1"/>
  <c r="AF42" i="1" l="1"/>
  <c r="AG42" i="1" s="1"/>
  <c r="Y41" i="1"/>
  <c r="Z41" i="1" s="1"/>
  <c r="AI41" i="1" s="1"/>
  <c r="AG43" i="1" l="1"/>
  <c r="Y42" i="1"/>
  <c r="Z42" i="1" s="1"/>
  <c r="AI42" i="1" s="1"/>
  <c r="AI43" i="1" s="1"/>
  <c r="Z43" i="1" l="1"/>
  <c r="L6" i="1" s="1"/>
  <c r="L7" i="1" s="1"/>
  <c r="D106" i="1" s="1"/>
  <c r="AQ111" i="1" l="1"/>
  <c r="AR111" i="1" s="1"/>
</calcChain>
</file>

<file path=xl/sharedStrings.xml><?xml version="1.0" encoding="utf-8"?>
<sst xmlns="http://schemas.openxmlformats.org/spreadsheetml/2006/main" count="185" uniqueCount="124">
  <si>
    <t>Terceros</t>
  </si>
  <si>
    <t>Separación de cargas</t>
  </si>
  <si>
    <t>todo incluido</t>
  </si>
  <si>
    <t>Anticipo</t>
  </si>
  <si>
    <t>Depreciación acelerada</t>
  </si>
  <si>
    <t>Ahorro energético</t>
  </si>
  <si>
    <t>Ingresos por arrendamiento</t>
  </si>
  <si>
    <t>Pago diferido</t>
  </si>
  <si>
    <t>flujo Neto</t>
  </si>
  <si>
    <t>Ahorros PPA Green</t>
  </si>
  <si>
    <t>Ahorros PPA bioCYCLO</t>
  </si>
  <si>
    <t>Ahorros PPA TOTALES</t>
  </si>
  <si>
    <t>Tarifa CFE</t>
  </si>
  <si>
    <t>Tarifa PPA</t>
  </si>
  <si>
    <t>Ahorro Tarifa</t>
  </si>
  <si>
    <t>Ahorro neto</t>
  </si>
  <si>
    <t>propios</t>
  </si>
  <si>
    <t>Año</t>
  </si>
  <si>
    <t>Ahorro energía adicional</t>
  </si>
  <si>
    <t>PPA Calc</t>
  </si>
  <si>
    <t>año 16-30</t>
  </si>
  <si>
    <t>Sitio</t>
  </si>
  <si>
    <t>Potencia</t>
  </si>
  <si>
    <t>% energía Solar</t>
  </si>
  <si>
    <t>Energía solar kWh</t>
  </si>
  <si>
    <t>Precio medio desplazado</t>
  </si>
  <si>
    <t>Ahorro por tarifa</t>
  </si>
  <si>
    <t>Alcance</t>
  </si>
  <si>
    <t>Ubicación</t>
  </si>
  <si>
    <t>Potencia kWp</t>
  </si>
  <si>
    <t>Inversión CapEx</t>
  </si>
  <si>
    <t>OpEX anual</t>
  </si>
  <si>
    <t>Seguros anual</t>
  </si>
  <si>
    <t>Reemplazo inv FV</t>
  </si>
  <si>
    <t>A</t>
  </si>
  <si>
    <t>Sistema Solar Fotovoltaico</t>
  </si>
  <si>
    <t>Planta</t>
  </si>
  <si>
    <t>Inflación</t>
  </si>
  <si>
    <t>B</t>
  </si>
  <si>
    <t>Separación de cargas, incluye:</t>
  </si>
  <si>
    <t>Multiservicios 2001</t>
  </si>
  <si>
    <t>Diagnóstico energético y mediciones</t>
  </si>
  <si>
    <t>Acometida y medición en MT</t>
  </si>
  <si>
    <t xml:space="preserve">Instalación </t>
  </si>
  <si>
    <t>Línea subterránea MT</t>
  </si>
  <si>
    <t>Desmantelamiento existente</t>
  </si>
  <si>
    <t>Proyectos ingenierías y trámites</t>
  </si>
  <si>
    <t>Pago depósito garantía CFE</t>
  </si>
  <si>
    <t>C</t>
  </si>
  <si>
    <t>Sistema Solar Fotovoltaico (PPA)</t>
  </si>
  <si>
    <t>Inprod Treats</t>
  </si>
  <si>
    <t>Inprod RED</t>
  </si>
  <si>
    <t>CapEx</t>
  </si>
  <si>
    <t xml:space="preserve">Inversión inicial </t>
  </si>
  <si>
    <t xml:space="preserve">Depreciación </t>
  </si>
  <si>
    <t>OpEx Anual</t>
  </si>
  <si>
    <t>Reemplazos</t>
  </si>
  <si>
    <t>Costos totales</t>
  </si>
  <si>
    <t>Pago Diferido</t>
  </si>
  <si>
    <t>TOTALES</t>
  </si>
  <si>
    <t>Tasa VPN</t>
  </si>
  <si>
    <t>Beneficios NU3</t>
  </si>
  <si>
    <t>Netos</t>
  </si>
  <si>
    <t>VPN</t>
  </si>
  <si>
    <t>Beneficios Finsolar</t>
  </si>
  <si>
    <t>Ahorro Energético en sitio</t>
  </si>
  <si>
    <t>Costos O&amp;M</t>
  </si>
  <si>
    <t>Ahorro PPA</t>
  </si>
  <si>
    <t>Distribución valor % del TOTAL</t>
  </si>
  <si>
    <t>Costo CapEx</t>
  </si>
  <si>
    <t>Inversión inicial</t>
  </si>
  <si>
    <t>Inversión diferida</t>
  </si>
  <si>
    <t>ahorro TotEx</t>
  </si>
  <si>
    <t>DISTRIBUCIÓN DE BENEFICIOS</t>
  </si>
  <si>
    <t>D</t>
  </si>
  <si>
    <t>Inversión Total</t>
  </si>
  <si>
    <t>Estructura de inversión</t>
  </si>
  <si>
    <t>kWp</t>
  </si>
  <si>
    <t>Distribución de activos</t>
  </si>
  <si>
    <t xml:space="preserve">Propios </t>
  </si>
  <si>
    <t>(ahorro energético directo)</t>
  </si>
  <si>
    <t>(ingresos por arrenamiento + ahorros PPA)</t>
  </si>
  <si>
    <t>Fuentes de beneficio / alcance</t>
  </si>
  <si>
    <t>Ingresos arrendamiento año 1</t>
  </si>
  <si>
    <t>Ahorros por PPA año 1</t>
  </si>
  <si>
    <t>Flujos del proyecto Multiservicios</t>
  </si>
  <si>
    <t>Beneficios adicionales por PPA</t>
  </si>
  <si>
    <t>Beneficio TOTAL</t>
  </si>
  <si>
    <t>INSTALACIONES PROPIAS</t>
  </si>
  <si>
    <t>INSTALACIONES TERCEROS</t>
  </si>
  <si>
    <t>Ahorro energético año 1</t>
  </si>
  <si>
    <t>Ahoro anual por PPA año 1</t>
  </si>
  <si>
    <t>Pago arrendamiento</t>
  </si>
  <si>
    <t>Costos TotEx</t>
  </si>
  <si>
    <t>TotEx</t>
  </si>
  <si>
    <t>incremento CFE</t>
  </si>
  <si>
    <t>Incremento arrendamiento</t>
  </si>
  <si>
    <t>Escalador Pago diferido</t>
  </si>
  <si>
    <t>Desglose de costos CapEx</t>
  </si>
  <si>
    <t>Costos de CapEx/OpEx</t>
  </si>
  <si>
    <t>CapEx USD/W</t>
  </si>
  <si>
    <t>O&amp;M USD/W</t>
  </si>
  <si>
    <t>Seguros (% CapEX/año)</t>
  </si>
  <si>
    <t>Variables de costo</t>
  </si>
  <si>
    <t>Fx</t>
  </si>
  <si>
    <t>Inversión inicial con depreciación</t>
  </si>
  <si>
    <t>COMPARATIVO DE COSTOS TOTALES</t>
  </si>
  <si>
    <t>Finsolar, Solo si se cumplen los ahorros energéticos y compromisos al 100%</t>
  </si>
  <si>
    <t>VARIABLES</t>
  </si>
  <si>
    <t>Plazo  (años)</t>
  </si>
  <si>
    <t>Ahorros energéticos Propios</t>
  </si>
  <si>
    <t xml:space="preserve">Ahorros energéticos PPAs </t>
  </si>
  <si>
    <t>Ahorros adicionales (al fin del plazo)</t>
  </si>
  <si>
    <t>Aumento PPA</t>
  </si>
  <si>
    <t>Multiservicios</t>
  </si>
  <si>
    <t>Invrestigación Productiva Green</t>
  </si>
  <si>
    <t>bioCYCLO</t>
  </si>
  <si>
    <t>Generación (kWh)</t>
  </si>
  <si>
    <t>DEGLOSE DE AHORROS POR SITIO</t>
  </si>
  <si>
    <t>Totales</t>
  </si>
  <si>
    <t>Investigación Productiva Green</t>
  </si>
  <si>
    <t>PROYECTO DE INVERSIÓN FINSOLAR / MULTISERVICIOS</t>
  </si>
  <si>
    <t>RESUMEN DE BENEFICIOS POR SITIO</t>
  </si>
  <si>
    <t>energía durante vida de paneles (años 16 a 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</si>
</sst>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_);_(@_)"/>
    <numFmt numFmtId="165" formatCode="0.000%"/>
    <numFmt numFmtId="166" formatCode="_(&quot;$&quot;* #,##0_);_(&quot;$&quot;* \(#,##0\);_(&quot;$&quot;* &quot;-&quot;??_);_(@_)"/>
    <numFmt numFmtId="167" formatCode="_(&quot;$&quot;* #,##0.0000_);_(&quot;$&quot;* \(#,##0.0000\);_(&quot;$&quot;* &quot;-&quot;????_);_(@_)"/>
    <numFmt numFmtId="168" formatCode="&quot;$&quot;#,##0"/>
    <numFmt numFmtId="169" formatCode="_(* #,##0_);_(* \(#,##0\);_(* &quot;-&quot;??_);_(@_)"/>
  </numFmts>
  <fonts count="1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b/>
      <sz val="12"/>
      <color theme="0"/>
      <name val="Aptos Narrow"/>
      <scheme val="minor"/>
    </font>
    <font>
      <b/>
      <sz val="11"/>
      <color theme="1"/>
      <name val="Aptos Narrow"/>
      <scheme val="minor"/>
    </font>
    <font>
      <i/>
      <sz val="11"/>
      <color theme="1"/>
      <name val="Aptos Narrow"/>
      <scheme val="minor"/>
    </font>
    <font>
      <sz val="11"/>
      <color theme="1"/>
      <name val="Aptos Narrow"/>
      <scheme val="minor"/>
    </font>
    <font>
      <i/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b/>
      <i/>
      <sz val="16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1">
    <xf numFmtId="0" fontId="0" fillId="0" borderId="0" xfId="0"/>
    <xf numFmtId="44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44" fontId="3" fillId="0" borderId="0" xfId="2" applyFont="1"/>
    <xf numFmtId="0" fontId="0" fillId="0" borderId="1" xfId="0" applyBorder="1"/>
    <xf numFmtId="0" fontId="0" fillId="0" borderId="4" xfId="0" applyBorder="1"/>
    <xf numFmtId="0" fontId="3" fillId="0" borderId="5" xfId="0" applyFont="1" applyBorder="1"/>
    <xf numFmtId="164" fontId="0" fillId="0" borderId="0" xfId="0" applyNumberFormat="1"/>
    <xf numFmtId="44" fontId="0" fillId="0" borderId="0" xfId="2" applyFont="1"/>
    <xf numFmtId="0" fontId="3" fillId="0" borderId="0" xfId="0" applyFont="1" applyAlignment="1">
      <alignment horizontal="center"/>
    </xf>
    <xf numFmtId="44" fontId="0" fillId="0" borderId="0" xfId="2" applyFont="1" applyBorder="1"/>
    <xf numFmtId="165" fontId="0" fillId="0" borderId="0" xfId="0" applyNumberFormat="1"/>
    <xf numFmtId="166" fontId="0" fillId="0" borderId="0" xfId="0" applyNumberFormat="1"/>
    <xf numFmtId="166" fontId="4" fillId="0" borderId="0" xfId="0" applyNumberFormat="1" applyFont="1"/>
    <xf numFmtId="0" fontId="0" fillId="0" borderId="6" xfId="0" applyBorder="1"/>
    <xf numFmtId="0" fontId="0" fillId="0" borderId="7" xfId="0" applyBorder="1"/>
    <xf numFmtId="44" fontId="0" fillId="0" borderId="7" xfId="0" applyNumberFormat="1" applyBorder="1"/>
    <xf numFmtId="44" fontId="0" fillId="0" borderId="7" xfId="2" applyFont="1" applyBorder="1"/>
    <xf numFmtId="0" fontId="0" fillId="0" borderId="9" xfId="0" applyBorder="1"/>
    <xf numFmtId="44" fontId="3" fillId="0" borderId="0" xfId="2" applyFont="1" applyBorder="1"/>
    <xf numFmtId="6" fontId="5" fillId="2" borderId="0" xfId="0" applyNumberFormat="1" applyFont="1" applyFill="1" applyAlignment="1">
      <alignment horizontal="center"/>
    </xf>
    <xf numFmtId="8" fontId="3" fillId="0" borderId="0" xfId="0" applyNumberFormat="1" applyFont="1"/>
    <xf numFmtId="9" fontId="0" fillId="0" borderId="0" xfId="3" applyFont="1" applyAlignment="1">
      <alignment horizontal="center"/>
    </xf>
    <xf numFmtId="164" fontId="0" fillId="0" borderId="0" xfId="2" applyNumberFormat="1" applyFont="1"/>
    <xf numFmtId="166" fontId="3" fillId="0" borderId="0" xfId="2" applyNumberFormat="1" applyFont="1"/>
    <xf numFmtId="0" fontId="2" fillId="4" borderId="0" xfId="0" applyFont="1" applyFill="1"/>
    <xf numFmtId="0" fontId="6" fillId="4" borderId="0" xfId="0" applyFont="1" applyFill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168" fontId="4" fillId="0" borderId="7" xfId="2" applyNumberFormat="1" applyFont="1" applyBorder="1" applyAlignment="1">
      <alignment horizontal="center"/>
    </xf>
    <xf numFmtId="168" fontId="0" fillId="0" borderId="0" xfId="0" applyNumberFormat="1"/>
    <xf numFmtId="168" fontId="0" fillId="0" borderId="7" xfId="0" applyNumberFormat="1" applyBorder="1"/>
    <xf numFmtId="9" fontId="0" fillId="0" borderId="0" xfId="3" applyFont="1" applyFill="1" applyBorder="1"/>
    <xf numFmtId="9" fontId="0" fillId="0" borderId="0" xfId="3" applyFont="1"/>
    <xf numFmtId="0" fontId="3" fillId="3" borderId="0" xfId="0" applyFont="1" applyFill="1"/>
    <xf numFmtId="9" fontId="3" fillId="3" borderId="0" xfId="3" applyFont="1" applyFill="1"/>
    <xf numFmtId="0" fontId="8" fillId="5" borderId="0" xfId="0" applyFont="1" applyFill="1" applyAlignment="1">
      <alignment horizontal="right"/>
    </xf>
    <xf numFmtId="168" fontId="8" fillId="5" borderId="0" xfId="2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8" fontId="8" fillId="0" borderId="0" xfId="2" applyNumberFormat="1" applyFont="1" applyFill="1" applyBorder="1" applyAlignment="1">
      <alignment horizontal="center"/>
    </xf>
    <xf numFmtId="44" fontId="3" fillId="0" borderId="0" xfId="0" applyNumberFormat="1" applyFont="1"/>
    <xf numFmtId="9" fontId="3" fillId="0" borderId="0" xfId="0" applyNumberFormat="1" applyFont="1" applyAlignment="1">
      <alignment horizontal="center"/>
    </xf>
    <xf numFmtId="9" fontId="3" fillId="0" borderId="0" xfId="3" applyFont="1" applyFill="1" applyBorder="1" applyAlignment="1">
      <alignment horizontal="center"/>
    </xf>
    <xf numFmtId="168" fontId="3" fillId="0" borderId="0" xfId="0" applyNumberFormat="1" applyFont="1"/>
    <xf numFmtId="6" fontId="0" fillId="0" borderId="0" xfId="0" applyNumberFormat="1"/>
    <xf numFmtId="6" fontId="3" fillId="0" borderId="0" xfId="0" applyNumberFormat="1" applyFont="1"/>
    <xf numFmtId="44" fontId="0" fillId="0" borderId="0" xfId="2" applyFont="1" applyFill="1" applyBorder="1"/>
    <xf numFmtId="9" fontId="3" fillId="0" borderId="0" xfId="3" applyFont="1" applyFill="1" applyAlignment="1">
      <alignment horizontal="center"/>
    </xf>
    <xf numFmtId="0" fontId="0" fillId="0" borderId="14" xfId="0" applyBorder="1"/>
    <xf numFmtId="166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10" fillId="0" borderId="0" xfId="0" applyFont="1"/>
    <xf numFmtId="0" fontId="11" fillId="0" borderId="0" xfId="0" applyFont="1"/>
    <xf numFmtId="0" fontId="10" fillId="0" borderId="12" xfId="0" applyFont="1" applyBorder="1" applyAlignment="1">
      <alignment horizontal="right"/>
    </xf>
    <xf numFmtId="0" fontId="10" fillId="0" borderId="18" xfId="0" applyFont="1" applyBorder="1"/>
    <xf numFmtId="0" fontId="0" fillId="0" borderId="13" xfId="0" applyBorder="1"/>
    <xf numFmtId="0" fontId="10" fillId="0" borderId="16" xfId="0" applyFont="1" applyBorder="1" applyAlignment="1">
      <alignment horizontal="right"/>
    </xf>
    <xf numFmtId="0" fontId="10" fillId="0" borderId="7" xfId="0" applyFont="1" applyBorder="1"/>
    <xf numFmtId="0" fontId="0" fillId="0" borderId="14" xfId="0" applyBorder="1" applyAlignment="1">
      <alignment horizontal="right"/>
    </xf>
    <xf numFmtId="0" fontId="11" fillId="0" borderId="17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3" fillId="0" borderId="5" xfId="0" applyNumberFormat="1" applyFont="1" applyBorder="1"/>
    <xf numFmtId="166" fontId="0" fillId="0" borderId="0" xfId="2" applyNumberFormat="1" applyFont="1" applyBorder="1"/>
    <xf numFmtId="166" fontId="0" fillId="0" borderId="7" xfId="0" applyNumberFormat="1" applyBorder="1"/>
    <xf numFmtId="166" fontId="0" fillId="0" borderId="7" xfId="2" applyNumberFormat="1" applyFont="1" applyBorder="1"/>
    <xf numFmtId="166" fontId="3" fillId="0" borderId="8" xfId="0" applyNumberFormat="1" applyFont="1" applyBorder="1"/>
    <xf numFmtId="166" fontId="0" fillId="0" borderId="10" xfId="0" applyNumberFormat="1" applyBorder="1"/>
    <xf numFmtId="166" fontId="3" fillId="0" borderId="10" xfId="2" applyNumberFormat="1" applyFont="1" applyBorder="1"/>
    <xf numFmtId="166" fontId="3" fillId="0" borderId="11" xfId="2" applyNumberFormat="1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5" fontId="5" fillId="2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44" fontId="3" fillId="0" borderId="5" xfId="2" applyFont="1" applyBorder="1"/>
    <xf numFmtId="44" fontId="3" fillId="0" borderId="8" xfId="2" applyFont="1" applyBorder="1"/>
    <xf numFmtId="0" fontId="3" fillId="0" borderId="23" xfId="0" applyFont="1" applyBorder="1" applyAlignment="1">
      <alignment horizontal="center" vertical="center" wrapText="1"/>
    </xf>
    <xf numFmtId="166" fontId="3" fillId="0" borderId="24" xfId="0" applyNumberFormat="1" applyFont="1" applyBorder="1"/>
    <xf numFmtId="166" fontId="3" fillId="0" borderId="25" xfId="2" applyNumberFormat="1" applyFont="1" applyBorder="1"/>
    <xf numFmtId="166" fontId="3" fillId="0" borderId="22" xfId="0" applyNumberFormat="1" applyFont="1" applyBorder="1"/>
    <xf numFmtId="0" fontId="0" fillId="2" borderId="26" xfId="0" applyFill="1" applyBorder="1" applyAlignment="1">
      <alignment horizontal="center"/>
    </xf>
    <xf numFmtId="9" fontId="0" fillId="0" borderId="7" xfId="3" applyFont="1" applyBorder="1" applyAlignment="1">
      <alignment horizontal="center"/>
    </xf>
    <xf numFmtId="164" fontId="0" fillId="0" borderId="7" xfId="2" applyNumberFormat="1" applyFont="1" applyBorder="1"/>
    <xf numFmtId="164" fontId="0" fillId="0" borderId="7" xfId="0" applyNumberFormat="1" applyBorder="1"/>
    <xf numFmtId="167" fontId="0" fillId="0" borderId="7" xfId="0" applyNumberFormat="1" applyBorder="1"/>
    <xf numFmtId="166" fontId="3" fillId="0" borderId="7" xfId="2" applyNumberFormat="1" applyFont="1" applyBorder="1"/>
    <xf numFmtId="166" fontId="0" fillId="0" borderId="0" xfId="0" applyNumberFormat="1" applyAlignment="1">
      <alignment horizontal="center" vertical="center" wrapText="1"/>
    </xf>
    <xf numFmtId="3" fontId="0" fillId="0" borderId="7" xfId="0" applyNumberForma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4" xfId="0" applyFont="1" applyBorder="1"/>
    <xf numFmtId="168" fontId="4" fillId="0" borderId="0" xfId="2" applyNumberFormat="1" applyFont="1" applyBorder="1" applyAlignment="1">
      <alignment horizontal="center"/>
    </xf>
    <xf numFmtId="168" fontId="3" fillId="0" borderId="5" xfId="2" applyNumberFormat="1" applyFont="1" applyBorder="1" applyAlignment="1">
      <alignment horizontal="center"/>
    </xf>
    <xf numFmtId="9" fontId="4" fillId="0" borderId="0" xfId="3" applyFont="1" applyBorder="1" applyAlignment="1">
      <alignment horizontal="center"/>
    </xf>
    <xf numFmtId="0" fontId="3" fillId="0" borderId="6" xfId="0" applyFont="1" applyBorder="1"/>
    <xf numFmtId="168" fontId="3" fillId="0" borderId="8" xfId="2" applyNumberFormat="1" applyFont="1" applyBorder="1" applyAlignment="1">
      <alignment horizontal="center"/>
    </xf>
    <xf numFmtId="0" fontId="3" fillId="0" borderId="9" xfId="0" applyFont="1" applyBorder="1"/>
    <xf numFmtId="168" fontId="3" fillId="0" borderId="10" xfId="0" applyNumberFormat="1" applyFont="1" applyBorder="1" applyAlignment="1">
      <alignment horizontal="center"/>
    </xf>
    <xf numFmtId="168" fontId="3" fillId="0" borderId="11" xfId="0" applyNumberFormat="1" applyFont="1" applyBorder="1" applyAlignment="1">
      <alignment horizontal="center"/>
    </xf>
    <xf numFmtId="168" fontId="0" fillId="0" borderId="15" xfId="0" applyNumberFormat="1" applyBorder="1"/>
    <xf numFmtId="44" fontId="0" fillId="0" borderId="15" xfId="2" applyFont="1" applyBorder="1"/>
    <xf numFmtId="6" fontId="0" fillId="0" borderId="15" xfId="0" applyNumberFormat="1" applyBorder="1"/>
    <xf numFmtId="168" fontId="3" fillId="0" borderId="7" xfId="0" applyNumberFormat="1" applyFont="1" applyBorder="1"/>
    <xf numFmtId="168" fontId="3" fillId="0" borderId="17" xfId="0" applyNumberFormat="1" applyFont="1" applyBorder="1"/>
    <xf numFmtId="0" fontId="2" fillId="0" borderId="0" xfId="0" applyFont="1"/>
    <xf numFmtId="0" fontId="4" fillId="0" borderId="14" xfId="0" applyFont="1" applyBorder="1" applyAlignment="1">
      <alignment horizontal="right"/>
    </xf>
    <xf numFmtId="168" fontId="0" fillId="0" borderId="0" xfId="2" applyNumberFormat="1" applyFont="1" applyBorder="1"/>
    <xf numFmtId="6" fontId="0" fillId="0" borderId="15" xfId="2" applyNumberFormat="1" applyFont="1" applyBorder="1"/>
    <xf numFmtId="0" fontId="0" fillId="0" borderId="16" xfId="0" applyBorder="1" applyAlignment="1">
      <alignment horizontal="right"/>
    </xf>
    <xf numFmtId="44" fontId="0" fillId="0" borderId="17" xfId="2" applyFont="1" applyBorder="1"/>
    <xf numFmtId="0" fontId="3" fillId="0" borderId="16" xfId="0" applyFont="1" applyBorder="1" applyAlignment="1">
      <alignment horizontal="right"/>
    </xf>
    <xf numFmtId="0" fontId="5" fillId="0" borderId="0" xfId="0" applyFont="1"/>
    <xf numFmtId="0" fontId="3" fillId="0" borderId="19" xfId="0" applyFont="1" applyBorder="1" applyAlignment="1">
      <alignment horizontal="right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6" fontId="4" fillId="0" borderId="17" xfId="0" applyNumberFormat="1" applyFont="1" applyBorder="1"/>
    <xf numFmtId="9" fontId="10" fillId="0" borderId="0" xfId="0" applyNumberFormat="1" applyFont="1" applyAlignment="1">
      <alignment horizontal="center" vertical="center" wrapText="1"/>
    </xf>
    <xf numFmtId="9" fontId="10" fillId="0" borderId="0" xfId="3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3" fillId="0" borderId="4" xfId="0" applyFont="1" applyBorder="1" applyAlignment="1">
      <alignment horizontal="right"/>
    </xf>
    <xf numFmtId="168" fontId="4" fillId="0" borderId="5" xfId="2" applyNumberFormat="1" applyFont="1" applyBorder="1" applyAlignment="1">
      <alignment horizontal="center"/>
    </xf>
    <xf numFmtId="0" fontId="7" fillId="5" borderId="4" xfId="0" applyFont="1" applyFill="1" applyBorder="1" applyAlignment="1">
      <alignment horizontal="right"/>
    </xf>
    <xf numFmtId="0" fontId="9" fillId="5" borderId="0" xfId="0" applyFont="1" applyFill="1" applyAlignment="1">
      <alignment horizontal="center"/>
    </xf>
    <xf numFmtId="168" fontId="9" fillId="5" borderId="0" xfId="2" applyNumberFormat="1" applyFont="1" applyFill="1" applyBorder="1" applyAlignment="1">
      <alignment horizontal="center"/>
    </xf>
    <xf numFmtId="168" fontId="9" fillId="5" borderId="5" xfId="2" applyNumberFormat="1" applyFont="1" applyFill="1" applyBorder="1" applyAlignment="1">
      <alignment horizontal="center"/>
    </xf>
    <xf numFmtId="168" fontId="4" fillId="0" borderId="8" xfId="2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0" xfId="0" applyFont="1"/>
    <xf numFmtId="0" fontId="3" fillId="0" borderId="10" xfId="0" applyFont="1" applyBorder="1"/>
    <xf numFmtId="1" fontId="0" fillId="0" borderId="0" xfId="0" applyNumberFormat="1" applyAlignment="1">
      <alignment horizontal="center"/>
    </xf>
    <xf numFmtId="1" fontId="9" fillId="5" borderId="0" xfId="0" applyNumberFormat="1" applyFont="1" applyFill="1" applyAlignment="1">
      <alignment horizontal="center"/>
    </xf>
    <xf numFmtId="1" fontId="0" fillId="0" borderId="7" xfId="0" applyNumberForma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9" fillId="0" borderId="4" xfId="0" applyFont="1" applyBorder="1"/>
    <xf numFmtId="44" fontId="9" fillId="0" borderId="0" xfId="2" applyFont="1" applyFill="1" applyBorder="1"/>
    <xf numFmtId="9" fontId="9" fillId="0" borderId="5" xfId="0" applyNumberFormat="1" applyFont="1" applyBorder="1" applyAlignment="1">
      <alignment horizontal="center"/>
    </xf>
    <xf numFmtId="44" fontId="0" fillId="0" borderId="10" xfId="2" applyFont="1" applyFill="1" applyBorder="1"/>
    <xf numFmtId="9" fontId="0" fillId="0" borderId="11" xfId="0" applyNumberFormat="1" applyBorder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/>
    </xf>
    <xf numFmtId="43" fontId="10" fillId="0" borderId="0" xfId="0" applyNumberFormat="1" applyFont="1" applyAlignment="1">
      <alignment horizontal="center"/>
    </xf>
    <xf numFmtId="44" fontId="10" fillId="0" borderId="0" xfId="0" applyNumberFormat="1" applyFont="1" applyAlignment="1">
      <alignment horizontal="center"/>
    </xf>
    <xf numFmtId="44" fontId="10" fillId="0" borderId="0" xfId="2" applyFont="1" applyFill="1" applyAlignment="1">
      <alignment horizontal="center"/>
    </xf>
    <xf numFmtId="44" fontId="10" fillId="0" borderId="0" xfId="2" applyFont="1" applyFill="1" applyBorder="1" applyAlignment="1">
      <alignment horizontal="center"/>
    </xf>
    <xf numFmtId="10" fontId="10" fillId="5" borderId="0" xfId="0" applyNumberFormat="1" applyFont="1" applyFill="1" applyAlignment="1">
      <alignment horizontal="center"/>
    </xf>
    <xf numFmtId="9" fontId="10" fillId="5" borderId="0" xfId="0" applyNumberFormat="1" applyFont="1" applyFill="1" applyAlignment="1">
      <alignment horizontal="center"/>
    </xf>
    <xf numFmtId="44" fontId="8" fillId="5" borderId="0" xfId="2" applyFont="1" applyFill="1"/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4" fontId="8" fillId="0" borderId="0" xfId="2" applyFont="1" applyFill="1" applyAlignment="1">
      <alignment horizontal="center" vertical="center"/>
    </xf>
    <xf numFmtId="6" fontId="0" fillId="0" borderId="5" xfId="0" applyNumberFormat="1" applyBorder="1"/>
    <xf numFmtId="6" fontId="0" fillId="0" borderId="8" xfId="0" applyNumberFormat="1" applyBorder="1"/>
    <xf numFmtId="6" fontId="3" fillId="0" borderId="5" xfId="0" applyNumberFormat="1" applyFont="1" applyBorder="1"/>
    <xf numFmtId="0" fontId="3" fillId="3" borderId="9" xfId="0" applyFont="1" applyFill="1" applyBorder="1"/>
    <xf numFmtId="9" fontId="3" fillId="3" borderId="10" xfId="0" applyNumberFormat="1" applyFont="1" applyFill="1" applyBorder="1" applyAlignment="1">
      <alignment horizontal="center"/>
    </xf>
    <xf numFmtId="9" fontId="3" fillId="3" borderId="11" xfId="0" applyNumberFormat="1" applyFont="1" applyFill="1" applyBorder="1" applyAlignment="1">
      <alignment horizontal="center"/>
    </xf>
    <xf numFmtId="0" fontId="0" fillId="0" borderId="4" xfId="0" applyBorder="1" applyAlignment="1">
      <alignment horizontal="right"/>
    </xf>
    <xf numFmtId="168" fontId="0" fillId="0" borderId="5" xfId="0" applyNumberFormat="1" applyBorder="1"/>
    <xf numFmtId="0" fontId="0" fillId="0" borderId="8" xfId="0" applyBorder="1"/>
    <xf numFmtId="9" fontId="3" fillId="3" borderId="10" xfId="3" applyFont="1" applyFill="1" applyBorder="1" applyAlignment="1">
      <alignment horizontal="center"/>
    </xf>
    <xf numFmtId="9" fontId="3" fillId="3" borderId="11" xfId="3" applyFont="1" applyFill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8" xfId="0" applyFont="1" applyBorder="1"/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8" xfId="0" applyFont="1" applyBorder="1" applyAlignment="1">
      <alignment horizontal="right"/>
    </xf>
    <xf numFmtId="0" fontId="0" fillId="0" borderId="6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6" fontId="5" fillId="2" borderId="0" xfId="0" applyNumberFormat="1" applyFont="1" applyFill="1" applyAlignment="1">
      <alignment horizontal="right"/>
    </xf>
    <xf numFmtId="166" fontId="3" fillId="0" borderId="15" xfId="2" applyNumberFormat="1" applyFont="1" applyBorder="1"/>
    <xf numFmtId="0" fontId="3" fillId="0" borderId="14" xfId="0" applyFont="1" applyBorder="1" applyAlignment="1">
      <alignment horizontal="right"/>
    </xf>
    <xf numFmtId="166" fontId="3" fillId="0" borderId="15" xfId="0" applyNumberFormat="1" applyFont="1" applyBorder="1"/>
    <xf numFmtId="166" fontId="3" fillId="0" borderId="17" xfId="2" applyNumberFormat="1" applyFont="1" applyBorder="1"/>
    <xf numFmtId="0" fontId="11" fillId="2" borderId="0" xfId="0" applyFont="1" applyFill="1"/>
    <xf numFmtId="0" fontId="10" fillId="2" borderId="0" xfId="0" applyFont="1" applyFill="1"/>
    <xf numFmtId="10" fontId="10" fillId="2" borderId="0" xfId="0" applyNumberFormat="1" applyFont="1" applyFill="1"/>
    <xf numFmtId="10" fontId="10" fillId="0" borderId="0" xfId="0" applyNumberFormat="1" applyFont="1"/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4" xfId="0" applyFont="1" applyBorder="1"/>
    <xf numFmtId="169" fontId="10" fillId="0" borderId="0" xfId="0" applyNumberFormat="1" applyFont="1"/>
    <xf numFmtId="166" fontId="10" fillId="0" borderId="5" xfId="0" applyNumberFormat="1" applyFont="1" applyBorder="1"/>
    <xf numFmtId="44" fontId="10" fillId="0" borderId="0" xfId="0" applyNumberFormat="1" applyFont="1"/>
    <xf numFmtId="164" fontId="10" fillId="0" borderId="0" xfId="0" applyNumberFormat="1" applyFont="1"/>
    <xf numFmtId="166" fontId="11" fillId="0" borderId="5" xfId="2" applyNumberFormat="1" applyFont="1" applyBorder="1"/>
    <xf numFmtId="44" fontId="11" fillId="0" borderId="0" xfId="2" applyFont="1"/>
    <xf numFmtId="44" fontId="10" fillId="5" borderId="0" xfId="0" applyNumberFormat="1" applyFont="1" applyFill="1"/>
    <xf numFmtId="44" fontId="11" fillId="0" borderId="0" xfId="2" applyFont="1" applyBorder="1"/>
    <xf numFmtId="0" fontId="12" fillId="0" borderId="0" xfId="0" applyFont="1"/>
    <xf numFmtId="44" fontId="10" fillId="0" borderId="0" xfId="2" applyFont="1"/>
    <xf numFmtId="44" fontId="10" fillId="0" borderId="0" xfId="0" applyNumberFormat="1" applyFont="1" applyAlignment="1">
      <alignment horizontal="center" vertical="center" wrapText="1"/>
    </xf>
    <xf numFmtId="44" fontId="10" fillId="0" borderId="0" xfId="2" applyFont="1" applyAlignment="1">
      <alignment horizontal="center" vertical="center" wrapText="1"/>
    </xf>
    <xf numFmtId="0" fontId="11" fillId="0" borderId="6" xfId="0" applyFont="1" applyBorder="1"/>
    <xf numFmtId="169" fontId="10" fillId="0" borderId="7" xfId="0" applyNumberFormat="1" applyFont="1" applyBorder="1"/>
    <xf numFmtId="166" fontId="10" fillId="0" borderId="8" xfId="0" applyNumberFormat="1" applyFont="1" applyBorder="1"/>
    <xf numFmtId="44" fontId="10" fillId="0" borderId="7" xfId="0" applyNumberFormat="1" applyFont="1" applyBorder="1"/>
    <xf numFmtId="44" fontId="10" fillId="5" borderId="7" xfId="0" applyNumberFormat="1" applyFont="1" applyFill="1" applyBorder="1"/>
    <xf numFmtId="166" fontId="11" fillId="0" borderId="8" xfId="2" applyNumberFormat="1" applyFont="1" applyBorder="1"/>
    <xf numFmtId="0" fontId="11" fillId="0" borderId="9" xfId="0" applyFont="1" applyBorder="1" applyAlignment="1">
      <alignment horizontal="right"/>
    </xf>
    <xf numFmtId="169" fontId="11" fillId="0" borderId="10" xfId="0" applyNumberFormat="1" applyFont="1" applyBorder="1"/>
    <xf numFmtId="166" fontId="11" fillId="0" borderId="11" xfId="0" applyNumberFormat="1" applyFont="1" applyBorder="1"/>
    <xf numFmtId="44" fontId="10" fillId="0" borderId="10" xfId="0" applyNumberFormat="1" applyFont="1" applyBorder="1"/>
    <xf numFmtId="6" fontId="4" fillId="0" borderId="5" xfId="0" applyNumberFormat="1" applyFont="1" applyBorder="1"/>
    <xf numFmtId="166" fontId="3" fillId="0" borderId="0" xfId="0" applyNumberFormat="1" applyFont="1"/>
    <xf numFmtId="9" fontId="11" fillId="0" borderId="0" xfId="0" applyNumberFormat="1" applyFont="1" applyAlignment="1">
      <alignment horizontal="right"/>
    </xf>
    <xf numFmtId="0" fontId="11" fillId="0" borderId="27" xfId="0" applyFont="1" applyBorder="1" applyAlignment="1">
      <alignment horizontal="center" vertical="center" wrapText="1"/>
    </xf>
    <xf numFmtId="166" fontId="11" fillId="0" borderId="24" xfId="2" applyNumberFormat="1" applyFont="1" applyBorder="1"/>
    <xf numFmtId="166" fontId="11" fillId="0" borderId="22" xfId="2" applyNumberFormat="1" applyFont="1" applyBorder="1"/>
    <xf numFmtId="166" fontId="11" fillId="0" borderId="25" xfId="0" applyNumberFormat="1" applyFont="1" applyBorder="1"/>
    <xf numFmtId="1" fontId="0" fillId="0" borderId="7" xfId="1" applyNumberFormat="1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44" fontId="11" fillId="5" borderId="0" xfId="0" applyNumberFormat="1" applyFont="1" applyFill="1"/>
    <xf numFmtId="0" fontId="11" fillId="5" borderId="0" xfId="0" applyFont="1" applyFill="1"/>
    <xf numFmtId="0" fontId="11" fillId="5" borderId="4" xfId="0" applyFont="1" applyFill="1" applyBorder="1"/>
    <xf numFmtId="169" fontId="11" fillId="5" borderId="0" xfId="0" applyNumberFormat="1" applyFont="1" applyFill="1"/>
    <xf numFmtId="166" fontId="11" fillId="5" borderId="5" xfId="0" applyNumberFormat="1" applyFont="1" applyFill="1" applyBorder="1"/>
    <xf numFmtId="166" fontId="11" fillId="5" borderId="5" xfId="2" applyNumberFormat="1" applyFont="1" applyFill="1" applyBorder="1"/>
    <xf numFmtId="44" fontId="11" fillId="5" borderId="0" xfId="2" applyFont="1" applyFill="1"/>
    <xf numFmtId="166" fontId="11" fillId="5" borderId="24" xfId="2" applyNumberFormat="1" applyFont="1" applyFill="1" applyBorder="1"/>
    <xf numFmtId="0" fontId="10" fillId="5" borderId="12" xfId="0" applyFont="1" applyFill="1" applyBorder="1" applyAlignment="1">
      <alignment horizontal="center"/>
    </xf>
    <xf numFmtId="0" fontId="10" fillId="5" borderId="18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10" fillId="5" borderId="19" xfId="0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A3FD4-CDE9-4F4E-AD96-3A38CDBF84D1}">
  <sheetPr>
    <tabColor rgb="FF7030A0"/>
  </sheetPr>
  <dimension ref="A2:BA138"/>
  <sheetViews>
    <sheetView tabSelected="1" topLeftCell="A81" zoomScale="119" workbookViewId="0">
      <selection activeCell="O41" sqref="O41"/>
    </sheetView>
  </sheetViews>
  <sheetFormatPr baseColWidth="10" defaultRowHeight="16" x14ac:dyDescent="0.2"/>
  <cols>
    <col min="1" max="1" width="14.83203125" customWidth="1"/>
    <col min="2" max="2" width="27.33203125" customWidth="1"/>
    <col min="3" max="3" width="18.33203125" customWidth="1"/>
    <col min="4" max="4" width="26.1640625" bestFit="1" customWidth="1"/>
    <col min="5" max="5" width="20.33203125" customWidth="1"/>
    <col min="6" max="6" width="26.83203125" customWidth="1"/>
    <col min="7" max="7" width="17.1640625" customWidth="1"/>
    <col min="8" max="8" width="25.1640625" bestFit="1" customWidth="1"/>
    <col min="9" max="9" width="20.83203125" customWidth="1"/>
    <col min="10" max="10" width="18.1640625" customWidth="1"/>
    <col min="11" max="11" width="23" customWidth="1"/>
    <col min="12" max="12" width="20.1640625" customWidth="1"/>
    <col min="13" max="13" width="19.5" bestFit="1" customWidth="1"/>
    <col min="14" max="14" width="16.33203125" bestFit="1" customWidth="1"/>
    <col min="15" max="15" width="15.83203125" bestFit="1" customWidth="1"/>
    <col min="16" max="16" width="16.5" customWidth="1"/>
    <col min="17" max="18" width="12.83203125" customWidth="1"/>
    <col min="19" max="19" width="16" bestFit="1" customWidth="1"/>
    <col min="22" max="22" width="12.5" bestFit="1" customWidth="1"/>
    <col min="26" max="26" width="14" bestFit="1" customWidth="1"/>
    <col min="27" max="27" width="14" customWidth="1"/>
    <col min="28" max="28" width="16" bestFit="1" customWidth="1"/>
    <col min="29" max="29" width="15.6640625" bestFit="1" customWidth="1"/>
    <col min="30" max="30" width="10.5" customWidth="1"/>
    <col min="31" max="31" width="9.6640625" bestFit="1" customWidth="1"/>
    <col min="32" max="32" width="11.6640625" bestFit="1" customWidth="1"/>
    <col min="33" max="33" width="12.5" bestFit="1" customWidth="1"/>
    <col min="35" max="35" width="14.1640625" bestFit="1" customWidth="1"/>
    <col min="36" max="36" width="12.6640625" customWidth="1"/>
    <col min="39" max="39" width="24.1640625" bestFit="1" customWidth="1"/>
    <col min="40" max="40" width="15.6640625" bestFit="1" customWidth="1"/>
    <col min="41" max="41" width="15" bestFit="1" customWidth="1"/>
    <col min="42" max="42" width="20.33203125" bestFit="1" customWidth="1"/>
    <col min="43" max="43" width="23.1640625" bestFit="1" customWidth="1"/>
    <col min="44" max="44" width="16.83203125" bestFit="1" customWidth="1"/>
    <col min="45" max="45" width="3.1640625" bestFit="1" customWidth="1"/>
    <col min="46" max="46" width="21.6640625" bestFit="1" customWidth="1"/>
  </cols>
  <sheetData>
    <row r="2" spans="1:53" s="26" customFormat="1" x14ac:dyDescent="0.2">
      <c r="A2" s="27" t="s">
        <v>121</v>
      </c>
      <c r="N2" s="27"/>
      <c r="O2" s="27"/>
      <c r="P2" s="27"/>
      <c r="T2" s="27"/>
      <c r="U2" s="27"/>
    </row>
    <row r="3" spans="1:53" x14ac:dyDescent="0.2">
      <c r="N3" s="2"/>
      <c r="O3" s="2"/>
      <c r="P3" s="2"/>
      <c r="T3" s="2"/>
      <c r="U3" s="2"/>
      <c r="V3" s="2"/>
      <c r="W3" s="2"/>
      <c r="X3" s="2"/>
      <c r="AB3" s="2"/>
    </row>
    <row r="4" spans="1:53" x14ac:dyDescent="0.2">
      <c r="A4" s="247" t="s">
        <v>76</v>
      </c>
      <c r="B4" s="248"/>
      <c r="D4" s="247" t="s">
        <v>78</v>
      </c>
      <c r="E4" s="254"/>
      <c r="F4" s="248"/>
      <c r="H4" s="247" t="s">
        <v>82</v>
      </c>
      <c r="I4" s="248"/>
      <c r="K4" s="247" t="s">
        <v>112</v>
      </c>
      <c r="L4" s="248"/>
      <c r="N4" s="2"/>
      <c r="O4" s="2"/>
      <c r="P4" s="2"/>
      <c r="T4" s="2"/>
      <c r="U4" s="2"/>
      <c r="V4" s="2"/>
      <c r="W4" s="2"/>
      <c r="X4" s="2"/>
      <c r="AB4" s="2"/>
    </row>
    <row r="5" spans="1:53" x14ac:dyDescent="0.2">
      <c r="A5" s="51" t="s">
        <v>70</v>
      </c>
      <c r="B5" s="52">
        <f>B7*0.3</f>
        <v>16664292.800000001</v>
      </c>
      <c r="D5" s="51" t="s">
        <v>79</v>
      </c>
      <c r="E5" s="97">
        <v>650.08000000000004</v>
      </c>
      <c r="F5" s="55" t="s">
        <v>77</v>
      </c>
      <c r="H5" s="63" t="s">
        <v>90</v>
      </c>
      <c r="I5" s="185">
        <f>G38</f>
        <v>3827264.7723898534</v>
      </c>
      <c r="K5" s="63" t="s">
        <v>110</v>
      </c>
      <c r="L5" s="185">
        <f>SUM(S28:S42)</f>
        <v>295774993.6048336</v>
      </c>
    </row>
    <row r="6" spans="1:53" x14ac:dyDescent="0.2">
      <c r="A6" s="51" t="s">
        <v>71</v>
      </c>
      <c r="B6" s="52">
        <f>B7-B5</f>
        <v>38883349.866666675</v>
      </c>
      <c r="D6" s="53" t="s">
        <v>0</v>
      </c>
      <c r="E6" s="228">
        <v>220.32</v>
      </c>
      <c r="F6" s="54" t="s">
        <v>77</v>
      </c>
      <c r="H6" s="63" t="s">
        <v>83</v>
      </c>
      <c r="I6" s="185">
        <f>K44</f>
        <v>562203.60000000009</v>
      </c>
      <c r="K6" s="116" t="s">
        <v>111</v>
      </c>
      <c r="L6" s="188">
        <f>SUM(Z29:Z43,AG29:AG43)</f>
        <v>152946029.88598052</v>
      </c>
    </row>
    <row r="7" spans="1:53" x14ac:dyDescent="0.2">
      <c r="A7" s="51" t="s">
        <v>75</v>
      </c>
      <c r="B7" s="52">
        <v>55547642.666666672</v>
      </c>
      <c r="D7" s="58" t="s">
        <v>79</v>
      </c>
      <c r="E7" s="59" t="s">
        <v>80</v>
      </c>
      <c r="F7" s="60"/>
      <c r="H7" s="63" t="s">
        <v>84</v>
      </c>
      <c r="I7" s="187">
        <f>J14+K14</f>
        <v>444486.87516932387</v>
      </c>
      <c r="K7" s="186" t="s">
        <v>59</v>
      </c>
      <c r="L7" s="187">
        <f>SUM(L5:L6)</f>
        <v>448721023.49081409</v>
      </c>
    </row>
    <row r="8" spans="1:53" x14ac:dyDescent="0.2">
      <c r="A8" s="53" t="s">
        <v>109</v>
      </c>
      <c r="B8" s="183">
        <v>15</v>
      </c>
      <c r="D8" s="61" t="s">
        <v>0</v>
      </c>
      <c r="E8" s="62" t="s">
        <v>81</v>
      </c>
      <c r="F8" s="54"/>
      <c r="H8" s="61" t="s">
        <v>1</v>
      </c>
      <c r="I8" s="64" t="s">
        <v>2</v>
      </c>
      <c r="K8" s="249" t="s">
        <v>123</v>
      </c>
      <c r="L8" s="250"/>
    </row>
    <row r="9" spans="1:53" x14ac:dyDescent="0.2">
      <c r="Q9" s="189" t="s">
        <v>118</v>
      </c>
      <c r="R9" s="190"/>
      <c r="S9" s="190"/>
      <c r="T9" s="190"/>
      <c r="U9" s="190"/>
      <c r="V9" s="190"/>
      <c r="W9" s="190"/>
      <c r="X9" s="190"/>
      <c r="Y9" s="191"/>
      <c r="Z9" s="191"/>
      <c r="AA9" s="191"/>
      <c r="AB9" s="190"/>
      <c r="AC9" s="190"/>
      <c r="AD9" s="190"/>
      <c r="AE9" s="190"/>
      <c r="AF9" s="191"/>
      <c r="AG9" s="191"/>
      <c r="AH9" s="191"/>
      <c r="AI9" s="191"/>
    </row>
    <row r="10" spans="1:53" x14ac:dyDescent="0.2">
      <c r="Q10" s="56"/>
      <c r="R10" s="56"/>
      <c r="S10" s="56"/>
      <c r="T10" s="56"/>
      <c r="U10" s="56"/>
      <c r="V10" s="56"/>
      <c r="W10" s="56"/>
      <c r="X10" s="192"/>
      <c r="Y10" s="192"/>
      <c r="Z10" s="56"/>
      <c r="AA10" s="56"/>
      <c r="AB10" s="56"/>
      <c r="AC10" s="56"/>
      <c r="AD10" s="56"/>
      <c r="AE10" s="192"/>
      <c r="AF10" s="192"/>
      <c r="AG10" s="56"/>
      <c r="AH10" s="56"/>
      <c r="AI10" s="56"/>
    </row>
    <row r="11" spans="1:53" ht="17" thickBot="1" x14ac:dyDescent="0.25">
      <c r="A11" s="258" t="s">
        <v>85</v>
      </c>
      <c r="B11" s="259"/>
      <c r="C11" s="259"/>
      <c r="D11" s="259"/>
      <c r="E11" s="259"/>
      <c r="F11" s="259"/>
      <c r="G11" s="260"/>
      <c r="I11" s="255" t="s">
        <v>86</v>
      </c>
      <c r="J11" s="256"/>
      <c r="K11" s="256"/>
      <c r="L11" s="257"/>
      <c r="N11" s="88" t="s">
        <v>59</v>
      </c>
      <c r="Q11" s="238" t="s">
        <v>114</v>
      </c>
      <c r="R11" s="239"/>
      <c r="S11" s="240"/>
      <c r="T11" s="56"/>
      <c r="U11" s="238" t="s">
        <v>115</v>
      </c>
      <c r="V11" s="239"/>
      <c r="W11" s="239"/>
      <c r="X11" s="239"/>
      <c r="Y11" s="239"/>
      <c r="Z11" s="240"/>
      <c r="AA11" s="56"/>
      <c r="AB11" s="238" t="s">
        <v>116</v>
      </c>
      <c r="AC11" s="239"/>
      <c r="AD11" s="239"/>
      <c r="AE11" s="239"/>
      <c r="AF11" s="239"/>
      <c r="AG11" s="240"/>
      <c r="AH11" s="56"/>
      <c r="AI11" s="127" t="s">
        <v>119</v>
      </c>
    </row>
    <row r="12" spans="1:53" s="78" customFormat="1" ht="34" x14ac:dyDescent="0.2">
      <c r="A12" s="75"/>
      <c r="B12" s="76" t="s">
        <v>3</v>
      </c>
      <c r="C12" s="76" t="s">
        <v>4</v>
      </c>
      <c r="D12" s="76" t="s">
        <v>5</v>
      </c>
      <c r="E12" s="76" t="s">
        <v>6</v>
      </c>
      <c r="F12" s="76" t="s">
        <v>7</v>
      </c>
      <c r="G12" s="77" t="s">
        <v>8</v>
      </c>
      <c r="I12" s="81"/>
      <c r="J12" s="76" t="s">
        <v>9</v>
      </c>
      <c r="K12" s="76" t="s">
        <v>10</v>
      </c>
      <c r="L12" s="77" t="s">
        <v>11</v>
      </c>
      <c r="M12" s="79"/>
      <c r="N12" s="84" t="s">
        <v>87</v>
      </c>
      <c r="O12" s="79"/>
      <c r="P12" s="79"/>
      <c r="Q12" s="193" t="s">
        <v>17</v>
      </c>
      <c r="R12" s="194" t="s">
        <v>117</v>
      </c>
      <c r="S12" s="195" t="s">
        <v>5</v>
      </c>
      <c r="T12" s="196"/>
      <c r="U12" s="193" t="s">
        <v>17</v>
      </c>
      <c r="V12" s="194" t="s">
        <v>117</v>
      </c>
      <c r="W12" s="194" t="s">
        <v>12</v>
      </c>
      <c r="X12" s="194" t="s">
        <v>13</v>
      </c>
      <c r="Y12" s="194" t="s">
        <v>14</v>
      </c>
      <c r="Z12" s="197" t="s">
        <v>15</v>
      </c>
      <c r="AA12" s="196"/>
      <c r="AB12" s="193" t="s">
        <v>17</v>
      </c>
      <c r="AC12" s="194" t="s">
        <v>117</v>
      </c>
      <c r="AD12" s="194" t="s">
        <v>12</v>
      </c>
      <c r="AE12" s="194" t="s">
        <v>13</v>
      </c>
      <c r="AF12" s="194" t="s">
        <v>14</v>
      </c>
      <c r="AG12" s="197" t="s">
        <v>15</v>
      </c>
      <c r="AH12" s="126"/>
      <c r="AI12" s="224" t="s">
        <v>15</v>
      </c>
      <c r="AT12" s="78" t="s">
        <v>16</v>
      </c>
    </row>
    <row r="13" spans="1:53" x14ac:dyDescent="0.2">
      <c r="A13" s="98">
        <v>0</v>
      </c>
      <c r="B13" s="13">
        <f>-B5</f>
        <v>-16664292.800000001</v>
      </c>
      <c r="C13" s="13">
        <f>-B13</f>
        <v>16664292.800000001</v>
      </c>
      <c r="D13" s="13"/>
      <c r="E13" s="13"/>
      <c r="F13" s="13"/>
      <c r="G13" s="67">
        <f>SUM(D13:F13)</f>
        <v>0</v>
      </c>
      <c r="I13" s="98">
        <v>0</v>
      </c>
      <c r="L13" s="7"/>
      <c r="M13" s="2"/>
      <c r="N13" s="85">
        <f>L13+G13</f>
        <v>0</v>
      </c>
      <c r="O13" s="2"/>
      <c r="P13" s="2"/>
      <c r="Q13" s="198">
        <v>1</v>
      </c>
      <c r="R13" s="199">
        <f>E39</f>
        <v>1056107.6000000001</v>
      </c>
      <c r="S13" s="200">
        <f t="shared" ref="S13:S27" si="0">D14</f>
        <v>3827264.7723898534</v>
      </c>
      <c r="T13" s="57"/>
      <c r="U13" s="198">
        <v>1</v>
      </c>
      <c r="V13" s="199">
        <v>304583.09999999998</v>
      </c>
      <c r="W13" s="201">
        <f>F42</f>
        <v>3.1593287518884794</v>
      </c>
      <c r="X13" s="202">
        <f>G42</f>
        <v>1.7</v>
      </c>
      <c r="Y13" s="201">
        <f>W13-X13</f>
        <v>1.4593287518884794</v>
      </c>
      <c r="Z13" s="203">
        <f>Y13*V13</f>
        <v>444486.87516932387</v>
      </c>
      <c r="AA13" s="204"/>
      <c r="AB13" s="198">
        <v>1</v>
      </c>
      <c r="AC13" s="199">
        <v>63100</v>
      </c>
      <c r="AD13" s="201">
        <f>F43</f>
        <v>0.72044637717908078</v>
      </c>
      <c r="AE13" s="201">
        <f>AD13</f>
        <v>0.72044637717908078</v>
      </c>
      <c r="AF13" s="201">
        <f>AD13-AE13</f>
        <v>0</v>
      </c>
      <c r="AG13" s="203">
        <f>AF13*AC13</f>
        <v>0</v>
      </c>
      <c r="AH13" s="56"/>
      <c r="AI13" s="225">
        <f>AG13+Z13+S13</f>
        <v>4271751.6475591771</v>
      </c>
      <c r="AM13" s="10"/>
      <c r="AN13" s="10"/>
      <c r="AO13" s="10"/>
      <c r="AP13" s="10"/>
      <c r="AQ13" s="10"/>
      <c r="AR13" s="2"/>
      <c r="AT13" s="10" t="s">
        <v>18</v>
      </c>
      <c r="AU13" s="2"/>
      <c r="AV13" s="2"/>
      <c r="AY13" t="s">
        <v>19</v>
      </c>
    </row>
    <row r="14" spans="1:53" x14ac:dyDescent="0.2">
      <c r="A14" s="98">
        <v>1</v>
      </c>
      <c r="B14" s="13"/>
      <c r="C14" s="13"/>
      <c r="D14" s="13">
        <f>G38</f>
        <v>3827264.7723898534</v>
      </c>
      <c r="E14" s="13">
        <f>K44</f>
        <v>562203.60000000009</v>
      </c>
      <c r="F14" s="68">
        <v>-1941877.2786173385</v>
      </c>
      <c r="G14" s="67">
        <f>SUM(D14:F14)</f>
        <v>2447591.0937725147</v>
      </c>
      <c r="I14" s="98">
        <v>1</v>
      </c>
      <c r="J14" s="1">
        <f t="shared" ref="J14:J28" si="1">Z13</f>
        <v>444486.87516932387</v>
      </c>
      <c r="K14" s="1">
        <f t="shared" ref="K14:K28" si="2">AG13</f>
        <v>0</v>
      </c>
      <c r="L14" s="82">
        <f t="shared" ref="L14:L28" si="3">SUM(J14:K14)</f>
        <v>444486.87516932387</v>
      </c>
      <c r="M14" s="4"/>
      <c r="N14" s="85">
        <f t="shared" ref="N14:N28" si="4">L14+G14</f>
        <v>2892077.9689418385</v>
      </c>
      <c r="O14" s="4"/>
      <c r="P14" s="4"/>
      <c r="Q14" s="198">
        <v>2</v>
      </c>
      <c r="R14" s="199">
        <v>1051883.1696000001</v>
      </c>
      <c r="S14" s="200">
        <f t="shared" si="0"/>
        <v>4114309.6303190924</v>
      </c>
      <c r="T14" s="204"/>
      <c r="U14" s="198">
        <v>2</v>
      </c>
      <c r="V14" s="199">
        <v>303364.76759999996</v>
      </c>
      <c r="W14" s="201">
        <f t="shared" ref="W14:W32" si="5">W13*(1+$E$111)</f>
        <v>3.3962784082801152</v>
      </c>
      <c r="X14" s="201">
        <f t="shared" ref="X14:X27" si="6">X13*(1+$H$111)</f>
        <v>1.76783</v>
      </c>
      <c r="Y14" s="201">
        <f t="shared" ref="Y14:Y29" si="7">W14-X14</f>
        <v>1.6284484082801152</v>
      </c>
      <c r="Z14" s="203">
        <f t="shared" ref="Z14:Z29" si="8">Y14*V14</f>
        <v>494013.87292648701</v>
      </c>
      <c r="AA14" s="204"/>
      <c r="AB14" s="198">
        <v>2</v>
      </c>
      <c r="AC14" s="199">
        <v>62847.6</v>
      </c>
      <c r="AD14" s="201">
        <f t="shared" ref="AD14:AD32" si="9">AD13*(1+$E$111)</f>
        <v>0.77447985546751186</v>
      </c>
      <c r="AE14" s="201">
        <f t="shared" ref="AE14:AE27" si="10">AE13*(1+$H$111)</f>
        <v>0.74919218762852613</v>
      </c>
      <c r="AF14" s="201">
        <f t="shared" ref="AF14:AF29" si="11">AD14-AE14</f>
        <v>2.5287667838985728E-2</v>
      </c>
      <c r="AG14" s="203">
        <f t="shared" ref="AG14:AG29" si="12">AF14*AC14</f>
        <v>1589.2692332774393</v>
      </c>
      <c r="AH14" s="56"/>
      <c r="AI14" s="225">
        <f t="shared" ref="AI14:AI42" si="13">AG14+Z14+S14</f>
        <v>4609912.7724788571</v>
      </c>
      <c r="AM14" s="13"/>
      <c r="AN14" s="13"/>
      <c r="AO14" s="13"/>
      <c r="AP14" s="14"/>
      <c r="AQ14" s="13"/>
      <c r="AW14">
        <v>16</v>
      </c>
      <c r="AX14" s="12" t="e">
        <f>#REF!-0.4%</f>
        <v>#REF!</v>
      </c>
      <c r="AZ14" s="1">
        <f>AD28*(1+$Y$9)</f>
        <v>2.1317124693488259</v>
      </c>
      <c r="BA14" s="1">
        <f>AE28*(1+$Y$9)</f>
        <v>0</v>
      </c>
    </row>
    <row r="15" spans="1:53" x14ac:dyDescent="0.2">
      <c r="A15" s="98">
        <v>2</v>
      </c>
      <c r="B15" s="13"/>
      <c r="C15" s="13"/>
      <c r="D15" s="13">
        <f t="shared" ref="D15:D28" si="14">D14*(1+$E$111)</f>
        <v>4114309.6303190924</v>
      </c>
      <c r="E15" s="13">
        <f t="shared" ref="E15:E28" si="15">E14*(1+$F$111)</f>
        <v>579069.7080000001</v>
      </c>
      <c r="F15" s="68">
        <v>-2019552.3697620321</v>
      </c>
      <c r="G15" s="67">
        <f t="shared" ref="G15:G28" si="16">SUM(D15:F15)</f>
        <v>2673826.9685570607</v>
      </c>
      <c r="I15" s="98">
        <v>2</v>
      </c>
      <c r="J15" s="1">
        <f t="shared" si="1"/>
        <v>494013.87292648701</v>
      </c>
      <c r="K15" s="1">
        <f t="shared" si="2"/>
        <v>1589.2692332774393</v>
      </c>
      <c r="L15" s="82">
        <f t="shared" si="3"/>
        <v>495603.14215976442</v>
      </c>
      <c r="M15" s="4"/>
      <c r="N15" s="85">
        <f t="shared" si="4"/>
        <v>3169430.1107168254</v>
      </c>
      <c r="O15" s="4"/>
      <c r="P15" s="4"/>
      <c r="Q15" s="198">
        <v>3</v>
      </c>
      <c r="R15" s="199">
        <v>1047658.7392000001</v>
      </c>
      <c r="S15" s="200">
        <f t="shared" si="0"/>
        <v>4422882.8525930243</v>
      </c>
      <c r="T15" s="204"/>
      <c r="U15" s="198">
        <v>3</v>
      </c>
      <c r="V15" s="199">
        <v>302146.43519999995</v>
      </c>
      <c r="W15" s="201">
        <f t="shared" si="5"/>
        <v>3.6509992889011236</v>
      </c>
      <c r="X15" s="201">
        <f t="shared" si="6"/>
        <v>1.838366417</v>
      </c>
      <c r="Y15" s="201">
        <f t="shared" si="7"/>
        <v>1.8126328719011235</v>
      </c>
      <c r="Z15" s="203">
        <f t="shared" si="8"/>
        <v>547680.56057126261</v>
      </c>
      <c r="AA15" s="204"/>
      <c r="AB15" s="198">
        <v>3</v>
      </c>
      <c r="AC15" s="199">
        <v>62595.199999999997</v>
      </c>
      <c r="AD15" s="201">
        <f t="shared" si="9"/>
        <v>0.83256584462757521</v>
      </c>
      <c r="AE15" s="201">
        <f t="shared" si="10"/>
        <v>0.77908495591490434</v>
      </c>
      <c r="AF15" s="201">
        <f t="shared" si="11"/>
        <v>5.3480888712670871E-2</v>
      </c>
      <c r="AG15" s="203">
        <f t="shared" si="12"/>
        <v>3347.6469251473754</v>
      </c>
      <c r="AH15" s="56"/>
      <c r="AI15" s="225">
        <f t="shared" si="13"/>
        <v>4973911.0600894345</v>
      </c>
      <c r="AM15" s="13"/>
      <c r="AN15" s="13"/>
      <c r="AO15" s="13"/>
      <c r="AP15" s="14"/>
      <c r="AQ15" s="13"/>
      <c r="AW15">
        <v>17</v>
      </c>
      <c r="AX15" s="12" t="e">
        <f>AX14-0.4%</f>
        <v>#REF!</v>
      </c>
    </row>
    <row r="16" spans="1:53" x14ac:dyDescent="0.2">
      <c r="A16" s="98">
        <v>3</v>
      </c>
      <c r="B16" s="13"/>
      <c r="C16" s="13"/>
      <c r="D16" s="13">
        <f t="shared" si="14"/>
        <v>4422882.8525930243</v>
      </c>
      <c r="E16" s="13">
        <f t="shared" si="15"/>
        <v>596441.79924000008</v>
      </c>
      <c r="F16" s="68">
        <v>-2100334.4645525133</v>
      </c>
      <c r="G16" s="67">
        <f t="shared" si="16"/>
        <v>2918990.1872805106</v>
      </c>
      <c r="I16" s="98">
        <v>3</v>
      </c>
      <c r="J16" s="1">
        <f t="shared" si="1"/>
        <v>547680.56057126261</v>
      </c>
      <c r="K16" s="1">
        <f t="shared" si="2"/>
        <v>3347.6469251473754</v>
      </c>
      <c r="L16" s="82">
        <f t="shared" si="3"/>
        <v>551028.20749641</v>
      </c>
      <c r="M16" s="4"/>
      <c r="N16" s="85">
        <f t="shared" si="4"/>
        <v>3470018.3947769208</v>
      </c>
      <c r="O16" s="4"/>
      <c r="P16" s="4"/>
      <c r="Q16" s="198">
        <v>4</v>
      </c>
      <c r="R16" s="199">
        <v>1043434.3088000001</v>
      </c>
      <c r="S16" s="200">
        <f t="shared" si="0"/>
        <v>4754599.0665375013</v>
      </c>
      <c r="T16" s="204"/>
      <c r="U16" s="198">
        <v>4</v>
      </c>
      <c r="V16" s="199">
        <v>300928.10279999999</v>
      </c>
      <c r="W16" s="201">
        <f t="shared" si="5"/>
        <v>3.9248242355687077</v>
      </c>
      <c r="X16" s="201">
        <f t="shared" si="6"/>
        <v>1.9117172370383002</v>
      </c>
      <c r="Y16" s="201">
        <f t="shared" si="7"/>
        <v>2.0131069985304073</v>
      </c>
      <c r="Z16" s="203">
        <f t="shared" si="8"/>
        <v>605800.46980115783</v>
      </c>
      <c r="AA16" s="204"/>
      <c r="AB16" s="198">
        <v>4</v>
      </c>
      <c r="AC16" s="199">
        <v>62342.8</v>
      </c>
      <c r="AD16" s="201">
        <f t="shared" si="9"/>
        <v>0.8950082829746433</v>
      </c>
      <c r="AE16" s="201">
        <f t="shared" si="10"/>
        <v>0.81017044565590901</v>
      </c>
      <c r="AF16" s="201">
        <f t="shared" si="11"/>
        <v>8.4837837318734288E-2</v>
      </c>
      <c r="AG16" s="203">
        <f t="shared" si="12"/>
        <v>5289.0283243943886</v>
      </c>
      <c r="AH16" s="56"/>
      <c r="AI16" s="225">
        <f t="shared" si="13"/>
        <v>5365688.5646630535</v>
      </c>
      <c r="AM16" s="13"/>
      <c r="AN16" s="13"/>
      <c r="AO16" s="13"/>
      <c r="AP16" s="14"/>
      <c r="AQ16" s="13"/>
      <c r="AW16">
        <v>18</v>
      </c>
      <c r="AX16" s="12" t="e">
        <f t="shared" ref="AX16:AX28" si="17">AX15-0.4%</f>
        <v>#REF!</v>
      </c>
    </row>
    <row r="17" spans="1:50" x14ac:dyDescent="0.2">
      <c r="A17" s="98">
        <v>4</v>
      </c>
      <c r="B17" s="13"/>
      <c r="C17" s="13"/>
      <c r="D17" s="13">
        <f t="shared" si="14"/>
        <v>4754599.0665375013</v>
      </c>
      <c r="E17" s="13">
        <f t="shared" si="15"/>
        <v>614335.0532172001</v>
      </c>
      <c r="F17" s="68">
        <v>-2184347.8431346137</v>
      </c>
      <c r="G17" s="67">
        <f t="shared" si="16"/>
        <v>3184586.2766200881</v>
      </c>
      <c r="I17" s="98">
        <v>4</v>
      </c>
      <c r="J17" s="1">
        <f t="shared" si="1"/>
        <v>605800.46980115783</v>
      </c>
      <c r="K17" s="1">
        <f t="shared" si="2"/>
        <v>5289.0283243943886</v>
      </c>
      <c r="L17" s="82">
        <f t="shared" si="3"/>
        <v>611089.4981255522</v>
      </c>
      <c r="M17" s="4"/>
      <c r="N17" s="85">
        <f t="shared" si="4"/>
        <v>3795675.7747456403</v>
      </c>
      <c r="O17" s="4"/>
      <c r="P17" s="4"/>
      <c r="Q17" s="198">
        <v>5</v>
      </c>
      <c r="R17" s="199">
        <v>1039209.8784</v>
      </c>
      <c r="S17" s="200">
        <f t="shared" si="0"/>
        <v>5111193.9965278134</v>
      </c>
      <c r="T17" s="204"/>
      <c r="U17" s="198">
        <v>5</v>
      </c>
      <c r="V17" s="199">
        <v>299709.77039999998</v>
      </c>
      <c r="W17" s="201">
        <f t="shared" si="5"/>
        <v>4.2191860532363608</v>
      </c>
      <c r="X17" s="201">
        <f t="shared" si="6"/>
        <v>1.9879947547961285</v>
      </c>
      <c r="Y17" s="201">
        <f t="shared" si="7"/>
        <v>2.2311912984402325</v>
      </c>
      <c r="Z17" s="203">
        <f t="shared" si="8"/>
        <v>668709.83177399985</v>
      </c>
      <c r="AA17" s="204"/>
      <c r="AB17" s="198">
        <v>5</v>
      </c>
      <c r="AC17" s="199">
        <v>62090.400000000001</v>
      </c>
      <c r="AD17" s="201">
        <f t="shared" si="9"/>
        <v>0.96213390419774147</v>
      </c>
      <c r="AE17" s="201">
        <f t="shared" si="10"/>
        <v>0.84249624643757981</v>
      </c>
      <c r="AF17" s="201">
        <f t="shared" si="11"/>
        <v>0.11963765776016166</v>
      </c>
      <c r="AG17" s="203">
        <f t="shared" si="12"/>
        <v>7428.3500253915417</v>
      </c>
      <c r="AH17" s="56"/>
      <c r="AI17" s="225">
        <f t="shared" si="13"/>
        <v>5787332.1783272047</v>
      </c>
      <c r="AM17" s="13"/>
      <c r="AN17" s="13"/>
      <c r="AO17" s="13"/>
      <c r="AP17" s="14"/>
      <c r="AQ17" s="13"/>
      <c r="AW17">
        <v>19</v>
      </c>
      <c r="AX17" s="12" t="e">
        <f t="shared" si="17"/>
        <v>#REF!</v>
      </c>
    </row>
    <row r="18" spans="1:50" x14ac:dyDescent="0.2">
      <c r="A18" s="98">
        <v>5</v>
      </c>
      <c r="B18" s="13"/>
      <c r="C18" s="13"/>
      <c r="D18" s="13">
        <f t="shared" si="14"/>
        <v>5111193.9965278134</v>
      </c>
      <c r="E18" s="13">
        <f t="shared" si="15"/>
        <v>632765.10481371614</v>
      </c>
      <c r="F18" s="68">
        <v>-2271721.7568599982</v>
      </c>
      <c r="G18" s="67">
        <f t="shared" si="16"/>
        <v>3472237.3444815315</v>
      </c>
      <c r="I18" s="98">
        <v>5</v>
      </c>
      <c r="J18" s="1">
        <f t="shared" si="1"/>
        <v>668709.83177399985</v>
      </c>
      <c r="K18" s="1">
        <f t="shared" si="2"/>
        <v>7428.3500253915417</v>
      </c>
      <c r="L18" s="82">
        <f t="shared" si="3"/>
        <v>676138.1817993914</v>
      </c>
      <c r="M18" s="4"/>
      <c r="N18" s="85">
        <f t="shared" si="4"/>
        <v>4148375.5262809228</v>
      </c>
      <c r="O18" s="4"/>
      <c r="P18" s="4"/>
      <c r="Q18" s="198">
        <v>6</v>
      </c>
      <c r="R18" s="199">
        <v>1034985.4480000001</v>
      </c>
      <c r="S18" s="200">
        <f t="shared" si="0"/>
        <v>5494533.5462673996</v>
      </c>
      <c r="T18" s="204"/>
      <c r="U18" s="198">
        <v>6</v>
      </c>
      <c r="V18" s="199">
        <v>298491.43799999997</v>
      </c>
      <c r="W18" s="201">
        <f t="shared" si="5"/>
        <v>4.535625007229088</v>
      </c>
      <c r="X18" s="201">
        <f t="shared" si="6"/>
        <v>2.0673157455124942</v>
      </c>
      <c r="Y18" s="201">
        <f t="shared" si="7"/>
        <v>2.4683092617165938</v>
      </c>
      <c r="Z18" s="203">
        <f t="shared" si="8"/>
        <v>736769.18095850432</v>
      </c>
      <c r="AA18" s="204"/>
      <c r="AB18" s="198">
        <v>6</v>
      </c>
      <c r="AC18" s="199">
        <v>61838</v>
      </c>
      <c r="AD18" s="201">
        <f t="shared" si="9"/>
        <v>1.034293947012572</v>
      </c>
      <c r="AE18" s="201">
        <f t="shared" si="10"/>
        <v>0.87611184667043929</v>
      </c>
      <c r="AF18" s="201">
        <f t="shared" si="11"/>
        <v>0.15818210034213276</v>
      </c>
      <c r="AG18" s="203">
        <f t="shared" si="12"/>
        <v>9781.6647209568055</v>
      </c>
      <c r="AH18" s="56"/>
      <c r="AI18" s="225">
        <f t="shared" si="13"/>
        <v>6241084.3919468606</v>
      </c>
      <c r="AM18" s="13"/>
      <c r="AN18" s="13"/>
      <c r="AO18" s="13"/>
      <c r="AP18" s="14"/>
      <c r="AQ18" s="13"/>
      <c r="AW18">
        <v>20</v>
      </c>
      <c r="AX18" s="12" t="e">
        <f t="shared" si="17"/>
        <v>#REF!</v>
      </c>
    </row>
    <row r="19" spans="1:50" x14ac:dyDescent="0.2">
      <c r="A19" s="98">
        <v>6</v>
      </c>
      <c r="B19" s="13"/>
      <c r="C19" s="13"/>
      <c r="D19" s="13">
        <f t="shared" si="14"/>
        <v>5494533.5462673996</v>
      </c>
      <c r="E19" s="13">
        <f t="shared" si="15"/>
        <v>651748.0579581277</v>
      </c>
      <c r="F19" s="68">
        <v>-2362590.6271343981</v>
      </c>
      <c r="G19" s="67">
        <f t="shared" si="16"/>
        <v>3783690.9770911294</v>
      </c>
      <c r="I19" s="98">
        <v>6</v>
      </c>
      <c r="J19" s="1">
        <f t="shared" si="1"/>
        <v>736769.18095850432</v>
      </c>
      <c r="K19" s="1">
        <f t="shared" si="2"/>
        <v>9781.6647209568055</v>
      </c>
      <c r="L19" s="82">
        <f t="shared" si="3"/>
        <v>746550.84567946114</v>
      </c>
      <c r="M19" s="4"/>
      <c r="N19" s="85">
        <f t="shared" si="4"/>
        <v>4530241.8227705909</v>
      </c>
      <c r="O19" s="4"/>
      <c r="P19" s="4"/>
      <c r="Q19" s="198">
        <v>7</v>
      </c>
      <c r="R19" s="199">
        <v>1030761.0176</v>
      </c>
      <c r="S19" s="200">
        <f t="shared" si="0"/>
        <v>5906623.5622374546</v>
      </c>
      <c r="T19" s="204"/>
      <c r="U19" s="198">
        <v>7</v>
      </c>
      <c r="V19" s="199">
        <v>297273.10559999995</v>
      </c>
      <c r="W19" s="201">
        <f t="shared" si="5"/>
        <v>4.8757968827712697</v>
      </c>
      <c r="X19" s="201">
        <f t="shared" si="6"/>
        <v>2.1498016437584426</v>
      </c>
      <c r="Y19" s="201">
        <f t="shared" si="7"/>
        <v>2.725995239012827</v>
      </c>
      <c r="Z19" s="203">
        <f t="shared" si="8"/>
        <v>810365.07055215724</v>
      </c>
      <c r="AA19" s="204"/>
      <c r="AB19" s="198">
        <v>7</v>
      </c>
      <c r="AC19" s="199">
        <v>61585.599999999999</v>
      </c>
      <c r="AD19" s="201">
        <f t="shared" si="9"/>
        <v>1.1118659930385149</v>
      </c>
      <c r="AE19" s="201">
        <f t="shared" si="10"/>
        <v>0.91106870935258988</v>
      </c>
      <c r="AF19" s="201">
        <f t="shared" si="11"/>
        <v>0.20079728368592498</v>
      </c>
      <c r="AG19" s="203">
        <f t="shared" si="12"/>
        <v>12366.221194167902</v>
      </c>
      <c r="AH19" s="56"/>
      <c r="AI19" s="225">
        <f t="shared" si="13"/>
        <v>6729354.8539837794</v>
      </c>
      <c r="AM19" s="13"/>
      <c r="AN19" s="13"/>
      <c r="AO19" s="13"/>
      <c r="AP19" s="14"/>
      <c r="AQ19" s="13"/>
      <c r="AW19">
        <v>21</v>
      </c>
      <c r="AX19" s="12" t="e">
        <f t="shared" si="17"/>
        <v>#REF!</v>
      </c>
    </row>
    <row r="20" spans="1:50" x14ac:dyDescent="0.2">
      <c r="A20" s="98">
        <v>7</v>
      </c>
      <c r="B20" s="13"/>
      <c r="C20" s="13"/>
      <c r="D20" s="13">
        <f t="shared" si="14"/>
        <v>5906623.5622374546</v>
      </c>
      <c r="E20" s="13">
        <f t="shared" si="15"/>
        <v>671300.4996968715</v>
      </c>
      <c r="F20" s="68">
        <v>-2457094.2522197743</v>
      </c>
      <c r="G20" s="67">
        <f t="shared" si="16"/>
        <v>4120829.8097145515</v>
      </c>
      <c r="I20" s="98">
        <v>7</v>
      </c>
      <c r="J20" s="1">
        <f t="shared" si="1"/>
        <v>810365.07055215724</v>
      </c>
      <c r="K20" s="1">
        <f t="shared" si="2"/>
        <v>12366.221194167902</v>
      </c>
      <c r="L20" s="82">
        <f t="shared" si="3"/>
        <v>822731.29174632509</v>
      </c>
      <c r="M20" s="4"/>
      <c r="N20" s="85">
        <f t="shared" si="4"/>
        <v>4943561.1014608769</v>
      </c>
      <c r="O20" s="4"/>
      <c r="P20" s="4"/>
      <c r="Q20" s="198">
        <v>8</v>
      </c>
      <c r="R20" s="199">
        <v>1026536.5872000001</v>
      </c>
      <c r="S20" s="200">
        <f t="shared" si="0"/>
        <v>6349620.3294052631</v>
      </c>
      <c r="T20" s="204"/>
      <c r="U20" s="198">
        <v>8</v>
      </c>
      <c r="V20" s="199">
        <v>296054.7732</v>
      </c>
      <c r="W20" s="201">
        <f t="shared" si="5"/>
        <v>5.2414816489791143</v>
      </c>
      <c r="X20" s="201">
        <f t="shared" si="6"/>
        <v>2.2355787293444047</v>
      </c>
      <c r="Y20" s="201">
        <f t="shared" si="7"/>
        <v>3.0059029196347096</v>
      </c>
      <c r="Z20" s="203">
        <f t="shared" si="8"/>
        <v>889911.9071336718</v>
      </c>
      <c r="AA20" s="204"/>
      <c r="AB20" s="198">
        <v>8</v>
      </c>
      <c r="AC20" s="199">
        <v>61333.2</v>
      </c>
      <c r="AD20" s="201">
        <f t="shared" si="9"/>
        <v>1.1952559425164033</v>
      </c>
      <c r="AE20" s="201">
        <f t="shared" si="10"/>
        <v>0.94742035085575826</v>
      </c>
      <c r="AF20" s="201">
        <f t="shared" si="11"/>
        <v>0.24783559166064506</v>
      </c>
      <c r="AG20" s="203">
        <f t="shared" si="12"/>
        <v>15200.549910440675</v>
      </c>
      <c r="AH20" s="56"/>
      <c r="AI20" s="225">
        <f t="shared" si="13"/>
        <v>7254732.7864493756</v>
      </c>
      <c r="AM20" s="13"/>
      <c r="AN20" s="13"/>
      <c r="AO20" s="13"/>
      <c r="AP20" s="14"/>
      <c r="AQ20" s="13"/>
      <c r="AW20">
        <v>22</v>
      </c>
      <c r="AX20" s="12" t="e">
        <f t="shared" si="17"/>
        <v>#REF!</v>
      </c>
    </row>
    <row r="21" spans="1:50" x14ac:dyDescent="0.2">
      <c r="A21" s="98">
        <v>8</v>
      </c>
      <c r="B21" s="13"/>
      <c r="C21" s="13"/>
      <c r="D21" s="13">
        <f t="shared" si="14"/>
        <v>6349620.3294052631</v>
      </c>
      <c r="E21" s="13">
        <f t="shared" si="15"/>
        <v>691439.51468777761</v>
      </c>
      <c r="F21" s="68">
        <v>-2555378.0223085652</v>
      </c>
      <c r="G21" s="67">
        <f t="shared" si="16"/>
        <v>4485681.8217844758</v>
      </c>
      <c r="I21" s="98">
        <v>8</v>
      </c>
      <c r="J21" s="1">
        <f t="shared" si="1"/>
        <v>889911.9071336718</v>
      </c>
      <c r="K21" s="1">
        <f t="shared" si="2"/>
        <v>15200.549910440675</v>
      </c>
      <c r="L21" s="82">
        <f t="shared" si="3"/>
        <v>905112.4570441125</v>
      </c>
      <c r="M21" s="4"/>
      <c r="N21" s="85">
        <f t="shared" si="4"/>
        <v>5390794.2788285883</v>
      </c>
      <c r="O21" s="4"/>
      <c r="P21" s="4"/>
      <c r="Q21" s="198">
        <v>9</v>
      </c>
      <c r="R21" s="199">
        <v>1022312.1568000001</v>
      </c>
      <c r="S21" s="200">
        <f t="shared" si="0"/>
        <v>6825841.8541106572</v>
      </c>
      <c r="T21" s="204"/>
      <c r="U21" s="198">
        <v>9</v>
      </c>
      <c r="V21" s="199">
        <v>294836.44079999998</v>
      </c>
      <c r="W21" s="201">
        <f t="shared" si="5"/>
        <v>5.6345927726525478</v>
      </c>
      <c r="X21" s="201">
        <f t="shared" si="6"/>
        <v>2.3247783206452466</v>
      </c>
      <c r="Y21" s="201">
        <f t="shared" si="7"/>
        <v>3.3098144520073012</v>
      </c>
      <c r="Z21" s="203">
        <f t="shared" si="8"/>
        <v>975853.91273823509</v>
      </c>
      <c r="AA21" s="204"/>
      <c r="AB21" s="198">
        <v>9</v>
      </c>
      <c r="AC21" s="199">
        <v>61080.799999999996</v>
      </c>
      <c r="AD21" s="201">
        <f t="shared" si="9"/>
        <v>1.2849001382051335</v>
      </c>
      <c r="AE21" s="201">
        <f t="shared" si="10"/>
        <v>0.98522242285490302</v>
      </c>
      <c r="AF21" s="201">
        <f t="shared" si="11"/>
        <v>0.29967771535023047</v>
      </c>
      <c r="AG21" s="203">
        <f t="shared" si="12"/>
        <v>18304.554595764355</v>
      </c>
      <c r="AH21" s="56"/>
      <c r="AI21" s="225">
        <f t="shared" si="13"/>
        <v>7820000.3214446567</v>
      </c>
      <c r="AM21" s="13"/>
      <c r="AN21" s="13"/>
      <c r="AO21" s="13"/>
      <c r="AP21" s="14"/>
      <c r="AQ21" s="13"/>
      <c r="AW21">
        <v>23</v>
      </c>
      <c r="AX21" s="12" t="e">
        <f t="shared" si="17"/>
        <v>#REF!</v>
      </c>
    </row>
    <row r="22" spans="1:50" x14ac:dyDescent="0.2">
      <c r="A22" s="98">
        <v>9</v>
      </c>
      <c r="B22" s="13"/>
      <c r="C22" s="13"/>
      <c r="D22" s="13">
        <f t="shared" si="14"/>
        <v>6825841.8541106572</v>
      </c>
      <c r="E22" s="13">
        <f t="shared" si="15"/>
        <v>712182.70012841094</v>
      </c>
      <c r="F22" s="68">
        <v>-2657593.1432009079</v>
      </c>
      <c r="G22" s="67">
        <f t="shared" si="16"/>
        <v>4880431.4110381603</v>
      </c>
      <c r="I22" s="98">
        <v>9</v>
      </c>
      <c r="J22" s="1">
        <f t="shared" si="1"/>
        <v>975853.91273823509</v>
      </c>
      <c r="K22" s="1">
        <f t="shared" si="2"/>
        <v>18304.554595764355</v>
      </c>
      <c r="L22" s="82">
        <f t="shared" si="3"/>
        <v>994158.46733399946</v>
      </c>
      <c r="M22" s="4"/>
      <c r="N22" s="85">
        <f t="shared" si="4"/>
        <v>5874589.8783721598</v>
      </c>
      <c r="O22" s="4"/>
      <c r="P22" s="4"/>
      <c r="Q22" s="198">
        <v>10</v>
      </c>
      <c r="R22" s="199">
        <v>1018087.7264</v>
      </c>
      <c r="S22" s="200">
        <f t="shared" si="0"/>
        <v>7337779.9931689566</v>
      </c>
      <c r="T22" s="204"/>
      <c r="U22" s="198">
        <v>10</v>
      </c>
      <c r="V22" s="199">
        <v>293618.10839999997</v>
      </c>
      <c r="W22" s="201">
        <f t="shared" si="5"/>
        <v>6.0571872306014889</v>
      </c>
      <c r="X22" s="201">
        <f t="shared" si="6"/>
        <v>2.4175369756389919</v>
      </c>
      <c r="Y22" s="201">
        <f t="shared" si="7"/>
        <v>3.6396502549624969</v>
      </c>
      <c r="Z22" s="203">
        <f t="shared" si="8"/>
        <v>1068667.2230996659</v>
      </c>
      <c r="AA22" s="204"/>
      <c r="AB22" s="198">
        <v>10</v>
      </c>
      <c r="AC22" s="199">
        <v>60828.4</v>
      </c>
      <c r="AD22" s="201">
        <f t="shared" si="9"/>
        <v>1.3812676485705184</v>
      </c>
      <c r="AE22" s="201">
        <f t="shared" si="10"/>
        <v>1.0245327975268137</v>
      </c>
      <c r="AF22" s="201">
        <f t="shared" si="11"/>
        <v>0.35673485104370473</v>
      </c>
      <c r="AG22" s="203">
        <f t="shared" si="12"/>
        <v>21699.61021322689</v>
      </c>
      <c r="AH22" s="56"/>
      <c r="AI22" s="225">
        <f t="shared" si="13"/>
        <v>8428146.826481849</v>
      </c>
      <c r="AM22" s="13"/>
      <c r="AN22" s="13"/>
      <c r="AO22" s="13"/>
      <c r="AP22" s="14"/>
      <c r="AQ22" s="13"/>
      <c r="AW22">
        <v>24</v>
      </c>
      <c r="AX22" s="12" t="e">
        <f t="shared" si="17"/>
        <v>#REF!</v>
      </c>
    </row>
    <row r="23" spans="1:50" x14ac:dyDescent="0.2">
      <c r="A23" s="98">
        <v>10</v>
      </c>
      <c r="B23" s="13"/>
      <c r="C23" s="13"/>
      <c r="D23" s="13">
        <f t="shared" si="14"/>
        <v>7337779.9931689566</v>
      </c>
      <c r="E23" s="13">
        <f t="shared" si="15"/>
        <v>733548.18113226327</v>
      </c>
      <c r="F23" s="68">
        <v>-2763896.8689289442</v>
      </c>
      <c r="G23" s="67">
        <f t="shared" si="16"/>
        <v>5307431.3053722754</v>
      </c>
      <c r="I23" s="98">
        <v>10</v>
      </c>
      <c r="J23" s="1">
        <f t="shared" si="1"/>
        <v>1068667.2230996659</v>
      </c>
      <c r="K23" s="1">
        <f t="shared" si="2"/>
        <v>21699.61021322689</v>
      </c>
      <c r="L23" s="82">
        <f t="shared" si="3"/>
        <v>1090366.8333128928</v>
      </c>
      <c r="M23" s="4"/>
      <c r="N23" s="85">
        <f t="shared" si="4"/>
        <v>6397798.1386851687</v>
      </c>
      <c r="O23" s="4"/>
      <c r="P23" s="4"/>
      <c r="Q23" s="198">
        <v>11</v>
      </c>
      <c r="R23" s="199">
        <v>1013863.2960000001</v>
      </c>
      <c r="S23" s="200">
        <f t="shared" si="0"/>
        <v>7888113.4926566277</v>
      </c>
      <c r="T23" s="204"/>
      <c r="U23" s="198">
        <v>11</v>
      </c>
      <c r="V23" s="199">
        <v>292399.77599999995</v>
      </c>
      <c r="W23" s="201">
        <f t="shared" si="5"/>
        <v>6.5114762728966005</v>
      </c>
      <c r="X23" s="201">
        <f t="shared" si="6"/>
        <v>2.5139967009669877</v>
      </c>
      <c r="Y23" s="201">
        <f t="shared" si="7"/>
        <v>3.9974795719296128</v>
      </c>
      <c r="Z23" s="203">
        <f t="shared" si="8"/>
        <v>1168862.1313967945</v>
      </c>
      <c r="AA23" s="204"/>
      <c r="AB23" s="198">
        <v>11</v>
      </c>
      <c r="AC23" s="199">
        <v>60576</v>
      </c>
      <c r="AD23" s="201">
        <f t="shared" si="9"/>
        <v>1.4848627222133073</v>
      </c>
      <c r="AE23" s="201">
        <f t="shared" si="10"/>
        <v>1.0654116561481337</v>
      </c>
      <c r="AF23" s="201">
        <f t="shared" si="11"/>
        <v>0.41945106606517357</v>
      </c>
      <c r="AG23" s="203">
        <f t="shared" si="12"/>
        <v>25408.667777963954</v>
      </c>
      <c r="AH23" s="56"/>
      <c r="AI23" s="225">
        <f t="shared" si="13"/>
        <v>9082384.2918313853</v>
      </c>
      <c r="AM23" s="13"/>
      <c r="AN23" s="13"/>
      <c r="AO23" s="13"/>
      <c r="AP23" s="14"/>
      <c r="AQ23" s="13"/>
      <c r="AW23">
        <v>25</v>
      </c>
      <c r="AX23" s="12" t="e">
        <f t="shared" si="17"/>
        <v>#REF!</v>
      </c>
    </row>
    <row r="24" spans="1:50" x14ac:dyDescent="0.2">
      <c r="A24" s="98">
        <v>11</v>
      </c>
      <c r="B24" s="13"/>
      <c r="C24" s="13"/>
      <c r="D24" s="13">
        <f t="shared" si="14"/>
        <v>7888113.4926566277</v>
      </c>
      <c r="E24" s="13">
        <f t="shared" si="15"/>
        <v>755554.62656623113</v>
      </c>
      <c r="F24" s="68">
        <v>-2874452.7436861019</v>
      </c>
      <c r="G24" s="67">
        <f t="shared" si="16"/>
        <v>5769215.3755367566</v>
      </c>
      <c r="I24" s="98">
        <v>11</v>
      </c>
      <c r="J24" s="1">
        <f t="shared" si="1"/>
        <v>1168862.1313967945</v>
      </c>
      <c r="K24" s="1">
        <f t="shared" si="2"/>
        <v>25408.667777963954</v>
      </c>
      <c r="L24" s="82">
        <f t="shared" si="3"/>
        <v>1194270.7991747584</v>
      </c>
      <c r="M24" s="4"/>
      <c r="N24" s="85">
        <f t="shared" si="4"/>
        <v>6963486.1747115152</v>
      </c>
      <c r="O24" s="4"/>
      <c r="P24" s="4"/>
      <c r="Q24" s="198">
        <v>12</v>
      </c>
      <c r="R24" s="199">
        <v>1009638.8656</v>
      </c>
      <c r="S24" s="200">
        <f t="shared" si="0"/>
        <v>8479722.0046058744</v>
      </c>
      <c r="T24" s="204"/>
      <c r="U24" s="198">
        <v>12</v>
      </c>
      <c r="V24" s="199">
        <v>291181.44359999994</v>
      </c>
      <c r="W24" s="201">
        <f t="shared" si="5"/>
        <v>6.9998369933638456</v>
      </c>
      <c r="X24" s="201">
        <f t="shared" si="6"/>
        <v>2.6143051693355708</v>
      </c>
      <c r="Y24" s="201">
        <f t="shared" si="7"/>
        <v>4.3855318240282752</v>
      </c>
      <c r="Z24" s="203">
        <f t="shared" si="8"/>
        <v>1276985.4874742941</v>
      </c>
      <c r="AA24" s="204"/>
      <c r="AB24" s="198">
        <v>12</v>
      </c>
      <c r="AC24" s="199">
        <v>60323.6</v>
      </c>
      <c r="AD24" s="201">
        <f t="shared" si="9"/>
        <v>1.5962274263793053</v>
      </c>
      <c r="AE24" s="201">
        <f t="shared" si="10"/>
        <v>1.1079215812284442</v>
      </c>
      <c r="AF24" s="201">
        <f t="shared" si="11"/>
        <v>0.48830584515086106</v>
      </c>
      <c r="AG24" s="203">
        <f t="shared" si="12"/>
        <v>29456.366480542481</v>
      </c>
      <c r="AH24" s="56"/>
      <c r="AI24" s="225">
        <f t="shared" si="13"/>
        <v>9786163.8585607111</v>
      </c>
      <c r="AM24" s="13"/>
      <c r="AN24" s="13"/>
      <c r="AO24" s="13"/>
      <c r="AP24" s="14"/>
      <c r="AQ24" s="13"/>
      <c r="AW24">
        <v>26</v>
      </c>
      <c r="AX24" s="12" t="e">
        <f t="shared" si="17"/>
        <v>#REF!</v>
      </c>
    </row>
    <row r="25" spans="1:50" x14ac:dyDescent="0.2">
      <c r="A25" s="98">
        <v>12</v>
      </c>
      <c r="B25" s="13"/>
      <c r="C25" s="13"/>
      <c r="D25" s="13">
        <f t="shared" si="14"/>
        <v>8479722.0046058744</v>
      </c>
      <c r="E25" s="13">
        <f t="shared" si="15"/>
        <v>778221.26536321815</v>
      </c>
      <c r="F25" s="68">
        <v>-2989430.8534335461</v>
      </c>
      <c r="G25" s="67">
        <f t="shared" si="16"/>
        <v>6268512.416535547</v>
      </c>
      <c r="I25" s="98">
        <v>12</v>
      </c>
      <c r="J25" s="1">
        <f t="shared" si="1"/>
        <v>1276985.4874742941</v>
      </c>
      <c r="K25" s="1">
        <f t="shared" si="2"/>
        <v>29456.366480542481</v>
      </c>
      <c r="L25" s="82">
        <f t="shared" si="3"/>
        <v>1306441.8539548367</v>
      </c>
      <c r="M25" s="4"/>
      <c r="N25" s="85">
        <f t="shared" si="4"/>
        <v>7574954.2704903837</v>
      </c>
      <c r="O25" s="4"/>
      <c r="P25" s="4"/>
      <c r="Q25" s="198">
        <v>13</v>
      </c>
      <c r="R25" s="199">
        <v>1005414.4352000001</v>
      </c>
      <c r="S25" s="200">
        <f t="shared" si="0"/>
        <v>9115701.1549513154</v>
      </c>
      <c r="T25" s="204"/>
      <c r="U25" s="198">
        <v>13</v>
      </c>
      <c r="V25" s="199">
        <v>289963.11119999998</v>
      </c>
      <c r="W25" s="201">
        <f t="shared" si="5"/>
        <v>7.524824767866134</v>
      </c>
      <c r="X25" s="201">
        <f t="shared" si="6"/>
        <v>2.71861594559206</v>
      </c>
      <c r="Y25" s="201">
        <f t="shared" si="7"/>
        <v>4.8062088222740744</v>
      </c>
      <c r="Z25" s="203">
        <f t="shared" si="8"/>
        <v>1393623.2631834785</v>
      </c>
      <c r="AA25" s="204"/>
      <c r="AB25" s="198">
        <v>13</v>
      </c>
      <c r="AC25" s="199">
        <v>60071.199999999997</v>
      </c>
      <c r="AD25" s="201">
        <f t="shared" si="9"/>
        <v>1.7159444833577531</v>
      </c>
      <c r="AE25" s="201">
        <f t="shared" si="10"/>
        <v>1.1521276523194592</v>
      </c>
      <c r="AF25" s="201">
        <f t="shared" si="11"/>
        <v>0.56381683103829383</v>
      </c>
      <c r="AG25" s="203">
        <f t="shared" si="12"/>
        <v>33869.153620667552</v>
      </c>
      <c r="AH25" s="56"/>
      <c r="AI25" s="225">
        <f t="shared" si="13"/>
        <v>10543193.571755461</v>
      </c>
      <c r="AM25" s="13"/>
      <c r="AN25" s="13"/>
      <c r="AO25" s="13"/>
      <c r="AP25" s="14"/>
      <c r="AQ25" s="13"/>
      <c r="AW25">
        <v>27</v>
      </c>
      <c r="AX25" s="12" t="e">
        <f t="shared" si="17"/>
        <v>#REF!</v>
      </c>
    </row>
    <row r="26" spans="1:50" x14ac:dyDescent="0.2">
      <c r="A26" s="98">
        <v>13</v>
      </c>
      <c r="B26" s="13"/>
      <c r="C26" s="13"/>
      <c r="D26" s="13">
        <f t="shared" si="14"/>
        <v>9115701.1549513154</v>
      </c>
      <c r="E26" s="13">
        <f t="shared" si="15"/>
        <v>801567.90332411474</v>
      </c>
      <c r="F26" s="68">
        <v>-3109008.087570888</v>
      </c>
      <c r="G26" s="67">
        <f t="shared" si="16"/>
        <v>6808260.9707045415</v>
      </c>
      <c r="I26" s="98">
        <v>13</v>
      </c>
      <c r="J26" s="1">
        <f t="shared" si="1"/>
        <v>1393623.2631834785</v>
      </c>
      <c r="K26" s="1">
        <f t="shared" si="2"/>
        <v>33869.153620667552</v>
      </c>
      <c r="L26" s="82">
        <f t="shared" si="3"/>
        <v>1427492.416804146</v>
      </c>
      <c r="M26" s="4"/>
      <c r="N26" s="85">
        <f t="shared" si="4"/>
        <v>8235753.3875086876</v>
      </c>
      <c r="O26" s="4"/>
      <c r="P26" s="4"/>
      <c r="Q26" s="198">
        <v>14</v>
      </c>
      <c r="R26" s="199">
        <v>1001190.0048</v>
      </c>
      <c r="S26" s="200">
        <f t="shared" si="0"/>
        <v>9799378.7415726632</v>
      </c>
      <c r="T26" s="204"/>
      <c r="U26" s="198">
        <v>14</v>
      </c>
      <c r="V26" s="199">
        <v>288744.77879999997</v>
      </c>
      <c r="W26" s="201">
        <f t="shared" si="5"/>
        <v>8.0891866254560938</v>
      </c>
      <c r="X26" s="201">
        <f t="shared" si="6"/>
        <v>2.8270887218211831</v>
      </c>
      <c r="Y26" s="201">
        <f t="shared" si="7"/>
        <v>5.2620979036349107</v>
      </c>
      <c r="Z26" s="203">
        <f t="shared" si="8"/>
        <v>1519403.2952090059</v>
      </c>
      <c r="AA26" s="204"/>
      <c r="AB26" s="198">
        <v>14</v>
      </c>
      <c r="AC26" s="199">
        <v>59818.799999999996</v>
      </c>
      <c r="AD26" s="201">
        <f t="shared" si="9"/>
        <v>1.8446403196095844</v>
      </c>
      <c r="AE26" s="201">
        <f t="shared" si="10"/>
        <v>1.1980975456470058</v>
      </c>
      <c r="AF26" s="201">
        <f t="shared" si="11"/>
        <v>0.64654277396257864</v>
      </c>
      <c r="AG26" s="203">
        <f t="shared" si="12"/>
        <v>38675.412887112696</v>
      </c>
      <c r="AH26" s="56"/>
      <c r="AI26" s="225">
        <f t="shared" si="13"/>
        <v>11357457.449668782</v>
      </c>
      <c r="AM26" s="13"/>
      <c r="AN26" s="13"/>
      <c r="AO26" s="13"/>
      <c r="AP26" s="14"/>
      <c r="AQ26" s="13"/>
      <c r="AW26">
        <v>28</v>
      </c>
      <c r="AX26" s="12" t="e">
        <f t="shared" si="17"/>
        <v>#REF!</v>
      </c>
    </row>
    <row r="27" spans="1:50" x14ac:dyDescent="0.2">
      <c r="A27" s="98">
        <v>14</v>
      </c>
      <c r="B27" s="13"/>
      <c r="C27" s="13"/>
      <c r="D27" s="13">
        <f t="shared" si="14"/>
        <v>9799378.7415726632</v>
      </c>
      <c r="E27" s="13">
        <f t="shared" si="15"/>
        <v>825614.94042383821</v>
      </c>
      <c r="F27" s="68">
        <v>-3233368.4110737238</v>
      </c>
      <c r="G27" s="67">
        <f t="shared" si="16"/>
        <v>7391625.2709227782</v>
      </c>
      <c r="I27" s="98">
        <v>14</v>
      </c>
      <c r="J27" s="1">
        <f t="shared" si="1"/>
        <v>1519403.2952090059</v>
      </c>
      <c r="K27" s="1">
        <f t="shared" si="2"/>
        <v>38675.412887112696</v>
      </c>
      <c r="L27" s="82">
        <f t="shared" si="3"/>
        <v>1558078.7080961186</v>
      </c>
      <c r="M27" s="4"/>
      <c r="N27" s="85">
        <f t="shared" si="4"/>
        <v>8949703.9790188968</v>
      </c>
      <c r="O27" s="4"/>
      <c r="P27" s="4"/>
      <c r="Q27" s="198">
        <v>15</v>
      </c>
      <c r="R27" s="199">
        <v>996965.57440000004</v>
      </c>
      <c r="S27" s="200">
        <f t="shared" si="0"/>
        <v>10534332.147190612</v>
      </c>
      <c r="T27" s="204"/>
      <c r="U27" s="198">
        <v>15</v>
      </c>
      <c r="V27" s="199">
        <v>287526.44639999996</v>
      </c>
      <c r="W27" s="201">
        <f t="shared" si="5"/>
        <v>8.6958756223652998</v>
      </c>
      <c r="X27" s="201">
        <f t="shared" si="6"/>
        <v>2.9398895618218486</v>
      </c>
      <c r="Y27" s="201">
        <f t="shared" si="7"/>
        <v>5.7559860605434512</v>
      </c>
      <c r="Z27" s="203">
        <f t="shared" si="8"/>
        <v>1654998.2175159936</v>
      </c>
      <c r="AA27" s="204"/>
      <c r="AB27" s="198">
        <v>15</v>
      </c>
      <c r="AC27" s="199">
        <v>59566.399999999994</v>
      </c>
      <c r="AD27" s="201">
        <f t="shared" si="9"/>
        <v>1.9829883435803031</v>
      </c>
      <c r="AE27" s="201">
        <f t="shared" si="10"/>
        <v>1.2459016377183214</v>
      </c>
      <c r="AF27" s="201">
        <f t="shared" si="11"/>
        <v>0.73708670586198166</v>
      </c>
      <c r="AG27" s="203">
        <f t="shared" si="12"/>
        <v>43905.60155605714</v>
      </c>
      <c r="AH27" s="56"/>
      <c r="AI27" s="225">
        <f t="shared" si="13"/>
        <v>12233235.966262663</v>
      </c>
      <c r="AM27" s="13"/>
      <c r="AN27" s="13"/>
      <c r="AO27" s="13"/>
      <c r="AP27" s="14"/>
      <c r="AQ27" s="13"/>
      <c r="AW27">
        <v>29</v>
      </c>
      <c r="AX27" s="12" t="e">
        <f t="shared" si="17"/>
        <v>#REF!</v>
      </c>
    </row>
    <row r="28" spans="1:50" x14ac:dyDescent="0.2">
      <c r="A28" s="102">
        <v>15</v>
      </c>
      <c r="B28" s="69"/>
      <c r="C28" s="69"/>
      <c r="D28" s="69">
        <f t="shared" si="14"/>
        <v>10534332.147190612</v>
      </c>
      <c r="E28" s="69">
        <f t="shared" si="15"/>
        <v>850383.38863655343</v>
      </c>
      <c r="F28" s="70">
        <v>-3362703.147516673</v>
      </c>
      <c r="G28" s="71">
        <f t="shared" si="16"/>
        <v>8022012.388310492</v>
      </c>
      <c r="I28" s="102">
        <v>15</v>
      </c>
      <c r="J28" s="17">
        <f t="shared" si="1"/>
        <v>1654998.2175159936</v>
      </c>
      <c r="K28" s="17">
        <f t="shared" si="2"/>
        <v>43905.60155605714</v>
      </c>
      <c r="L28" s="83">
        <f t="shared" si="3"/>
        <v>1698903.8190720507</v>
      </c>
      <c r="M28" s="4"/>
      <c r="N28" s="87">
        <f t="shared" si="4"/>
        <v>9720916.207382543</v>
      </c>
      <c r="O28" s="4"/>
      <c r="P28" s="4"/>
      <c r="Q28" s="198">
        <v>16</v>
      </c>
      <c r="R28" s="199">
        <v>992741.14400000009</v>
      </c>
      <c r="S28" s="200">
        <f>D28*(1+$E$111)</f>
        <v>11324407.058229906</v>
      </c>
      <c r="T28" s="204"/>
      <c r="U28" s="198">
        <v>16</v>
      </c>
      <c r="V28" s="199">
        <v>286308.11399999994</v>
      </c>
      <c r="W28" s="201">
        <f t="shared" si="5"/>
        <v>9.3480662940426971</v>
      </c>
      <c r="X28" s="205"/>
      <c r="Y28" s="201">
        <f t="shared" si="7"/>
        <v>9.3480662940426971</v>
      </c>
      <c r="Z28" s="203">
        <f t="shared" si="8"/>
        <v>2676427.2301943335</v>
      </c>
      <c r="AA28" s="204"/>
      <c r="AB28" s="198">
        <v>16</v>
      </c>
      <c r="AC28" s="199">
        <v>59314</v>
      </c>
      <c r="AD28" s="201">
        <f t="shared" si="9"/>
        <v>2.1317124693488259</v>
      </c>
      <c r="AE28" s="205"/>
      <c r="AF28" s="201">
        <f t="shared" si="11"/>
        <v>2.1317124693488259</v>
      </c>
      <c r="AG28" s="203">
        <f t="shared" si="12"/>
        <v>126440.39340695625</v>
      </c>
      <c r="AH28" s="56"/>
      <c r="AI28" s="225">
        <f t="shared" si="13"/>
        <v>14127274.681831196</v>
      </c>
      <c r="AM28" s="13"/>
      <c r="AN28" s="13"/>
      <c r="AO28" s="13"/>
      <c r="AP28" s="14"/>
      <c r="AQ28" s="13"/>
      <c r="AW28">
        <v>30</v>
      </c>
      <c r="AX28" s="12" t="e">
        <f t="shared" si="17"/>
        <v>#REF!</v>
      </c>
    </row>
    <row r="29" spans="1:50" ht="17" thickBot="1" x14ac:dyDescent="0.25">
      <c r="A29" s="19"/>
      <c r="B29" s="72"/>
      <c r="C29" s="72"/>
      <c r="D29" s="73">
        <f>SUM(D14:D28)</f>
        <v>99961897.144534126</v>
      </c>
      <c r="E29" s="73">
        <f>SUM(E14:E28)</f>
        <v>10456376.343188325</v>
      </c>
      <c r="F29" s="73">
        <f>SUM(F14:F28)</f>
        <v>-38883349.87000002</v>
      </c>
      <c r="G29" s="74">
        <f>SUM(G14:G28)</f>
        <v>71534923.617722422</v>
      </c>
      <c r="I29" s="19"/>
      <c r="J29" s="73">
        <f t="shared" ref="J29:K29" si="18">SUM(J14:J28)</f>
        <v>14256131.29950403</v>
      </c>
      <c r="K29" s="73">
        <f t="shared" si="18"/>
        <v>266322.09746511118</v>
      </c>
      <c r="L29" s="74">
        <f>SUM(L14:L28)</f>
        <v>14522453.396969143</v>
      </c>
      <c r="M29" s="20"/>
      <c r="N29" s="86">
        <f>SUM(N14:N28)</f>
        <v>86057377.014691561</v>
      </c>
      <c r="O29" s="20"/>
      <c r="P29" s="20"/>
      <c r="Q29" s="198">
        <v>17</v>
      </c>
      <c r="R29" s="199">
        <v>988516.71360000002</v>
      </c>
      <c r="S29" s="200">
        <f>S28*(1+$E$111)</f>
        <v>12173737.587597148</v>
      </c>
      <c r="T29" s="206"/>
      <c r="U29" s="198">
        <v>17</v>
      </c>
      <c r="V29" s="199">
        <v>285089.78159999999</v>
      </c>
      <c r="W29" s="201">
        <f t="shared" si="5"/>
        <v>10.049171266095899</v>
      </c>
      <c r="X29" s="205"/>
      <c r="Y29" s="201">
        <f t="shared" si="7"/>
        <v>10.049171266095899</v>
      </c>
      <c r="Z29" s="203">
        <f t="shared" si="8"/>
        <v>2864916.0415122751</v>
      </c>
      <c r="AA29" s="204"/>
      <c r="AB29" s="198">
        <v>17</v>
      </c>
      <c r="AC29" s="199">
        <v>59061.599999999999</v>
      </c>
      <c r="AD29" s="201">
        <f t="shared" si="9"/>
        <v>2.2915909045499876</v>
      </c>
      <c r="AE29" s="205"/>
      <c r="AF29" s="201">
        <f t="shared" si="11"/>
        <v>2.2915909045499876</v>
      </c>
      <c r="AG29" s="203">
        <f t="shared" si="12"/>
        <v>135345.02536816953</v>
      </c>
      <c r="AH29" s="56"/>
      <c r="AI29" s="225">
        <f t="shared" si="13"/>
        <v>15173998.654477593</v>
      </c>
      <c r="AM29" s="20"/>
      <c r="AN29" s="20"/>
      <c r="AO29" s="20"/>
      <c r="AP29" s="20"/>
      <c r="AQ29" s="20"/>
      <c r="AR29" s="20"/>
    </row>
    <row r="30" spans="1:50" x14ac:dyDescent="0.2">
      <c r="Q30" s="198">
        <v>18</v>
      </c>
      <c r="R30" s="199">
        <v>984292.28320000006</v>
      </c>
      <c r="S30" s="200">
        <f>S29*(1+$E$111)</f>
        <v>13086767.906666934</v>
      </c>
      <c r="T30" s="56"/>
      <c r="U30" s="198">
        <v>18</v>
      </c>
      <c r="V30" s="199">
        <v>283871.44919999997</v>
      </c>
      <c r="W30" s="201">
        <f t="shared" si="5"/>
        <v>10.80285911105309</v>
      </c>
      <c r="X30" s="205"/>
      <c r="Y30" s="201">
        <f t="shared" ref="Y30:Y40" si="19">W30-X30</f>
        <v>10.80285911105309</v>
      </c>
      <c r="Z30" s="203">
        <f t="shared" ref="Z30:Z40" si="20">Y30*V30</f>
        <v>3066623.2713580639</v>
      </c>
      <c r="AA30" s="204"/>
      <c r="AB30" s="198">
        <v>18</v>
      </c>
      <c r="AC30" s="199">
        <v>58809.2</v>
      </c>
      <c r="AD30" s="201">
        <f t="shared" si="9"/>
        <v>2.4634602223912365</v>
      </c>
      <c r="AE30" s="205"/>
      <c r="AF30" s="201">
        <f t="shared" ref="AF30:AF42" si="21">AD30-AE30</f>
        <v>2.4634602223912365</v>
      </c>
      <c r="AG30" s="203">
        <f t="shared" ref="AG30:AG42" si="22">AF30*AC30</f>
        <v>144874.12491065069</v>
      </c>
      <c r="AH30" s="56"/>
      <c r="AI30" s="225">
        <f t="shared" si="13"/>
        <v>16298265.302935649</v>
      </c>
    </row>
    <row r="31" spans="1:50" s="119" customFormat="1" ht="22" x14ac:dyDescent="0.3">
      <c r="A31" s="184" t="s">
        <v>63</v>
      </c>
      <c r="B31" s="80">
        <f t="shared" ref="B31:G31" si="23">NPV($J$111,B14:B28)+B13</f>
        <v>-16664292.800000001</v>
      </c>
      <c r="C31" s="80">
        <f t="shared" si="23"/>
        <v>16664292.800000001</v>
      </c>
      <c r="D31" s="80">
        <f t="shared" si="23"/>
        <v>32474101.289506823</v>
      </c>
      <c r="E31" s="80">
        <f t="shared" si="23"/>
        <v>3788007.9030260989</v>
      </c>
      <c r="F31" s="80">
        <f t="shared" si="23"/>
        <v>-13746266.35924015</v>
      </c>
      <c r="G31" s="80">
        <f t="shared" si="23"/>
        <v>22515842.833292775</v>
      </c>
      <c r="I31" s="184" t="s">
        <v>63</v>
      </c>
      <c r="J31" s="21">
        <f>NPV($J$111,J14:J28)+J13</f>
        <v>4389187.2942204382</v>
      </c>
      <c r="K31" s="21">
        <f>NPV($J$111,K14:K28)+K13</f>
        <v>61867.480796530304</v>
      </c>
      <c r="L31" s="21">
        <f>NPV($J$111,L14:L28)+L13</f>
        <v>4451054.7750169691</v>
      </c>
      <c r="M31"/>
      <c r="N31" s="21">
        <f>NPV($J$111,N14:N28)+N13</f>
        <v>26966897.608309738</v>
      </c>
      <c r="Q31" s="198">
        <v>19</v>
      </c>
      <c r="R31" s="199">
        <v>980067.85279999999</v>
      </c>
      <c r="S31" s="200">
        <f>S30*(1+$E$111)</f>
        <v>14068275.499666953</v>
      </c>
      <c r="T31" s="207"/>
      <c r="U31" s="198">
        <v>19</v>
      </c>
      <c r="V31" s="199">
        <v>282653.11679999996</v>
      </c>
      <c r="W31" s="201">
        <f t="shared" si="5"/>
        <v>11.613073544382072</v>
      </c>
      <c r="X31" s="205"/>
      <c r="Y31" s="201">
        <f t="shared" si="19"/>
        <v>11.613073544382072</v>
      </c>
      <c r="Z31" s="203">
        <f t="shared" si="20"/>
        <v>3282471.4329472152</v>
      </c>
      <c r="AA31" s="204"/>
      <c r="AB31" s="198">
        <v>19</v>
      </c>
      <c r="AC31" s="199">
        <v>58556.799999999996</v>
      </c>
      <c r="AD31" s="201">
        <f t="shared" si="9"/>
        <v>2.6482197390705791</v>
      </c>
      <c r="AE31" s="205"/>
      <c r="AF31" s="201">
        <f t="shared" si="21"/>
        <v>2.6482197390705791</v>
      </c>
      <c r="AG31" s="203">
        <f t="shared" si="22"/>
        <v>155071.27361680806</v>
      </c>
      <c r="AH31" s="207"/>
      <c r="AI31" s="225">
        <f t="shared" si="13"/>
        <v>17505818.206230976</v>
      </c>
    </row>
    <row r="32" spans="1:50" x14ac:dyDescent="0.2">
      <c r="Q32" s="198">
        <v>20</v>
      </c>
      <c r="R32" s="199">
        <v>975843.42240000004</v>
      </c>
      <c r="S32" s="200">
        <f>S31*(1+$E$111)</f>
        <v>15123396.162141975</v>
      </c>
      <c r="T32" s="56"/>
      <c r="U32" s="198">
        <v>20</v>
      </c>
      <c r="V32" s="199">
        <v>281434.78439999995</v>
      </c>
      <c r="W32" s="201">
        <f t="shared" si="5"/>
        <v>12.484054060210727</v>
      </c>
      <c r="X32" s="205"/>
      <c r="Y32" s="201">
        <f t="shared" si="19"/>
        <v>12.484054060210727</v>
      </c>
      <c r="Z32" s="203">
        <f t="shared" si="20"/>
        <v>3513447.06287335</v>
      </c>
      <c r="AA32" s="204"/>
      <c r="AB32" s="198">
        <v>20</v>
      </c>
      <c r="AC32" s="199">
        <v>58304.399999999994</v>
      </c>
      <c r="AD32" s="201">
        <f t="shared" si="9"/>
        <v>2.8468362195008723</v>
      </c>
      <c r="AE32" s="205"/>
      <c r="AF32" s="201">
        <f t="shared" si="21"/>
        <v>2.8468362195008723</v>
      </c>
      <c r="AG32" s="203">
        <f t="shared" si="22"/>
        <v>165983.07767626664</v>
      </c>
      <c r="AH32" s="208"/>
      <c r="AI32" s="225">
        <f t="shared" si="13"/>
        <v>18802826.30269159</v>
      </c>
    </row>
    <row r="33" spans="1:45" x14ac:dyDescent="0.2">
      <c r="P33" s="231"/>
      <c r="Q33" s="232">
        <v>21</v>
      </c>
      <c r="R33" s="233">
        <v>971618.99199999997</v>
      </c>
      <c r="S33" s="234">
        <f>S32*(1+$E$111)</f>
        <v>16257650.874302622</v>
      </c>
      <c r="T33" s="231"/>
      <c r="U33" s="232">
        <v>21</v>
      </c>
      <c r="V33" s="233">
        <v>280216.45199999993</v>
      </c>
      <c r="W33" s="230">
        <f>W32*(1+$E$111)</f>
        <v>13.420358114726531</v>
      </c>
      <c r="X33" s="230"/>
      <c r="Y33" s="230">
        <f t="shared" si="19"/>
        <v>13.420358114726531</v>
      </c>
      <c r="Z33" s="235">
        <f t="shared" si="20"/>
        <v>3760605.1354780765</v>
      </c>
      <c r="AA33" s="236"/>
      <c r="AB33" s="232">
        <v>21</v>
      </c>
      <c r="AC33" s="233">
        <v>58051.999999999993</v>
      </c>
      <c r="AD33" s="230">
        <f>AD32*(1+$E$111)</f>
        <v>3.0603489359634377</v>
      </c>
      <c r="AE33" s="230"/>
      <c r="AF33" s="230">
        <f t="shared" si="21"/>
        <v>3.0603489359634377</v>
      </c>
      <c r="AG33" s="235">
        <f t="shared" si="22"/>
        <v>177659.37643054946</v>
      </c>
      <c r="AH33" s="236"/>
      <c r="AI33" s="237">
        <f t="shared" si="13"/>
        <v>20195915.386211246</v>
      </c>
      <c r="AJ33" s="231"/>
      <c r="AK33" s="231"/>
    </row>
    <row r="34" spans="1:45" s="231" customFormat="1" x14ac:dyDescent="0.2">
      <c r="A34" s="231" t="s">
        <v>122</v>
      </c>
      <c r="P34"/>
      <c r="Q34" s="198">
        <v>22</v>
      </c>
      <c r="R34" s="199">
        <v>967394.56160000002</v>
      </c>
      <c r="S34" s="200">
        <f t="shared" ref="S34:S42" si="24">S33*(1+$E$111)</f>
        <v>17476974.68987532</v>
      </c>
      <c r="T34" s="56"/>
      <c r="U34" s="198">
        <v>22</v>
      </c>
      <c r="V34" s="199">
        <v>278998.11959999998</v>
      </c>
      <c r="W34" s="201">
        <f t="shared" ref="W34:W42" si="25">W33*(1+$E$111)</f>
        <v>14.42688497333102</v>
      </c>
      <c r="X34" s="205"/>
      <c r="Y34" s="201">
        <f t="shared" si="19"/>
        <v>14.42688497333102</v>
      </c>
      <c r="Z34" s="203">
        <f t="shared" si="20"/>
        <v>4025073.7792448504</v>
      </c>
      <c r="AA34" s="204"/>
      <c r="AB34" s="198">
        <v>22</v>
      </c>
      <c r="AC34" s="199">
        <v>57799.6</v>
      </c>
      <c r="AD34" s="201">
        <f t="shared" ref="AD34:AD42" si="26">AD33*(1+$E$111)</f>
        <v>3.2898751061606952</v>
      </c>
      <c r="AE34" s="205"/>
      <c r="AF34" s="201">
        <f t="shared" si="21"/>
        <v>3.2898751061606952</v>
      </c>
      <c r="AG34" s="203">
        <f t="shared" si="22"/>
        <v>190153.46518604571</v>
      </c>
      <c r="AH34" s="201"/>
      <c r="AI34" s="225">
        <f t="shared" si="13"/>
        <v>21692201.934306215</v>
      </c>
      <c r="AJ34"/>
      <c r="AK34"/>
    </row>
    <row r="35" spans="1:45" x14ac:dyDescent="0.2">
      <c r="F35" s="9"/>
      <c r="G35" s="1"/>
      <c r="H35" s="1"/>
      <c r="I35" s="2"/>
      <c r="J35" s="22"/>
      <c r="Q35" s="198">
        <v>23</v>
      </c>
      <c r="R35" s="199">
        <v>963170.13119999995</v>
      </c>
      <c r="S35" s="200">
        <f t="shared" si="24"/>
        <v>18787747.791615967</v>
      </c>
      <c r="T35" s="56"/>
      <c r="U35" s="198">
        <v>23</v>
      </c>
      <c r="V35" s="199">
        <v>277779.78719999996</v>
      </c>
      <c r="W35" s="201">
        <f t="shared" si="25"/>
        <v>15.508901346330846</v>
      </c>
      <c r="X35" s="205"/>
      <c r="Y35" s="201">
        <f t="shared" si="19"/>
        <v>15.508901346330846</v>
      </c>
      <c r="Z35" s="203">
        <f t="shared" si="20"/>
        <v>4308059.3156895759</v>
      </c>
      <c r="AA35" s="204"/>
      <c r="AB35" s="198">
        <v>23</v>
      </c>
      <c r="AC35" s="199">
        <v>57547.199999999997</v>
      </c>
      <c r="AD35" s="201">
        <f t="shared" si="26"/>
        <v>3.5366157391227473</v>
      </c>
      <c r="AE35" s="205"/>
      <c r="AF35" s="201">
        <f t="shared" si="21"/>
        <v>3.5366157391227473</v>
      </c>
      <c r="AG35" s="203">
        <f t="shared" si="22"/>
        <v>203522.33326244456</v>
      </c>
      <c r="AH35" s="201"/>
      <c r="AI35" s="225">
        <f t="shared" si="13"/>
        <v>23299329.440567985</v>
      </c>
    </row>
    <row r="36" spans="1:45" x14ac:dyDescent="0.2">
      <c r="A36" s="2" t="s">
        <v>88</v>
      </c>
      <c r="P36" s="78"/>
      <c r="Q36" s="198">
        <v>24</v>
      </c>
      <c r="R36" s="199">
        <v>958945.70079999999</v>
      </c>
      <c r="S36" s="200">
        <f t="shared" si="24"/>
        <v>20196828.875987165</v>
      </c>
      <c r="T36" s="126"/>
      <c r="U36" s="198">
        <v>24</v>
      </c>
      <c r="V36" s="199">
        <v>276561.45479999995</v>
      </c>
      <c r="W36" s="201">
        <f t="shared" si="25"/>
        <v>16.672068947305661</v>
      </c>
      <c r="X36" s="205"/>
      <c r="Y36" s="201">
        <f t="shared" si="19"/>
        <v>16.672068947305661</v>
      </c>
      <c r="Z36" s="203">
        <f t="shared" si="20"/>
        <v>4610851.642592757</v>
      </c>
      <c r="AA36" s="204"/>
      <c r="AB36" s="198">
        <v>24</v>
      </c>
      <c r="AC36" s="199">
        <v>57294.799999999996</v>
      </c>
      <c r="AD36" s="201">
        <f t="shared" si="26"/>
        <v>3.801861919556953</v>
      </c>
      <c r="AE36" s="205"/>
      <c r="AF36" s="201">
        <f t="shared" si="21"/>
        <v>3.801861919556953</v>
      </c>
      <c r="AG36" s="203">
        <f t="shared" si="22"/>
        <v>217826.91830863169</v>
      </c>
      <c r="AH36" s="209"/>
      <c r="AI36" s="225">
        <f t="shared" si="13"/>
        <v>25025507.436888553</v>
      </c>
      <c r="AJ36" s="78"/>
      <c r="AK36" s="78"/>
      <c r="AS36" s="1"/>
    </row>
    <row r="37" spans="1:45" s="78" customFormat="1" ht="34" x14ac:dyDescent="0.2">
      <c r="A37" s="229"/>
      <c r="B37" s="181" t="s">
        <v>21</v>
      </c>
      <c r="C37" s="181" t="s">
        <v>22</v>
      </c>
      <c r="D37" s="181" t="s">
        <v>23</v>
      </c>
      <c r="E37" s="181" t="s">
        <v>24</v>
      </c>
      <c r="F37" s="181" t="s">
        <v>25</v>
      </c>
      <c r="G37" s="181" t="s">
        <v>90</v>
      </c>
      <c r="H37" s="79"/>
      <c r="I37" s="79"/>
      <c r="J37" s="79"/>
      <c r="K37" s="79"/>
      <c r="P37"/>
      <c r="Q37" s="198">
        <v>25</v>
      </c>
      <c r="R37" s="199">
        <v>954721.27040000004</v>
      </c>
      <c r="S37" s="200">
        <f t="shared" si="24"/>
        <v>21711591.0416862</v>
      </c>
      <c r="T37" s="56"/>
      <c r="U37" s="198">
        <v>25</v>
      </c>
      <c r="V37" s="199">
        <v>275343.12239999993</v>
      </c>
      <c r="W37" s="201">
        <f t="shared" si="25"/>
        <v>17.922474118353584</v>
      </c>
      <c r="X37" s="205"/>
      <c r="Y37" s="201">
        <f t="shared" si="19"/>
        <v>17.922474118353584</v>
      </c>
      <c r="Z37" s="203">
        <f t="shared" si="20"/>
        <v>4934829.9848806616</v>
      </c>
      <c r="AA37" s="204"/>
      <c r="AB37" s="198">
        <v>25</v>
      </c>
      <c r="AC37" s="199">
        <v>57042.399999999994</v>
      </c>
      <c r="AD37" s="201">
        <f t="shared" si="26"/>
        <v>4.0870015635237245</v>
      </c>
      <c r="AE37" s="205"/>
      <c r="AF37" s="201">
        <f t="shared" si="21"/>
        <v>4.0870015635237245</v>
      </c>
      <c r="AG37" s="203">
        <f t="shared" si="22"/>
        <v>233132.37798714568</v>
      </c>
      <c r="AH37" s="201"/>
      <c r="AI37" s="225">
        <f t="shared" si="13"/>
        <v>26879553.404554006</v>
      </c>
      <c r="AJ37"/>
      <c r="AK37"/>
      <c r="AO37" s="94"/>
    </row>
    <row r="38" spans="1:45" x14ac:dyDescent="0.2">
      <c r="A38" s="16">
        <v>1</v>
      </c>
      <c r="B38" s="16" t="s">
        <v>40</v>
      </c>
      <c r="C38" s="30">
        <v>650.08000000000004</v>
      </c>
      <c r="D38" s="89">
        <v>0.42303461160086259</v>
      </c>
      <c r="E38" s="95">
        <v>1056107.6000000001</v>
      </c>
      <c r="F38" s="90">
        <v>3.6239345047700189</v>
      </c>
      <c r="G38" s="93">
        <v>3827264.7723898534</v>
      </c>
      <c r="H38" s="1"/>
      <c r="I38" s="9"/>
      <c r="J38" s="9"/>
      <c r="K38" s="1"/>
      <c r="M38" s="3"/>
      <c r="Q38" s="198">
        <v>26</v>
      </c>
      <c r="R38" s="199">
        <v>950496.84</v>
      </c>
      <c r="S38" s="200">
        <f t="shared" si="24"/>
        <v>23339960.369812664</v>
      </c>
      <c r="T38" s="56"/>
      <c r="U38" s="198">
        <v>26</v>
      </c>
      <c r="V38" s="199">
        <v>274124.78999999998</v>
      </c>
      <c r="W38" s="201">
        <f t="shared" si="25"/>
        <v>19.266659677230102</v>
      </c>
      <c r="X38" s="205"/>
      <c r="Y38" s="201">
        <f t="shared" si="19"/>
        <v>19.266659677230102</v>
      </c>
      <c r="Z38" s="203">
        <f t="shared" si="20"/>
        <v>5281469.0380221689</v>
      </c>
      <c r="AA38" s="204"/>
      <c r="AB38" s="198">
        <v>26</v>
      </c>
      <c r="AC38" s="199">
        <v>56789.999999999993</v>
      </c>
      <c r="AD38" s="201">
        <f t="shared" si="26"/>
        <v>4.3935266807880033</v>
      </c>
      <c r="AE38" s="205"/>
      <c r="AF38" s="201">
        <f t="shared" si="21"/>
        <v>4.3935266807880033</v>
      </c>
      <c r="AG38" s="203">
        <f t="shared" si="22"/>
        <v>249508.38020195067</v>
      </c>
      <c r="AH38" s="201"/>
      <c r="AI38" s="225">
        <f t="shared" si="13"/>
        <v>28870937.788036782</v>
      </c>
      <c r="AS38" s="1"/>
    </row>
    <row r="39" spans="1:45" x14ac:dyDescent="0.2">
      <c r="C39" s="10">
        <f>SUM(C38:C38)</f>
        <v>650.08000000000004</v>
      </c>
      <c r="E39" s="96">
        <f>SUM(E38:E38)</f>
        <v>1056107.6000000001</v>
      </c>
      <c r="G39" s="25">
        <f>SUM(G38:G38)</f>
        <v>3827264.7723898534</v>
      </c>
      <c r="I39" s="4"/>
      <c r="J39" s="9"/>
      <c r="K39" s="4"/>
      <c r="Q39" s="198">
        <v>27</v>
      </c>
      <c r="R39" s="199">
        <v>946272.40960000001</v>
      </c>
      <c r="S39" s="200">
        <f t="shared" si="24"/>
        <v>25090457.397548612</v>
      </c>
      <c r="T39" s="56"/>
      <c r="U39" s="198">
        <v>27</v>
      </c>
      <c r="V39" s="199">
        <v>272906.45759999997</v>
      </c>
      <c r="W39" s="201">
        <f t="shared" si="25"/>
        <v>20.71165915302236</v>
      </c>
      <c r="X39" s="205"/>
      <c r="Y39" s="201">
        <f t="shared" si="19"/>
        <v>20.71165915302236</v>
      </c>
      <c r="Z39" s="203">
        <f t="shared" si="20"/>
        <v>5652345.5304699475</v>
      </c>
      <c r="AA39" s="204"/>
      <c r="AB39" s="198">
        <v>27</v>
      </c>
      <c r="AC39" s="199">
        <v>56537.599999999991</v>
      </c>
      <c r="AD39" s="201">
        <f t="shared" si="26"/>
        <v>4.723041181847103</v>
      </c>
      <c r="AE39" s="205"/>
      <c r="AF39" s="201">
        <f t="shared" si="21"/>
        <v>4.723041181847103</v>
      </c>
      <c r="AG39" s="203">
        <f t="shared" si="22"/>
        <v>267029.41312279872</v>
      </c>
      <c r="AH39" s="201"/>
      <c r="AI39" s="225">
        <f t="shared" si="13"/>
        <v>31009832.341141358</v>
      </c>
    </row>
    <row r="40" spans="1:45" x14ac:dyDescent="0.2">
      <c r="A40" s="2" t="s">
        <v>89</v>
      </c>
      <c r="E40" s="29"/>
      <c r="P40" s="78"/>
      <c r="Q40" s="198">
        <v>28</v>
      </c>
      <c r="R40" s="199">
        <v>942047.97919999994</v>
      </c>
      <c r="S40" s="200">
        <f t="shared" si="24"/>
        <v>26972241.702364758</v>
      </c>
      <c r="T40" s="126"/>
      <c r="U40" s="198">
        <v>28</v>
      </c>
      <c r="V40" s="199">
        <v>271688.12519999995</v>
      </c>
      <c r="W40" s="201">
        <f t="shared" si="25"/>
        <v>22.265033589499037</v>
      </c>
      <c r="X40" s="205"/>
      <c r="Y40" s="201">
        <f t="shared" si="19"/>
        <v>22.265033589499037</v>
      </c>
      <c r="Z40" s="203">
        <f t="shared" si="20"/>
        <v>6049145.2334460188</v>
      </c>
      <c r="AA40" s="204"/>
      <c r="AB40" s="198">
        <v>28</v>
      </c>
      <c r="AC40" s="199">
        <v>56285.2</v>
      </c>
      <c r="AD40" s="201">
        <f t="shared" si="26"/>
        <v>5.0772692704856359</v>
      </c>
      <c r="AE40" s="205"/>
      <c r="AF40" s="201">
        <f t="shared" si="21"/>
        <v>5.0772692704856359</v>
      </c>
      <c r="AG40" s="203">
        <f t="shared" si="22"/>
        <v>285775.1163431381</v>
      </c>
      <c r="AH40" s="210"/>
      <c r="AI40" s="225">
        <f t="shared" si="13"/>
        <v>33307162.052153915</v>
      </c>
      <c r="AJ40" s="78"/>
      <c r="AK40" s="78"/>
    </row>
    <row r="41" spans="1:45" s="78" customFormat="1" ht="34" x14ac:dyDescent="0.2">
      <c r="A41" s="229"/>
      <c r="B41" s="181" t="s">
        <v>21</v>
      </c>
      <c r="C41" s="181" t="s">
        <v>22</v>
      </c>
      <c r="D41" s="181" t="s">
        <v>23</v>
      </c>
      <c r="E41" s="181" t="s">
        <v>24</v>
      </c>
      <c r="F41" s="181" t="s">
        <v>25</v>
      </c>
      <c r="G41" s="181" t="s">
        <v>13</v>
      </c>
      <c r="H41" s="181" t="s">
        <v>26</v>
      </c>
      <c r="I41" s="181" t="s">
        <v>91</v>
      </c>
      <c r="K41" s="181" t="s">
        <v>92</v>
      </c>
      <c r="P41"/>
      <c r="Q41" s="198">
        <v>29</v>
      </c>
      <c r="R41" s="199">
        <v>937823.54879999999</v>
      </c>
      <c r="S41" s="200">
        <f t="shared" si="24"/>
        <v>28995159.830042113</v>
      </c>
      <c r="T41" s="56"/>
      <c r="U41" s="198">
        <v>29</v>
      </c>
      <c r="V41" s="199">
        <v>270469.79279999994</v>
      </c>
      <c r="W41" s="201">
        <f t="shared" si="25"/>
        <v>23.934911108711464</v>
      </c>
      <c r="X41" s="205"/>
      <c r="Y41" s="201">
        <f t="shared" ref="Y41:Y42" si="27">W41-X41</f>
        <v>23.934911108711464</v>
      </c>
      <c r="Z41" s="203">
        <f t="shared" ref="Z41:Z42" si="28">Y41*V41</f>
        <v>6473670.448259607</v>
      </c>
      <c r="AA41" s="204"/>
      <c r="AB41" s="198">
        <v>29</v>
      </c>
      <c r="AC41" s="199">
        <v>56032.799999999996</v>
      </c>
      <c r="AD41" s="201">
        <f t="shared" si="26"/>
        <v>5.4580644657720585</v>
      </c>
      <c r="AE41" s="205"/>
      <c r="AF41" s="201">
        <f t="shared" si="21"/>
        <v>5.4580644657720585</v>
      </c>
      <c r="AG41" s="203">
        <f t="shared" si="22"/>
        <v>305830.6345977126</v>
      </c>
      <c r="AH41" s="208"/>
      <c r="AI41" s="225">
        <f t="shared" si="13"/>
        <v>35774660.912899435</v>
      </c>
      <c r="AJ41"/>
      <c r="AK41"/>
    </row>
    <row r="42" spans="1:45" x14ac:dyDescent="0.2">
      <c r="A42">
        <v>7</v>
      </c>
      <c r="B42" t="s">
        <v>120</v>
      </c>
      <c r="C42" s="29">
        <v>179.52</v>
      </c>
      <c r="D42" s="23">
        <v>0.9534908989414147</v>
      </c>
      <c r="E42" s="97">
        <v>304583.09999999998</v>
      </c>
      <c r="F42" s="24">
        <v>3.1593287518884794</v>
      </c>
      <c r="G42" s="8">
        <v>1.7</v>
      </c>
      <c r="H42" s="1">
        <f>F42-G42</f>
        <v>1.4593287518884794</v>
      </c>
      <c r="I42" s="9">
        <f>H42*E42</f>
        <v>444486.87516932387</v>
      </c>
      <c r="K42" s="1">
        <v>514773.60000000003</v>
      </c>
      <c r="L42" s="9"/>
      <c r="Q42" s="211">
        <v>30</v>
      </c>
      <c r="R42" s="212">
        <v>933599.11839999992</v>
      </c>
      <c r="S42" s="213">
        <f t="shared" si="24"/>
        <v>31169796.817295268</v>
      </c>
      <c r="T42" s="56"/>
      <c r="U42" s="211">
        <v>30</v>
      </c>
      <c r="V42" s="212">
        <v>269251.46039999992</v>
      </c>
      <c r="W42" s="214">
        <f t="shared" si="25"/>
        <v>25.730029441864822</v>
      </c>
      <c r="X42" s="215"/>
      <c r="Y42" s="214">
        <f t="shared" si="27"/>
        <v>25.730029441864822</v>
      </c>
      <c r="Z42" s="216">
        <f t="shared" si="28"/>
        <v>6927848.0033570984</v>
      </c>
      <c r="AA42" s="204"/>
      <c r="AB42" s="211">
        <v>30</v>
      </c>
      <c r="AC42" s="212">
        <v>55780.399999999994</v>
      </c>
      <c r="AD42" s="214">
        <f t="shared" si="26"/>
        <v>5.8674193007049631</v>
      </c>
      <c r="AE42" s="215"/>
      <c r="AF42" s="214">
        <f t="shared" si="21"/>
        <v>5.8674193007049631</v>
      </c>
      <c r="AG42" s="216">
        <f t="shared" si="22"/>
        <v>327286.99556104309</v>
      </c>
      <c r="AH42" s="208"/>
      <c r="AI42" s="226">
        <f t="shared" si="13"/>
        <v>38424931.816213407</v>
      </c>
    </row>
    <row r="43" spans="1:45" ht="17" thickBot="1" x14ac:dyDescent="0.25">
      <c r="A43" s="16">
        <v>8</v>
      </c>
      <c r="B43" s="16" t="s">
        <v>116</v>
      </c>
      <c r="C43" s="30">
        <v>40.799999999999997</v>
      </c>
      <c r="D43" s="89">
        <v>1</v>
      </c>
      <c r="E43" s="95">
        <v>63100</v>
      </c>
      <c r="F43" s="90">
        <v>0.72044637717908078</v>
      </c>
      <c r="G43" s="91">
        <f>F43</f>
        <v>0.72044637717908078</v>
      </c>
      <c r="H43" s="92">
        <f>F43-G43</f>
        <v>0</v>
      </c>
      <c r="I43" s="18">
        <f>H43*E43</f>
        <v>0</v>
      </c>
      <c r="K43" s="17">
        <v>47430</v>
      </c>
      <c r="L43" s="9"/>
      <c r="Q43" s="217" t="s">
        <v>59</v>
      </c>
      <c r="R43" s="218">
        <f>SUM(R13:R42)</f>
        <v>29845600.776000001</v>
      </c>
      <c r="S43" s="219">
        <f>SUM(S13:S42)</f>
        <v>395736890.74936771</v>
      </c>
      <c r="T43" s="56"/>
      <c r="U43" s="217" t="s">
        <v>59</v>
      </c>
      <c r="V43" s="218">
        <f>SUM(V13:V42)</f>
        <v>8607518.4059999995</v>
      </c>
      <c r="W43" s="220"/>
      <c r="X43" s="220"/>
      <c r="Y43" s="220"/>
      <c r="Z43" s="219">
        <f>SUM(Z13:Z42)</f>
        <v>81683914.449830025</v>
      </c>
      <c r="AA43" s="208"/>
      <c r="AB43" s="217" t="s">
        <v>59</v>
      </c>
      <c r="AC43" s="218">
        <f>SUM(AC13:AC42)</f>
        <v>1783206</v>
      </c>
      <c r="AD43" s="220"/>
      <c r="AE43" s="220"/>
      <c r="AF43" s="220"/>
      <c r="AG43" s="219">
        <f>SUM(AG13:AG42)</f>
        <v>3451761.0034454232</v>
      </c>
      <c r="AH43" s="56"/>
      <c r="AI43" s="227">
        <f>SUM(AI13:AI42)</f>
        <v>480872566.20264316</v>
      </c>
    </row>
    <row r="44" spans="1:45" x14ac:dyDescent="0.2">
      <c r="C44" s="10">
        <f>SUM(C42:C43)</f>
        <v>220.32</v>
      </c>
      <c r="E44" s="96">
        <f>SUM(E42:E43)</f>
        <v>367683.1</v>
      </c>
      <c r="I44" s="4">
        <f>SUM(I42:I43)</f>
        <v>444486.87516932387</v>
      </c>
      <c r="K44" s="4">
        <f>SUM(K42:K43)</f>
        <v>562203.60000000009</v>
      </c>
    </row>
    <row r="45" spans="1:45" x14ac:dyDescent="0.2">
      <c r="E45" s="29"/>
    </row>
    <row r="46" spans="1:45" x14ac:dyDescent="0.2">
      <c r="E46" s="9"/>
    </row>
    <row r="47" spans="1:45" s="26" customFormat="1" ht="17" customHeight="1" x14ac:dyDescent="0.2">
      <c r="A47" s="26" t="s">
        <v>106</v>
      </c>
    </row>
    <row r="48" spans="1:45" s="112" customFormat="1" ht="17" customHeight="1" x14ac:dyDescent="0.2"/>
    <row r="49" spans="1:14" x14ac:dyDescent="0.2">
      <c r="B49" s="120" t="s">
        <v>69</v>
      </c>
      <c r="C49" s="121" t="s">
        <v>62</v>
      </c>
      <c r="D49" s="122" t="s">
        <v>63</v>
      </c>
      <c r="E49" s="10"/>
      <c r="F49" s="120" t="s">
        <v>93</v>
      </c>
      <c r="G49" s="121" t="s">
        <v>62</v>
      </c>
      <c r="H49" s="122" t="s">
        <v>63</v>
      </c>
    </row>
    <row r="50" spans="1:14" x14ac:dyDescent="0.2">
      <c r="B50" s="113" t="s">
        <v>105</v>
      </c>
      <c r="C50" s="32">
        <f>-G59</f>
        <v>12176563.239999998</v>
      </c>
      <c r="D50" s="107">
        <f>C50</f>
        <v>12176563.239999998</v>
      </c>
      <c r="E50" s="32"/>
      <c r="F50" s="113" t="s">
        <v>105</v>
      </c>
      <c r="G50" s="11">
        <v>0</v>
      </c>
      <c r="H50" s="108">
        <v>0</v>
      </c>
    </row>
    <row r="51" spans="1:14" x14ac:dyDescent="0.2">
      <c r="B51" s="113" t="s">
        <v>71</v>
      </c>
      <c r="C51" s="11">
        <v>0</v>
      </c>
      <c r="D51" s="108">
        <v>0</v>
      </c>
      <c r="E51" s="49"/>
      <c r="F51" s="113" t="s">
        <v>71</v>
      </c>
      <c r="G51" s="114">
        <f>-L75</f>
        <v>38883349.87000002</v>
      </c>
      <c r="H51" s="115">
        <f>-L77</f>
        <v>13746266.35924015</v>
      </c>
    </row>
    <row r="52" spans="1:14" x14ac:dyDescent="0.2">
      <c r="B52" s="63" t="str">
        <f>D58</f>
        <v>OpEx Anual</v>
      </c>
      <c r="C52" s="32">
        <f>-D75</f>
        <v>7977606.3024620963</v>
      </c>
      <c r="D52" s="109">
        <f>-D77</f>
        <v>2854924.9595372896</v>
      </c>
      <c r="E52" s="47"/>
      <c r="F52" s="63" t="str">
        <f>B52</f>
        <v>OpEx Anual</v>
      </c>
      <c r="G52" s="11">
        <v>0</v>
      </c>
      <c r="H52" s="108">
        <v>0</v>
      </c>
    </row>
    <row r="53" spans="1:14" x14ac:dyDescent="0.2">
      <c r="B53" s="63" t="str">
        <f>E58</f>
        <v>Seguros anual</v>
      </c>
      <c r="C53" s="32">
        <f>-E75</f>
        <v>2909233.5783503656</v>
      </c>
      <c r="D53" s="109">
        <f>-E77</f>
        <v>1041119.7596192611</v>
      </c>
      <c r="E53" s="47"/>
      <c r="F53" s="63" t="str">
        <f>B53</f>
        <v>Seguros anual</v>
      </c>
      <c r="G53" s="11">
        <v>0</v>
      </c>
      <c r="H53" s="108">
        <v>0</v>
      </c>
    </row>
    <row r="54" spans="1:14" x14ac:dyDescent="0.2">
      <c r="B54" s="116" t="str">
        <f>F58</f>
        <v>Reemplazos</v>
      </c>
      <c r="C54" s="33">
        <f>-F71</f>
        <v>2811392.0000000005</v>
      </c>
      <c r="D54" s="123">
        <f>-F77</f>
        <v>525469.26677759155</v>
      </c>
      <c r="E54" s="48"/>
      <c r="F54" s="116" t="str">
        <f>B54</f>
        <v>Reemplazos</v>
      </c>
      <c r="G54" s="18">
        <v>0</v>
      </c>
      <c r="H54" s="117">
        <v>0</v>
      </c>
    </row>
    <row r="55" spans="1:14" x14ac:dyDescent="0.2">
      <c r="B55" s="118" t="s">
        <v>59</v>
      </c>
      <c r="C55" s="110">
        <f>SUM(C50:C54)</f>
        <v>25874795.120812461</v>
      </c>
      <c r="D55" s="111">
        <f>SUM(D50:D54)</f>
        <v>16598077.225934142</v>
      </c>
      <c r="E55" s="46"/>
      <c r="F55" s="118" t="s">
        <v>59</v>
      </c>
      <c r="G55" s="110">
        <f>SUM(G50:G54)</f>
        <v>38883349.87000002</v>
      </c>
      <c r="H55" s="111">
        <f>SUM(H50:H54)</f>
        <v>13746266.35924015</v>
      </c>
      <c r="I55" s="37">
        <f>(D55-H55)/D55</f>
        <v>0.17181573671907602</v>
      </c>
      <c r="J55" s="36" t="s">
        <v>72</v>
      </c>
    </row>
    <row r="57" spans="1:14" ht="17" thickBot="1" x14ac:dyDescent="0.25">
      <c r="A57" s="251" t="s">
        <v>52</v>
      </c>
      <c r="B57" s="252"/>
      <c r="C57" s="252"/>
      <c r="D57" s="252"/>
      <c r="E57" s="252"/>
      <c r="F57" s="252"/>
      <c r="G57" s="253"/>
      <c r="I57" s="251" t="s">
        <v>94</v>
      </c>
      <c r="J57" s="252"/>
      <c r="K57" s="252"/>
      <c r="L57" s="252"/>
      <c r="M57" s="253"/>
    </row>
    <row r="58" spans="1:14" x14ac:dyDescent="0.2">
      <c r="A58" s="5"/>
      <c r="B58" s="65" t="s">
        <v>53</v>
      </c>
      <c r="C58" s="65" t="s">
        <v>54</v>
      </c>
      <c r="D58" s="65" t="s">
        <v>55</v>
      </c>
      <c r="E58" s="65" t="s">
        <v>32</v>
      </c>
      <c r="F58" s="65" t="s">
        <v>56</v>
      </c>
      <c r="G58" s="66" t="s">
        <v>57</v>
      </c>
      <c r="H58" s="2"/>
      <c r="I58" s="5"/>
      <c r="J58" s="65" t="s">
        <v>53</v>
      </c>
      <c r="K58" s="65" t="s">
        <v>54</v>
      </c>
      <c r="L58" s="65" t="s">
        <v>58</v>
      </c>
      <c r="M58" s="66" t="s">
        <v>57</v>
      </c>
    </row>
    <row r="59" spans="1:14" x14ac:dyDescent="0.2">
      <c r="A59" s="98">
        <v>0</v>
      </c>
      <c r="B59" s="99">
        <f>-F93</f>
        <v>-16699700.199999999</v>
      </c>
      <c r="C59" s="99">
        <f>(F93-F83)*0.3</f>
        <v>4523136.96</v>
      </c>
      <c r="D59" s="99"/>
      <c r="E59" s="99"/>
      <c r="F59" s="99"/>
      <c r="G59" s="100">
        <f>SUM(B59:F59)</f>
        <v>-12176563.239999998</v>
      </c>
      <c r="H59" s="23"/>
      <c r="I59" s="98">
        <v>0</v>
      </c>
      <c r="J59" s="99">
        <f>B13</f>
        <v>-16664292.800000001</v>
      </c>
      <c r="K59" s="99">
        <f>C13</f>
        <v>16664292.800000001</v>
      </c>
      <c r="L59" s="99"/>
      <c r="M59" s="100">
        <f t="shared" ref="M59:M74" si="29">SUM(J59:L59)</f>
        <v>0</v>
      </c>
    </row>
    <row r="60" spans="1:14" x14ac:dyDescent="0.2">
      <c r="A60" s="98">
        <v>1</v>
      </c>
      <c r="B60" s="99"/>
      <c r="C60" s="101"/>
      <c r="D60" s="99">
        <f>-G93</f>
        <v>-413440</v>
      </c>
      <c r="E60" s="99">
        <f>-H93</f>
        <v>-150771.23200000002</v>
      </c>
      <c r="F60" s="99">
        <v>0</v>
      </c>
      <c r="G60" s="100">
        <f t="shared" ref="G60:G74" si="30">SUM(B60:F60)</f>
        <v>-564211.23200000008</v>
      </c>
      <c r="I60" s="98">
        <v>1</v>
      </c>
      <c r="J60" s="99"/>
      <c r="K60" s="99"/>
      <c r="L60" s="99">
        <v>-1941877.2786173385</v>
      </c>
      <c r="M60" s="100">
        <f t="shared" si="29"/>
        <v>-1941877.2786173385</v>
      </c>
      <c r="N60" s="32"/>
    </row>
    <row r="61" spans="1:14" x14ac:dyDescent="0.2">
      <c r="A61" s="98">
        <v>2</v>
      </c>
      <c r="B61" s="99"/>
      <c r="C61" s="99"/>
      <c r="D61" s="99">
        <f t="shared" ref="D61:D74" si="31">D60*(1+$I$111)</f>
        <v>-427910.39999999997</v>
      </c>
      <c r="E61" s="99">
        <f t="shared" ref="E61:E74" si="32">E60*(1+$I$111)</f>
        <v>-156048.22512000002</v>
      </c>
      <c r="F61" s="99">
        <v>0</v>
      </c>
      <c r="G61" s="100">
        <f t="shared" si="30"/>
        <v>-583958.62511999998</v>
      </c>
      <c r="I61" s="98">
        <v>2</v>
      </c>
      <c r="J61" s="99"/>
      <c r="K61" s="99"/>
      <c r="L61" s="99">
        <v>-2019552.3697620321</v>
      </c>
      <c r="M61" s="100">
        <f t="shared" si="29"/>
        <v>-2019552.3697620321</v>
      </c>
      <c r="N61" s="32"/>
    </row>
    <row r="62" spans="1:14" x14ac:dyDescent="0.2">
      <c r="A62" s="98">
        <v>3</v>
      </c>
      <c r="B62" s="99"/>
      <c r="C62" s="99"/>
      <c r="D62" s="99">
        <f t="shared" si="31"/>
        <v>-442887.26399999991</v>
      </c>
      <c r="E62" s="99">
        <f t="shared" si="32"/>
        <v>-161509.91299919999</v>
      </c>
      <c r="F62" s="99">
        <v>0</v>
      </c>
      <c r="G62" s="100">
        <f t="shared" si="30"/>
        <v>-604397.1769991999</v>
      </c>
      <c r="I62" s="98">
        <v>3</v>
      </c>
      <c r="J62" s="99"/>
      <c r="K62" s="99"/>
      <c r="L62" s="99">
        <v>-2100334.4645525133</v>
      </c>
      <c r="M62" s="100">
        <f t="shared" si="29"/>
        <v>-2100334.4645525133</v>
      </c>
      <c r="N62" s="32"/>
    </row>
    <row r="63" spans="1:14" x14ac:dyDescent="0.2">
      <c r="A63" s="98">
        <v>4</v>
      </c>
      <c r="B63" s="99"/>
      <c r="C63" s="99"/>
      <c r="D63" s="99">
        <f t="shared" si="31"/>
        <v>-458388.31823999988</v>
      </c>
      <c r="E63" s="99">
        <f t="shared" si="32"/>
        <v>-167162.75995417198</v>
      </c>
      <c r="F63" s="99">
        <v>0</v>
      </c>
      <c r="G63" s="100">
        <f t="shared" si="30"/>
        <v>-625551.07819417189</v>
      </c>
      <c r="I63" s="98">
        <v>4</v>
      </c>
      <c r="J63" s="99"/>
      <c r="K63" s="99"/>
      <c r="L63" s="99">
        <v>-2184347.8431346137</v>
      </c>
      <c r="M63" s="100">
        <f t="shared" si="29"/>
        <v>-2184347.8431346137</v>
      </c>
      <c r="N63" s="32"/>
    </row>
    <row r="64" spans="1:14" x14ac:dyDescent="0.2">
      <c r="A64" s="98">
        <v>5</v>
      </c>
      <c r="B64" s="99"/>
      <c r="C64" s="99"/>
      <c r="D64" s="99">
        <f t="shared" si="31"/>
        <v>-474431.90937839984</v>
      </c>
      <c r="E64" s="99">
        <f t="shared" si="32"/>
        <v>-173013.45655256798</v>
      </c>
      <c r="F64" s="99">
        <v>0</v>
      </c>
      <c r="G64" s="100">
        <f t="shared" si="30"/>
        <v>-647445.36593096785</v>
      </c>
      <c r="I64" s="98">
        <v>5</v>
      </c>
      <c r="J64" s="99"/>
      <c r="K64" s="99"/>
      <c r="L64" s="99">
        <v>-2271721.7568599982</v>
      </c>
      <c r="M64" s="100">
        <f t="shared" si="29"/>
        <v>-2271721.7568599982</v>
      </c>
      <c r="N64" s="32"/>
    </row>
    <row r="65" spans="1:15" x14ac:dyDescent="0.2">
      <c r="A65" s="98">
        <v>6</v>
      </c>
      <c r="B65" s="99"/>
      <c r="C65" s="99"/>
      <c r="D65" s="99">
        <f t="shared" si="31"/>
        <v>-491037.02620664379</v>
      </c>
      <c r="E65" s="99">
        <f t="shared" si="32"/>
        <v>-179068.92753190786</v>
      </c>
      <c r="F65" s="99">
        <v>0</v>
      </c>
      <c r="G65" s="100">
        <f t="shared" si="30"/>
        <v>-670105.95373855159</v>
      </c>
      <c r="I65" s="98">
        <v>6</v>
      </c>
      <c r="J65" s="99"/>
      <c r="K65" s="99"/>
      <c r="L65" s="99">
        <v>-2362590.6271343981</v>
      </c>
      <c r="M65" s="100">
        <f t="shared" si="29"/>
        <v>-2362590.6271343981</v>
      </c>
      <c r="N65" s="32"/>
    </row>
    <row r="66" spans="1:15" x14ac:dyDescent="0.2">
      <c r="A66" s="98">
        <v>7</v>
      </c>
      <c r="B66" s="99"/>
      <c r="C66" s="99"/>
      <c r="D66" s="99">
        <f t="shared" si="31"/>
        <v>-508223.32212387631</v>
      </c>
      <c r="E66" s="99">
        <f t="shared" si="32"/>
        <v>-185336.33999552461</v>
      </c>
      <c r="F66" s="99">
        <v>0</v>
      </c>
      <c r="G66" s="100">
        <f t="shared" si="30"/>
        <v>-693559.66211940092</v>
      </c>
      <c r="I66" s="98">
        <v>7</v>
      </c>
      <c r="J66" s="99"/>
      <c r="K66" s="99"/>
      <c r="L66" s="99">
        <v>-2457094.2522197743</v>
      </c>
      <c r="M66" s="100">
        <f t="shared" si="29"/>
        <v>-2457094.2522197743</v>
      </c>
      <c r="N66" s="32"/>
    </row>
    <row r="67" spans="1:15" x14ac:dyDescent="0.2">
      <c r="A67" s="98">
        <v>8</v>
      </c>
      <c r="B67" s="99"/>
      <c r="C67" s="99"/>
      <c r="D67" s="99">
        <f t="shared" si="31"/>
        <v>-526011.13839821192</v>
      </c>
      <c r="E67" s="99">
        <f t="shared" si="32"/>
        <v>-191823.11189536797</v>
      </c>
      <c r="F67" s="99">
        <v>0</v>
      </c>
      <c r="G67" s="100">
        <f t="shared" si="30"/>
        <v>-717834.25029357988</v>
      </c>
      <c r="I67" s="98">
        <v>8</v>
      </c>
      <c r="J67" s="99"/>
      <c r="K67" s="99"/>
      <c r="L67" s="99">
        <v>-2555378.0223085652</v>
      </c>
      <c r="M67" s="100">
        <f t="shared" si="29"/>
        <v>-2555378.0223085652</v>
      </c>
      <c r="N67" s="32"/>
    </row>
    <row r="68" spans="1:15" x14ac:dyDescent="0.2">
      <c r="A68" s="98">
        <v>9</v>
      </c>
      <c r="B68" s="99"/>
      <c r="C68" s="99"/>
      <c r="D68" s="99">
        <f t="shared" si="31"/>
        <v>-544421.52824214927</v>
      </c>
      <c r="E68" s="99">
        <f t="shared" si="32"/>
        <v>-198536.92081170584</v>
      </c>
      <c r="F68" s="99">
        <v>0</v>
      </c>
      <c r="G68" s="100">
        <f t="shared" si="30"/>
        <v>-742958.44905385515</v>
      </c>
      <c r="I68" s="98">
        <v>9</v>
      </c>
      <c r="J68" s="99"/>
      <c r="K68" s="99"/>
      <c r="L68" s="99">
        <v>-2657593.1432009079</v>
      </c>
      <c r="M68" s="100">
        <f t="shared" si="29"/>
        <v>-2657593.1432009079</v>
      </c>
      <c r="N68" s="32"/>
    </row>
    <row r="69" spans="1:15" x14ac:dyDescent="0.2">
      <c r="A69" s="98">
        <v>10</v>
      </c>
      <c r="B69" s="99"/>
      <c r="C69" s="99"/>
      <c r="D69" s="99">
        <f t="shared" si="31"/>
        <v>-563476.2817306245</v>
      </c>
      <c r="E69" s="99">
        <f t="shared" si="32"/>
        <v>-205485.71304011554</v>
      </c>
      <c r="F69" s="99">
        <v>0</v>
      </c>
      <c r="G69" s="100">
        <f t="shared" si="30"/>
        <v>-768961.99477074004</v>
      </c>
      <c r="I69" s="98">
        <v>10</v>
      </c>
      <c r="J69" s="99"/>
      <c r="K69" s="99"/>
      <c r="L69" s="99">
        <v>-2763896.8689289442</v>
      </c>
      <c r="M69" s="100">
        <f t="shared" si="29"/>
        <v>-2763896.8689289442</v>
      </c>
      <c r="N69" s="32"/>
    </row>
    <row r="70" spans="1:15" x14ac:dyDescent="0.2">
      <c r="A70" s="98">
        <v>11</v>
      </c>
      <c r="B70" s="99"/>
      <c r="C70" s="99"/>
      <c r="D70" s="99">
        <f t="shared" si="31"/>
        <v>-583197.95159119635</v>
      </c>
      <c r="E70" s="99">
        <f t="shared" si="32"/>
        <v>-212677.71299651958</v>
      </c>
      <c r="F70" s="99">
        <v>0</v>
      </c>
      <c r="G70" s="100">
        <f t="shared" si="30"/>
        <v>-795875.66458771587</v>
      </c>
      <c r="I70" s="98">
        <v>11</v>
      </c>
      <c r="J70" s="99"/>
      <c r="K70" s="99"/>
      <c r="L70" s="99">
        <v>-2874452.7436861019</v>
      </c>
      <c r="M70" s="100">
        <f t="shared" si="29"/>
        <v>-2874452.7436861019</v>
      </c>
      <c r="N70" s="32"/>
    </row>
    <row r="71" spans="1:15" x14ac:dyDescent="0.2">
      <c r="A71" s="98">
        <v>12</v>
      </c>
      <c r="B71" s="99"/>
      <c r="C71" s="99"/>
      <c r="D71" s="99">
        <f t="shared" si="31"/>
        <v>-603609.87989688816</v>
      </c>
      <c r="E71" s="99">
        <f t="shared" si="32"/>
        <v>-220121.43295139776</v>
      </c>
      <c r="F71" s="99">
        <f>-I93</f>
        <v>-2811392.0000000005</v>
      </c>
      <c r="G71" s="100">
        <f t="shared" si="30"/>
        <v>-3635123.3128482862</v>
      </c>
      <c r="I71" s="98">
        <v>12</v>
      </c>
      <c r="J71" s="99"/>
      <c r="K71" s="99"/>
      <c r="L71" s="99">
        <v>-2989430.8534335461</v>
      </c>
      <c r="M71" s="100">
        <f t="shared" si="29"/>
        <v>-2989430.8534335461</v>
      </c>
      <c r="N71" s="32"/>
    </row>
    <row r="72" spans="1:15" x14ac:dyDescent="0.2">
      <c r="A72" s="98">
        <v>13</v>
      </c>
      <c r="B72" s="99"/>
      <c r="C72" s="99"/>
      <c r="D72" s="99">
        <f t="shared" si="31"/>
        <v>-624736.22569327918</v>
      </c>
      <c r="E72" s="99">
        <f t="shared" si="32"/>
        <v>-227825.68310469665</v>
      </c>
      <c r="F72" s="99">
        <v>0</v>
      </c>
      <c r="G72" s="100">
        <f t="shared" si="30"/>
        <v>-852561.90879797586</v>
      </c>
      <c r="I72" s="98">
        <v>13</v>
      </c>
      <c r="J72" s="99"/>
      <c r="K72" s="99"/>
      <c r="L72" s="99">
        <v>-3109008.087570888</v>
      </c>
      <c r="M72" s="100">
        <f t="shared" si="29"/>
        <v>-3109008.087570888</v>
      </c>
      <c r="N72" s="32"/>
    </row>
    <row r="73" spans="1:15" x14ac:dyDescent="0.2">
      <c r="A73" s="98">
        <v>14</v>
      </c>
      <c r="B73" s="99"/>
      <c r="C73" s="99"/>
      <c r="D73" s="99">
        <f t="shared" si="31"/>
        <v>-646601.99359254388</v>
      </c>
      <c r="E73" s="99">
        <f t="shared" si="32"/>
        <v>-235799.58201336101</v>
      </c>
      <c r="F73" s="99">
        <v>0</v>
      </c>
      <c r="G73" s="100">
        <f t="shared" si="30"/>
        <v>-882401.57560590492</v>
      </c>
      <c r="I73" s="98">
        <v>14</v>
      </c>
      <c r="J73" s="99"/>
      <c r="K73" s="99"/>
      <c r="L73" s="99">
        <v>-3233368.4110737238</v>
      </c>
      <c r="M73" s="100">
        <f t="shared" si="29"/>
        <v>-3233368.4110737238</v>
      </c>
      <c r="N73" s="32"/>
    </row>
    <row r="74" spans="1:15" x14ac:dyDescent="0.2">
      <c r="A74" s="102">
        <v>15</v>
      </c>
      <c r="B74" s="31"/>
      <c r="C74" s="31"/>
      <c r="D74" s="31">
        <f t="shared" si="31"/>
        <v>-669233.06336828286</v>
      </c>
      <c r="E74" s="31">
        <f t="shared" si="32"/>
        <v>-244052.56738382863</v>
      </c>
      <c r="F74" s="31">
        <v>0</v>
      </c>
      <c r="G74" s="103">
        <f t="shared" si="30"/>
        <v>-913285.63075211155</v>
      </c>
      <c r="I74" s="102">
        <v>15</v>
      </c>
      <c r="J74" s="31"/>
      <c r="K74" s="31"/>
      <c r="L74" s="31">
        <v>-3362703.147516673</v>
      </c>
      <c r="M74" s="103">
        <f t="shared" si="29"/>
        <v>-3362703.147516673</v>
      </c>
      <c r="N74" s="32"/>
    </row>
    <row r="75" spans="1:15" ht="17" thickBot="1" x14ac:dyDescent="0.25">
      <c r="A75" s="104" t="s">
        <v>59</v>
      </c>
      <c r="B75" s="105">
        <f>SUM(B59:B74)</f>
        <v>-16699700.199999999</v>
      </c>
      <c r="C75" s="105">
        <f t="shared" ref="C75:G75" si="33">SUM(C59:C74)</f>
        <v>4523136.96</v>
      </c>
      <c r="D75" s="105">
        <f t="shared" si="33"/>
        <v>-7977606.3024620963</v>
      </c>
      <c r="E75" s="105">
        <f t="shared" si="33"/>
        <v>-2909233.5783503656</v>
      </c>
      <c r="F75" s="105">
        <f t="shared" si="33"/>
        <v>-2811392.0000000005</v>
      </c>
      <c r="G75" s="106">
        <f t="shared" si="33"/>
        <v>-25874795.120812461</v>
      </c>
      <c r="I75" s="104" t="s">
        <v>59</v>
      </c>
      <c r="J75" s="105">
        <f>SUM(J59:J74)</f>
        <v>-16664292.800000001</v>
      </c>
      <c r="K75" s="105">
        <f t="shared" ref="K75:M75" si="34">SUM(K59:K74)</f>
        <v>16664292.800000001</v>
      </c>
      <c r="L75" s="105">
        <f t="shared" si="34"/>
        <v>-38883349.87000002</v>
      </c>
      <c r="M75" s="106">
        <f t="shared" si="34"/>
        <v>-38883349.87000002</v>
      </c>
      <c r="N75" s="32"/>
      <c r="O75" s="34"/>
    </row>
    <row r="77" spans="1:15" s="119" customFormat="1" ht="22" x14ac:dyDescent="0.3">
      <c r="A77" s="184" t="s">
        <v>63</v>
      </c>
      <c r="B77" s="21">
        <f>NPV($J$111,B60:B74)+B59</f>
        <v>-16699700.199999999</v>
      </c>
      <c r="C77" s="21">
        <f>NPV($J$111,C60:C74)+C59</f>
        <v>4523136.96</v>
      </c>
      <c r="D77" s="21">
        <f>NPV($J$111,D60:D74)</f>
        <v>-2854924.9595372896</v>
      </c>
      <c r="E77" s="21">
        <f>NPV($J$111,E60:E74)+E59</f>
        <v>-1041119.7596192611</v>
      </c>
      <c r="F77" s="21">
        <f>NPV($J$111,F60:F74)+F59</f>
        <v>-525469.26677759155</v>
      </c>
      <c r="G77" s="21">
        <f>NPV($J$111,G60:G74)+G59</f>
        <v>-16598077.22593414</v>
      </c>
      <c r="H77"/>
      <c r="I77" s="184" t="s">
        <v>63</v>
      </c>
      <c r="J77" s="21">
        <f>NPV($J$111,J60:J74)+J59</f>
        <v>-16664292.800000001</v>
      </c>
      <c r="K77" s="21">
        <f>NPV($J$111,K60:K74)+K59</f>
        <v>16664292.800000001</v>
      </c>
      <c r="L77" s="21">
        <f>NPV($J$111,L60:L74)+L59</f>
        <v>-13746266.35924015</v>
      </c>
      <c r="M77" s="21">
        <f>NPV($J$111,M60:M74)+M59</f>
        <v>-13746266.35924015</v>
      </c>
    </row>
    <row r="78" spans="1:15" x14ac:dyDescent="0.2">
      <c r="D78" s="23"/>
      <c r="E78" s="23"/>
      <c r="F78" s="23"/>
    </row>
    <row r="79" spans="1:15" x14ac:dyDescent="0.2">
      <c r="C79" s="28"/>
    </row>
    <row r="80" spans="1:15" ht="17" thickBot="1" x14ac:dyDescent="0.25">
      <c r="A80" s="244" t="s">
        <v>98</v>
      </c>
      <c r="B80" s="245"/>
      <c r="C80" s="245"/>
      <c r="D80" s="245"/>
      <c r="E80" s="245"/>
      <c r="F80" s="245"/>
      <c r="G80" s="245"/>
      <c r="H80" s="245"/>
      <c r="I80" s="246"/>
      <c r="K80" s="238" t="s">
        <v>103</v>
      </c>
      <c r="L80" s="239"/>
      <c r="M80" s="239"/>
      <c r="N80" s="240"/>
    </row>
    <row r="81" spans="1:14" s="78" customFormat="1" ht="34" x14ac:dyDescent="0.2">
      <c r="A81" s="180"/>
      <c r="B81" s="181" t="s">
        <v>27</v>
      </c>
      <c r="C81" s="181" t="s">
        <v>28</v>
      </c>
      <c r="D81" s="181" t="s">
        <v>21</v>
      </c>
      <c r="E81" s="181" t="s">
        <v>29</v>
      </c>
      <c r="F81" s="181" t="s">
        <v>30</v>
      </c>
      <c r="G81" s="181" t="s">
        <v>31</v>
      </c>
      <c r="H81" s="181" t="s">
        <v>32</v>
      </c>
      <c r="I81" s="182" t="s">
        <v>33</v>
      </c>
      <c r="J81" s="79"/>
      <c r="K81" s="175"/>
      <c r="L81" s="173" t="s">
        <v>100</v>
      </c>
      <c r="M81" s="173" t="s">
        <v>101</v>
      </c>
      <c r="N81" s="174" t="s">
        <v>102</v>
      </c>
    </row>
    <row r="82" spans="1:14" x14ac:dyDescent="0.2">
      <c r="A82" s="128" t="s">
        <v>34</v>
      </c>
      <c r="B82" t="s">
        <v>35</v>
      </c>
      <c r="C82" s="29" t="s">
        <v>36</v>
      </c>
      <c r="D82" s="29" t="s">
        <v>40</v>
      </c>
      <c r="E82" s="138">
        <f>C38</f>
        <v>650.08000000000004</v>
      </c>
      <c r="F82" s="99">
        <f>L82*E82*1000*$K$111</f>
        <v>10869337.6</v>
      </c>
      <c r="G82" s="99">
        <f>M82*1000*$K$111*E82</f>
        <v>308788</v>
      </c>
      <c r="H82" s="99">
        <f>N82*F82</f>
        <v>108693.376</v>
      </c>
      <c r="I82" s="129">
        <f>0.17*$K$111*1000*E82</f>
        <v>2099758.4000000004</v>
      </c>
      <c r="K82" s="6" t="s">
        <v>99</v>
      </c>
      <c r="L82" s="49">
        <v>0.88</v>
      </c>
      <c r="M82" s="49">
        <v>2.5000000000000001E-2</v>
      </c>
      <c r="N82" s="142">
        <v>0.01</v>
      </c>
    </row>
    <row r="83" spans="1:14" x14ac:dyDescent="0.2">
      <c r="A83" s="128" t="s">
        <v>38</v>
      </c>
      <c r="B83" t="s">
        <v>39</v>
      </c>
      <c r="C83" s="29" t="s">
        <v>36</v>
      </c>
      <c r="D83" s="29" t="s">
        <v>40</v>
      </c>
      <c r="E83" s="138"/>
      <c r="F83" s="99">
        <f>SUM(C84:C90)</f>
        <v>1622577</v>
      </c>
      <c r="G83" s="99"/>
      <c r="H83" s="99"/>
      <c r="I83" s="129"/>
      <c r="K83" s="6"/>
      <c r="N83" s="142"/>
    </row>
    <row r="84" spans="1:14" s="136" customFormat="1" ht="15" x14ac:dyDescent="0.2">
      <c r="A84" s="130"/>
      <c r="B84" s="38" t="s">
        <v>41</v>
      </c>
      <c r="C84" s="39">
        <v>124399</v>
      </c>
      <c r="D84" s="131"/>
      <c r="E84" s="139"/>
      <c r="F84" s="132"/>
      <c r="G84" s="132"/>
      <c r="H84" s="132"/>
      <c r="I84" s="133"/>
      <c r="K84" s="143"/>
      <c r="L84" s="144"/>
      <c r="M84" s="144"/>
      <c r="N84" s="145"/>
    </row>
    <row r="85" spans="1:14" s="136" customFormat="1" ht="15" x14ac:dyDescent="0.2">
      <c r="A85" s="130"/>
      <c r="B85" s="38" t="s">
        <v>42</v>
      </c>
      <c r="C85" s="39">
        <v>302396.34741003287</v>
      </c>
      <c r="D85" s="131"/>
      <c r="E85" s="139"/>
      <c r="F85" s="132"/>
      <c r="G85" s="132"/>
      <c r="H85" s="132"/>
      <c r="I85" s="133"/>
      <c r="K85" s="143"/>
      <c r="L85" s="144"/>
      <c r="M85" s="144"/>
      <c r="N85" s="145"/>
    </row>
    <row r="86" spans="1:14" s="136" customFormat="1" ht="15" x14ac:dyDescent="0.2">
      <c r="A86" s="130"/>
      <c r="B86" s="38" t="s">
        <v>43</v>
      </c>
      <c r="C86" s="39">
        <v>44239.236593182621</v>
      </c>
      <c r="D86" s="131"/>
      <c r="E86" s="139"/>
      <c r="F86" s="132"/>
      <c r="G86" s="132"/>
      <c r="H86" s="132"/>
      <c r="I86" s="133"/>
      <c r="K86" s="143"/>
      <c r="L86" s="144"/>
      <c r="M86" s="144"/>
      <c r="N86" s="145"/>
    </row>
    <row r="87" spans="1:14" s="136" customFormat="1" ht="15" x14ac:dyDescent="0.2">
      <c r="A87" s="130"/>
      <c r="B87" s="38" t="s">
        <v>44</v>
      </c>
      <c r="C87" s="39">
        <v>252441.8121250504</v>
      </c>
      <c r="D87" s="131"/>
      <c r="E87" s="139"/>
      <c r="F87" s="132"/>
      <c r="G87" s="132"/>
      <c r="H87" s="132"/>
      <c r="I87" s="133"/>
      <c r="K87" s="143"/>
      <c r="L87" s="144"/>
      <c r="M87" s="144"/>
      <c r="N87" s="145"/>
    </row>
    <row r="88" spans="1:14" s="136" customFormat="1" ht="15" x14ac:dyDescent="0.2">
      <c r="A88" s="130"/>
      <c r="B88" s="38" t="s">
        <v>45</v>
      </c>
      <c r="C88" s="39">
        <v>40408.17503558367</v>
      </c>
      <c r="D88" s="131"/>
      <c r="E88" s="139"/>
      <c r="F88" s="132"/>
      <c r="G88" s="132"/>
      <c r="H88" s="132"/>
      <c r="I88" s="133"/>
      <c r="K88" s="143"/>
      <c r="L88" s="144"/>
      <c r="M88" s="144"/>
      <c r="N88" s="145"/>
    </row>
    <row r="89" spans="1:14" s="136" customFormat="1" ht="15" x14ac:dyDescent="0.2">
      <c r="A89" s="130"/>
      <c r="B89" s="38" t="s">
        <v>46</v>
      </c>
      <c r="C89" s="39">
        <v>206692.42883615039</v>
      </c>
      <c r="D89" s="131"/>
      <c r="E89" s="139"/>
      <c r="F89" s="132"/>
      <c r="G89" s="132"/>
      <c r="H89" s="132"/>
      <c r="I89" s="133"/>
      <c r="K89" s="143"/>
      <c r="L89" s="144"/>
      <c r="M89" s="144"/>
      <c r="N89" s="145"/>
    </row>
    <row r="90" spans="1:14" s="136" customFormat="1" ht="15" x14ac:dyDescent="0.2">
      <c r="A90" s="130"/>
      <c r="B90" s="38" t="s">
        <v>47</v>
      </c>
      <c r="C90" s="39">
        <v>652000</v>
      </c>
      <c r="D90" s="131"/>
      <c r="E90" s="139"/>
      <c r="F90" s="132"/>
      <c r="G90" s="132"/>
      <c r="H90" s="132"/>
      <c r="I90" s="133"/>
      <c r="K90" s="143"/>
      <c r="L90" s="144"/>
      <c r="M90" s="144"/>
      <c r="N90" s="145"/>
    </row>
    <row r="91" spans="1:14" x14ac:dyDescent="0.2">
      <c r="A91" s="128" t="s">
        <v>48</v>
      </c>
      <c r="B91" t="s">
        <v>49</v>
      </c>
      <c r="C91" s="29" t="s">
        <v>50</v>
      </c>
      <c r="D91" s="29" t="s">
        <v>120</v>
      </c>
      <c r="E91" s="138">
        <f>C42</f>
        <v>179.52</v>
      </c>
      <c r="F91" s="99">
        <f>L91*E91*1000*$K$111</f>
        <v>3479097.6000000006</v>
      </c>
      <c r="G91" s="99">
        <f>M91*1000*$K$111*E91</f>
        <v>85272</v>
      </c>
      <c r="H91" s="99">
        <f>N91*F91</f>
        <v>34790.97600000001</v>
      </c>
      <c r="I91" s="129">
        <f>0.17*$K$111*1000*E91</f>
        <v>579849.60000000009</v>
      </c>
      <c r="K91" s="6"/>
      <c r="L91" s="49">
        <v>1.02</v>
      </c>
      <c r="M91" s="49">
        <v>2.5000000000000001E-2</v>
      </c>
      <c r="N91" s="142">
        <v>0.01</v>
      </c>
    </row>
    <row r="92" spans="1:14" ht="17" thickBot="1" x14ac:dyDescent="0.25">
      <c r="A92" s="128" t="s">
        <v>74</v>
      </c>
      <c r="B92" s="16" t="s">
        <v>49</v>
      </c>
      <c r="C92" s="30" t="s">
        <v>51</v>
      </c>
      <c r="D92" s="30" t="s">
        <v>116</v>
      </c>
      <c r="E92" s="140">
        <f>C43</f>
        <v>40.799999999999997</v>
      </c>
      <c r="F92" s="31">
        <f>L92*E92*1000*$K$111</f>
        <v>728688</v>
      </c>
      <c r="G92" s="31">
        <f>M92*1000*$K$111*E92</f>
        <v>19380</v>
      </c>
      <c r="H92" s="31">
        <f>N92*F92</f>
        <v>7286.88</v>
      </c>
      <c r="I92" s="134">
        <f>0.17*$K$111*1000*E92</f>
        <v>131784</v>
      </c>
      <c r="K92" s="19"/>
      <c r="L92" s="146">
        <v>0.94</v>
      </c>
      <c r="M92" s="146">
        <v>2.5000000000000001E-2</v>
      </c>
      <c r="N92" s="147">
        <v>0.01</v>
      </c>
    </row>
    <row r="93" spans="1:14" ht="17" thickBot="1" x14ac:dyDescent="0.25">
      <c r="A93" s="19"/>
      <c r="B93" s="137" t="s">
        <v>59</v>
      </c>
      <c r="C93" s="135"/>
      <c r="D93" s="135"/>
      <c r="E93" s="141">
        <f>SUM(E82:E92)</f>
        <v>870.4</v>
      </c>
      <c r="F93" s="105">
        <f>SUM(F82:F92)</f>
        <v>16699700.199999999</v>
      </c>
      <c r="G93" s="105">
        <f>SUM(G82:G92)</f>
        <v>413440</v>
      </c>
      <c r="H93" s="105">
        <f>SUM(H82:H92)</f>
        <v>150771.23200000002</v>
      </c>
      <c r="I93" s="106">
        <f>SUM(I82:I92)</f>
        <v>2811392.0000000005</v>
      </c>
    </row>
    <row r="94" spans="1:14" x14ac:dyDescent="0.2">
      <c r="A94" s="28"/>
      <c r="B94" s="9"/>
      <c r="C94" s="1"/>
      <c r="E94" s="29"/>
      <c r="F94" s="29"/>
    </row>
    <row r="95" spans="1:14" x14ac:dyDescent="0.2">
      <c r="F95" s="32"/>
    </row>
    <row r="96" spans="1:14" s="26" customFormat="1" x14ac:dyDescent="0.2">
      <c r="A96" s="26" t="s">
        <v>73</v>
      </c>
    </row>
    <row r="99" spans="1:44" ht="17" thickBot="1" x14ac:dyDescent="0.25">
      <c r="B99" s="241" t="s">
        <v>61</v>
      </c>
      <c r="C99" s="242"/>
      <c r="D99" s="243"/>
      <c r="F99" s="241" t="s">
        <v>64</v>
      </c>
      <c r="G99" s="242"/>
      <c r="H99" s="243"/>
    </row>
    <row r="100" spans="1:44" x14ac:dyDescent="0.2">
      <c r="B100" s="176" t="s">
        <v>61</v>
      </c>
      <c r="C100" s="177" t="s">
        <v>62</v>
      </c>
      <c r="D100" s="178" t="s">
        <v>63</v>
      </c>
      <c r="E100" s="10"/>
      <c r="F100" s="179" t="s">
        <v>64</v>
      </c>
      <c r="G100" s="177" t="s">
        <v>62</v>
      </c>
      <c r="H100" s="178" t="s">
        <v>63</v>
      </c>
      <c r="K100" s="35"/>
    </row>
    <row r="101" spans="1:44" x14ac:dyDescent="0.2">
      <c r="B101" s="6" t="s">
        <v>65</v>
      </c>
      <c r="C101" s="13">
        <f>D29</f>
        <v>99961897.144534126</v>
      </c>
      <c r="D101" s="161">
        <f>D31</f>
        <v>32474101.289506823</v>
      </c>
      <c r="E101" s="47"/>
      <c r="F101" s="172" t="s">
        <v>7</v>
      </c>
      <c r="G101" s="32">
        <f>-L75</f>
        <v>38883349.87000002</v>
      </c>
      <c r="H101" s="221">
        <f>-L77</f>
        <v>13746266.35924015</v>
      </c>
    </row>
    <row r="102" spans="1:44" x14ac:dyDescent="0.2">
      <c r="B102" s="6" t="s">
        <v>6</v>
      </c>
      <c r="C102" s="13">
        <f>E29</f>
        <v>10456376.343188325</v>
      </c>
      <c r="D102" s="161">
        <f>E31</f>
        <v>3788007.9030260989</v>
      </c>
      <c r="E102" s="47"/>
      <c r="F102" s="167" t="s">
        <v>66</v>
      </c>
      <c r="G102" s="32">
        <f>SUM(D75:F75)</f>
        <v>-13698231.880812462</v>
      </c>
      <c r="H102" s="168">
        <f>SUM(D77:F77)</f>
        <v>-4421513.985934142</v>
      </c>
    </row>
    <row r="103" spans="1:44" x14ac:dyDescent="0.2">
      <c r="B103" s="15" t="s">
        <v>67</v>
      </c>
      <c r="C103" s="69">
        <f>J29+K29</f>
        <v>14522453.396969141</v>
      </c>
      <c r="D103" s="162">
        <f>J31+K31</f>
        <v>4451054.7750169681</v>
      </c>
      <c r="E103" s="47"/>
      <c r="F103" s="15"/>
      <c r="G103" s="16"/>
      <c r="H103" s="169"/>
    </row>
    <row r="104" spans="1:44" x14ac:dyDescent="0.2">
      <c r="B104" s="98" t="s">
        <v>59</v>
      </c>
      <c r="C104" s="222">
        <f>SUM(C101:C103)</f>
        <v>124940726.8846916</v>
      </c>
      <c r="D104" s="163">
        <f>SUM(D101:D103)</f>
        <v>40713163.96754989</v>
      </c>
      <c r="E104" s="48"/>
      <c r="F104" s="128" t="s">
        <v>59</v>
      </c>
      <c r="G104" s="46">
        <f>SUM(G101:G103)</f>
        <v>25185117.989187557</v>
      </c>
      <c r="H104" s="67">
        <f>SUM(H101:H103)</f>
        <v>9324752.3733060081</v>
      </c>
    </row>
    <row r="105" spans="1:44" ht="17" thickBot="1" x14ac:dyDescent="0.25">
      <c r="B105" s="164" t="s">
        <v>68</v>
      </c>
      <c r="C105" s="165">
        <f>1-G105</f>
        <v>0.83223995834730791</v>
      </c>
      <c r="D105" s="166">
        <f>1-H105</f>
        <v>0.81364626956513852</v>
      </c>
      <c r="E105" s="44"/>
      <c r="F105" s="164" t="s">
        <v>68</v>
      </c>
      <c r="G105" s="170">
        <f>G104/(G104+C104)</f>
        <v>0.16776004165269207</v>
      </c>
      <c r="H105" s="171">
        <f>H104/(H104+D104)</f>
        <v>0.18635373043486145</v>
      </c>
      <c r="I105" s="36" t="s">
        <v>107</v>
      </c>
      <c r="J105" s="36"/>
      <c r="K105" s="36"/>
    </row>
    <row r="106" spans="1:44" x14ac:dyDescent="0.2">
      <c r="B106" s="2"/>
      <c r="C106" s="44"/>
      <c r="D106" s="223" t="str">
        <f>"+" &amp; ROUNDDOWN(L7/1000000,0) &amp; " MDP de ahorros después del fin del plazo del contrato"</f>
        <v>+448 MDP de ahorros después del fin del plazo del contrato</v>
      </c>
      <c r="E106" s="44"/>
      <c r="F106" s="2"/>
      <c r="G106" s="50"/>
      <c r="H106" s="50"/>
    </row>
    <row r="108" spans="1:44" s="26" customFormat="1" x14ac:dyDescent="0.2">
      <c r="A108" s="26" t="s">
        <v>108</v>
      </c>
    </row>
    <row r="109" spans="1:44" x14ac:dyDescent="0.2">
      <c r="B109" s="2"/>
      <c r="C109" s="44"/>
      <c r="D109" s="44"/>
      <c r="E109" s="44"/>
      <c r="F109" s="2"/>
      <c r="G109" s="50"/>
      <c r="H109" s="50"/>
    </row>
    <row r="110" spans="1:44" s="157" customFormat="1" ht="34" x14ac:dyDescent="0.2">
      <c r="C110" s="158"/>
      <c r="D110" s="158"/>
      <c r="E110" s="124" t="s">
        <v>95</v>
      </c>
      <c r="F110" s="126" t="s">
        <v>96</v>
      </c>
      <c r="G110" s="125" t="s">
        <v>97</v>
      </c>
      <c r="H110" s="125" t="s">
        <v>113</v>
      </c>
      <c r="I110" s="159" t="s">
        <v>37</v>
      </c>
      <c r="J110" s="159" t="s">
        <v>60</v>
      </c>
      <c r="K110" s="160" t="s">
        <v>104</v>
      </c>
    </row>
    <row r="111" spans="1:44" s="148" customFormat="1" x14ac:dyDescent="0.2">
      <c r="E111" s="154">
        <v>7.4999999999999997E-2</v>
      </c>
      <c r="F111" s="155">
        <v>0.03</v>
      </c>
      <c r="G111" s="155">
        <v>0.04</v>
      </c>
      <c r="H111" s="154">
        <v>3.9899999999999998E-2</v>
      </c>
      <c r="I111" s="154">
        <v>3.5000000000000003E-2</v>
      </c>
      <c r="J111" s="155">
        <v>0.15</v>
      </c>
      <c r="K111" s="156">
        <v>19</v>
      </c>
      <c r="Q111" s="148" t="s">
        <v>20</v>
      </c>
      <c r="V111" s="149">
        <f>V32-0.4%</f>
        <v>281434.78039999993</v>
      </c>
      <c r="W111" s="150">
        <f>$V$13*V111</f>
        <v>85720277862.051208</v>
      </c>
      <c r="X111" s="151">
        <f>X32*(1+$Y$9)</f>
        <v>0</v>
      </c>
      <c r="Y111" s="151"/>
      <c r="Z111" s="151">
        <f>X111-Y111</f>
        <v>0</v>
      </c>
      <c r="AA111" s="151"/>
      <c r="AB111" s="152">
        <f>Z111*W111</f>
        <v>0</v>
      </c>
      <c r="AC111" s="149">
        <f>AC32-0.4%</f>
        <v>58304.395999999993</v>
      </c>
      <c r="AD111" s="150">
        <f>$AC$13*AC111</f>
        <v>3679007387.5999994</v>
      </c>
      <c r="AE111" s="151">
        <f>AE32*(1+$Y$9)</f>
        <v>0</v>
      </c>
      <c r="AF111" s="151"/>
      <c r="AG111" s="151">
        <f>AE111-AF111</f>
        <v>0</v>
      </c>
      <c r="AH111" s="152">
        <f>AG111*AD111</f>
        <v>0</v>
      </c>
      <c r="AI111" s="151">
        <f>AG111-AH111</f>
        <v>0</v>
      </c>
      <c r="AM111" s="151">
        <f>SUM(S28:S42)</f>
        <v>295774993.6048336</v>
      </c>
      <c r="AQ111" s="151" t="e">
        <f>SUM(AI29:AI42,#REF!)</f>
        <v>#REF!</v>
      </c>
      <c r="AR111" s="153" t="e">
        <f>AQ111+AM111</f>
        <v>#REF!</v>
      </c>
    </row>
    <row r="114" spans="4:11" x14ac:dyDescent="0.2">
      <c r="E114" s="10"/>
      <c r="F114" s="10"/>
      <c r="G114" s="10"/>
      <c r="H114" s="10"/>
    </row>
    <row r="115" spans="4:11" x14ac:dyDescent="0.2">
      <c r="D115" s="28"/>
      <c r="F115" s="29"/>
      <c r="G115" s="29"/>
      <c r="H115" s="29"/>
      <c r="K115" s="1"/>
    </row>
    <row r="116" spans="4:11" x14ac:dyDescent="0.2">
      <c r="D116" s="28"/>
      <c r="F116" s="29"/>
      <c r="G116" s="29"/>
      <c r="H116" s="29"/>
      <c r="K116" s="1"/>
    </row>
    <row r="117" spans="4:11" x14ac:dyDescent="0.2">
      <c r="D117" s="40"/>
      <c r="E117" s="41"/>
      <c r="F117" s="42"/>
      <c r="G117" s="29"/>
      <c r="H117" s="29"/>
      <c r="K117" s="1"/>
    </row>
    <row r="118" spans="4:11" x14ac:dyDescent="0.2">
      <c r="D118" s="40"/>
      <c r="E118" s="41"/>
      <c r="F118" s="42"/>
      <c r="G118" s="29"/>
      <c r="H118" s="29"/>
    </row>
    <row r="119" spans="4:11" x14ac:dyDescent="0.2">
      <c r="D119" s="40"/>
      <c r="E119" s="41"/>
      <c r="F119" s="42"/>
      <c r="G119" s="29"/>
      <c r="H119" s="29"/>
    </row>
    <row r="120" spans="4:11" x14ac:dyDescent="0.2">
      <c r="D120" s="40"/>
      <c r="E120" s="41"/>
      <c r="F120" s="42"/>
      <c r="G120" s="29"/>
      <c r="H120" s="29"/>
    </row>
    <row r="121" spans="4:11" x14ac:dyDescent="0.2">
      <c r="D121" s="40"/>
      <c r="E121" s="41"/>
      <c r="F121" s="42"/>
      <c r="G121" s="29"/>
      <c r="H121" s="29"/>
    </row>
    <row r="122" spans="4:11" x14ac:dyDescent="0.2">
      <c r="D122" s="40"/>
      <c r="E122" s="41"/>
      <c r="F122" s="42"/>
      <c r="G122" s="29"/>
      <c r="H122" s="29"/>
    </row>
    <row r="123" spans="4:11" x14ac:dyDescent="0.2">
      <c r="D123" s="40"/>
      <c r="E123" s="41"/>
      <c r="F123" s="42"/>
      <c r="G123" s="29"/>
      <c r="H123" s="29"/>
    </row>
    <row r="124" spans="4:11" x14ac:dyDescent="0.2">
      <c r="D124" s="28"/>
      <c r="F124" s="29"/>
      <c r="G124" s="29"/>
      <c r="H124" s="29"/>
    </row>
    <row r="125" spans="4:11" x14ac:dyDescent="0.2">
      <c r="D125" s="28"/>
      <c r="F125" s="29"/>
      <c r="G125" s="29"/>
      <c r="H125" s="29"/>
    </row>
    <row r="126" spans="4:11" x14ac:dyDescent="0.2">
      <c r="D126" s="28"/>
      <c r="F126" s="29"/>
      <c r="G126" s="29"/>
      <c r="H126" s="29"/>
    </row>
    <row r="127" spans="4:11" x14ac:dyDescent="0.2">
      <c r="F127" s="29"/>
      <c r="G127" s="29"/>
      <c r="H127" s="10"/>
    </row>
    <row r="132" spans="5:10" x14ac:dyDescent="0.2">
      <c r="E132" s="2"/>
      <c r="F132" s="43"/>
      <c r="G132" s="43"/>
      <c r="H132" s="28"/>
      <c r="I132" s="43"/>
      <c r="J132" s="43"/>
    </row>
    <row r="133" spans="5:10" x14ac:dyDescent="0.2">
      <c r="E133" s="2"/>
      <c r="F133" s="44"/>
      <c r="G133" s="44"/>
      <c r="H133" s="2"/>
      <c r="I133" s="45"/>
      <c r="J133" s="45"/>
    </row>
    <row r="138" spans="5:10" x14ac:dyDescent="0.2">
      <c r="F138" s="2"/>
    </row>
  </sheetData>
  <mergeCells count="16">
    <mergeCell ref="K4:L4"/>
    <mergeCell ref="K8:L8"/>
    <mergeCell ref="A57:G57"/>
    <mergeCell ref="I57:M57"/>
    <mergeCell ref="A4:B4"/>
    <mergeCell ref="D4:F4"/>
    <mergeCell ref="H4:I4"/>
    <mergeCell ref="I11:L11"/>
    <mergeCell ref="A11:G11"/>
    <mergeCell ref="Q11:S11"/>
    <mergeCell ref="U11:Z11"/>
    <mergeCell ref="AB11:AG11"/>
    <mergeCell ref="K80:N80"/>
    <mergeCell ref="B99:D99"/>
    <mergeCell ref="F99:H99"/>
    <mergeCell ref="A80:I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Multiservicios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Potts</dc:creator>
  <cp:lastModifiedBy>Jason Potts</cp:lastModifiedBy>
  <dcterms:created xsi:type="dcterms:W3CDTF">2025-10-10T13:02:57Z</dcterms:created>
  <dcterms:modified xsi:type="dcterms:W3CDTF">2025-10-10T17:37:31Z</dcterms:modified>
</cp:coreProperties>
</file>