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gr\Desktop\Universidad\Diseño de Elementos de Maquinas\"/>
    </mc:Choice>
  </mc:AlternateContent>
  <xr:revisionPtr revIDLastSave="0" documentId="13_ncr:1_{ADD296C1-9599-4224-BD53-3E23418EC47A}" xr6:coauthVersionLast="47" xr6:coauthVersionMax="47" xr10:uidLastSave="{00000000-0000-0000-0000-000000000000}"/>
  <bookViews>
    <workbookView xWindow="-108" yWindow="-108" windowWidth="23256" windowHeight="12456" xr2:uid="{57BA5080-EE7F-47C5-9024-B954A95DA8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7" i="1" l="1"/>
  <c r="K50" i="1"/>
  <c r="B30" i="1"/>
  <c r="A28" i="1"/>
  <c r="B19" i="1"/>
  <c r="B17" i="1"/>
  <c r="G44" i="1"/>
  <c r="C44" i="1"/>
  <c r="E44" i="1" s="1"/>
  <c r="H44" i="1" s="1"/>
  <c r="E58" i="1"/>
  <c r="C58" i="1" s="1"/>
  <c r="A36" i="1"/>
  <c r="C32" i="1"/>
  <c r="D32" i="1" s="1"/>
  <c r="B48" i="1"/>
  <c r="E48" i="1" s="1"/>
  <c r="G48" i="1" s="1"/>
  <c r="B42" i="1"/>
  <c r="C42" i="1" s="1"/>
  <c r="E42" i="1" s="1"/>
  <c r="H42" i="1" s="1"/>
  <c r="B5" i="1"/>
  <c r="E36" i="1"/>
  <c r="A107" i="1"/>
  <c r="A109" i="1" s="1"/>
  <c r="A103" i="1"/>
  <c r="A85" i="1"/>
  <c r="A62" i="1"/>
  <c r="A66" i="1"/>
  <c r="A96" i="1"/>
  <c r="A90" i="1"/>
  <c r="C75" i="1"/>
  <c r="B13" i="1"/>
  <c r="B11" i="1"/>
  <c r="B38" i="1"/>
  <c r="A24" i="1"/>
  <c r="B71" i="1"/>
  <c r="B81" i="1"/>
  <c r="C81" i="1" s="1"/>
  <c r="E81" i="1" s="1"/>
  <c r="C54" i="1"/>
  <c r="A54" i="1"/>
  <c r="B7" i="1"/>
  <c r="G42" i="1" l="1"/>
  <c r="D50" i="1"/>
  <c r="F50" i="1" s="1"/>
  <c r="I50" i="1" s="1"/>
  <c r="E50" i="1"/>
  <c r="G50" i="1" s="1"/>
  <c r="A58" i="1"/>
  <c r="K48" i="1"/>
  <c r="D48" i="1"/>
  <c r="D71" i="1"/>
  <c r="E71" i="1" s="1"/>
  <c r="F48" i="1" l="1"/>
  <c r="I48" i="1" s="1"/>
  <c r="B26" i="1"/>
</calcChain>
</file>

<file path=xl/sharedStrings.xml><?xml version="1.0" encoding="utf-8"?>
<sst xmlns="http://schemas.openxmlformats.org/spreadsheetml/2006/main" count="191" uniqueCount="117">
  <si>
    <t>Conversores</t>
  </si>
  <si>
    <t>Pulgadas</t>
  </si>
  <si>
    <t>Milimetros</t>
  </si>
  <si>
    <t>d</t>
  </si>
  <si>
    <t>tR</t>
  </si>
  <si>
    <t>mB</t>
  </si>
  <si>
    <t>KB</t>
  </si>
  <si>
    <t>B</t>
  </si>
  <si>
    <t>A</t>
  </si>
  <si>
    <t>Velocidades</t>
  </si>
  <si>
    <t>ICM3313 - Diseño de Elementos de Máquinas</t>
  </si>
  <si>
    <t>φ [°]</t>
  </si>
  <si>
    <t>N [-]</t>
  </si>
  <si>
    <t>F = 8*m</t>
  </si>
  <si>
    <t>F = 16*m</t>
  </si>
  <si>
    <t>Factor Dinámico (K_V)</t>
  </si>
  <si>
    <t>K_V</t>
  </si>
  <si>
    <t>Calidad del Engrane (Q_V)</t>
  </si>
  <si>
    <t>Espesor de Aro (K_B)</t>
  </si>
  <si>
    <t>Potencia (H) [W]</t>
  </si>
  <si>
    <t>Torque (T) [Nm]</t>
  </si>
  <si>
    <t>Velocidad Angular (w) [s^-1]</t>
  </si>
  <si>
    <t>Ley de Potencia</t>
  </si>
  <si>
    <t>Ley Fundamental de los Engranajes</t>
  </si>
  <si>
    <t>n [rpm]</t>
  </si>
  <si>
    <r>
      <t>V_W/cos</t>
    </r>
    <r>
      <rPr>
        <sz val="11"/>
        <color theme="1"/>
        <rFont val="Aptos Narrow"/>
        <family val="2"/>
      </rPr>
      <t>λ</t>
    </r>
  </si>
  <si>
    <t>Relevante para engranes huecos. Si no se entrega t_R, debería ser 1</t>
  </si>
  <si>
    <t>Asume el peor caso o trabaja con el intervalo. Justifica o haz un Supuesto</t>
  </si>
  <si>
    <t>J</t>
  </si>
  <si>
    <t>K_A</t>
  </si>
  <si>
    <t>K_M</t>
  </si>
  <si>
    <t>K_S</t>
  </si>
  <si>
    <t>K_B</t>
  </si>
  <si>
    <t>K_I</t>
  </si>
  <si>
    <t>Fuerzas</t>
  </si>
  <si>
    <t>d [mm]</t>
  </si>
  <si>
    <t>Torque [Nm]</t>
  </si>
  <si>
    <t>Diámetro de Paso (d) [mm]</t>
  </si>
  <si>
    <t>Diagrama de Cuerpo Libre y Geometría</t>
  </si>
  <si>
    <t>Factores</t>
  </si>
  <si>
    <t>Esfuerzos</t>
  </si>
  <si>
    <t>F [mm]</t>
  </si>
  <si>
    <t>m [mm]</t>
  </si>
  <si>
    <t>W_t [N]</t>
  </si>
  <si>
    <t>Tangencial (W_t) [N]</t>
  </si>
  <si>
    <t>Radial (W_r) [N]</t>
  </si>
  <si>
    <t>Módulo (m) [mm]</t>
  </si>
  <si>
    <t>(ht) [mm]</t>
  </si>
  <si>
    <t>Ancho de cara (F)[mm] según la AGMA</t>
  </si>
  <si>
    <t>Distancia de Paso (d) [mm]</t>
  </si>
  <si>
    <t>Tangencial (V_T) [ms^-1]</t>
  </si>
  <si>
    <t>Deslizamiento (V_S) [ms^-1]</t>
  </si>
  <si>
    <t>Velocidad Tangencial (V_T) [ms^-1]</t>
  </si>
  <si>
    <t>Paso Circular (p_c) [mm]</t>
  </si>
  <si>
    <t>Paso Base (p_b) [mm]</t>
  </si>
  <si>
    <t>Diámetro Base (d_b) [mm]</t>
  </si>
  <si>
    <t>n' [rpm]</t>
  </si>
  <si>
    <t>N' [-]</t>
  </si>
  <si>
    <t>Angular (w) [s^-1]</t>
  </si>
  <si>
    <r>
      <t>Sigma Flexion (</t>
    </r>
    <r>
      <rPr>
        <sz val="14"/>
        <color theme="1"/>
        <rFont val="Aptos Narrow"/>
        <family val="2"/>
      </rPr>
      <t>σ_f) [Nmm^-2]</t>
    </r>
  </si>
  <si>
    <t>σ_f [Nmm^-2]</t>
  </si>
  <si>
    <r>
      <t>Sigma Contacto (</t>
    </r>
    <r>
      <rPr>
        <sz val="14"/>
        <color theme="1"/>
        <rFont val="Aptos Narrow"/>
        <family val="2"/>
      </rPr>
      <t>σ_c) [Nmm^-2]</t>
    </r>
  </si>
  <si>
    <t>Cp</t>
  </si>
  <si>
    <t>I</t>
  </si>
  <si>
    <t>C_F</t>
  </si>
  <si>
    <t>Geométrico de Picadura (I)</t>
  </si>
  <si>
    <t>I [-]</t>
  </si>
  <si>
    <t>m_N</t>
  </si>
  <si>
    <t>Radios de Curvatura</t>
  </si>
  <si>
    <r>
      <rPr>
        <sz val="11"/>
        <color theme="1"/>
        <rFont val="Aptos Narrow"/>
        <family val="2"/>
      </rPr>
      <t>ψ</t>
    </r>
    <r>
      <rPr>
        <sz val="8.8000000000000007"/>
        <color theme="1"/>
        <rFont val="Aptos Narrow"/>
        <family val="2"/>
      </rPr>
      <t xml:space="preserve"> [°]</t>
    </r>
  </si>
  <si>
    <t>Módulo Tangencial (m_t) [mm]</t>
  </si>
  <si>
    <t>Módulo Axial (m_x) [mm]</t>
  </si>
  <si>
    <t>Paso Tangencial (p_t) [mm]</t>
  </si>
  <si>
    <t>Medidas en Engranes Rectos [mm]</t>
  </si>
  <si>
    <t>Paso Axial (p_t) [mm]</t>
  </si>
  <si>
    <t>Medidas en Engranes Helicoidales [mm]</t>
  </si>
  <si>
    <t>Diámetro de Paso del Piñon (d) [mm]</t>
  </si>
  <si>
    <t>Diastancia entre Centros (C) [mm]</t>
  </si>
  <si>
    <t>Diámetro de Paso del Engranaje (d) [mm]</t>
  </si>
  <si>
    <t>Distancia entre Centros (C) [mm]</t>
  </si>
  <si>
    <t>φ_t [°]</t>
  </si>
  <si>
    <t>φ o φ_t [°]</t>
  </si>
  <si>
    <t>ρ_P</t>
  </si>
  <si>
    <r>
      <t>Engrane (</t>
    </r>
    <r>
      <rPr>
        <sz val="11"/>
        <color theme="1"/>
        <rFont val="Aptos Narrow"/>
        <family val="2"/>
      </rPr>
      <t>ρ_G</t>
    </r>
    <r>
      <rPr>
        <sz val="11"/>
        <color theme="1"/>
        <rFont val="Aptos Narrow"/>
        <family val="2"/>
        <scheme val="minor"/>
      </rPr>
      <t>)</t>
    </r>
    <r>
      <rPr>
        <sz val="11"/>
        <color theme="1"/>
        <rFont val="Aptos Narrow"/>
        <family val="2"/>
        <scheme val="minor"/>
      </rPr>
      <t xml:space="preserve"> [mm]</t>
    </r>
  </si>
  <si>
    <r>
      <t>Piñon Helicoidal (</t>
    </r>
    <r>
      <rPr>
        <sz val="11"/>
        <color theme="1"/>
        <rFont val="Aptos Narrow"/>
        <family val="2"/>
      </rPr>
      <t>ρ_</t>
    </r>
    <r>
      <rPr>
        <sz val="8.8000000000000007"/>
        <color theme="1"/>
        <rFont val="Aptos Narrow"/>
        <family val="2"/>
      </rPr>
      <t>P</t>
    </r>
    <r>
      <rPr>
        <sz val="11"/>
        <color theme="1"/>
        <rFont val="Aptos Narrow"/>
        <family val="2"/>
        <scheme val="minor"/>
      </rPr>
      <t>)</t>
    </r>
    <r>
      <rPr>
        <sz val="11"/>
        <color theme="1"/>
        <rFont val="Aptos Narrow"/>
        <family val="2"/>
        <scheme val="minor"/>
      </rPr>
      <t xml:space="preserve"> [mm]</t>
    </r>
  </si>
  <si>
    <r>
      <t>Piñon Recto (</t>
    </r>
    <r>
      <rPr>
        <sz val="11"/>
        <color theme="1"/>
        <rFont val="Aptos Narrow"/>
        <family val="2"/>
      </rPr>
      <t>ρ_</t>
    </r>
    <r>
      <rPr>
        <sz val="8.8000000000000007"/>
        <color theme="1"/>
        <rFont val="Aptos Narrow"/>
        <family val="2"/>
      </rPr>
      <t>P</t>
    </r>
    <r>
      <rPr>
        <sz val="11"/>
        <color theme="1"/>
        <rFont val="Aptos Narrow"/>
        <family val="2"/>
        <scheme val="minor"/>
      </rPr>
      <t>)</t>
    </r>
    <r>
      <rPr>
        <sz val="11"/>
        <color theme="1"/>
        <rFont val="Aptos Narrow"/>
        <family val="2"/>
        <scheme val="minor"/>
      </rPr>
      <t xml:space="preserve"> [mm]</t>
    </r>
  </si>
  <si>
    <t>Adendo del Piñon (x_P) [-]</t>
  </si>
  <si>
    <t>ρ_G</t>
  </si>
  <si>
    <t>Asume x_P=0 a menos de que se diga lo contrario.</t>
  </si>
  <si>
    <t>La distancia entre centros es (d_i+d_j)/2</t>
  </si>
  <si>
    <t>Factor de Seguridad</t>
  </si>
  <si>
    <r>
      <t>Seguridad de Flexion (S</t>
    </r>
    <r>
      <rPr>
        <sz val="14"/>
        <color theme="1"/>
        <rFont val="Aptos Narrow"/>
        <family val="2"/>
      </rPr>
      <t>_f) [Nmm^-2]</t>
    </r>
  </si>
  <si>
    <r>
      <t>Seguridad de Contacto (S</t>
    </r>
    <r>
      <rPr>
        <sz val="14"/>
        <color theme="1"/>
        <rFont val="Aptos Narrow"/>
        <family val="2"/>
      </rPr>
      <t>_f) [Nmm^-2]</t>
    </r>
  </si>
  <si>
    <t>S_FC</t>
  </si>
  <si>
    <t>S'_FC</t>
  </si>
  <si>
    <t>K_T</t>
  </si>
  <si>
    <t>K_R</t>
  </si>
  <si>
    <t>C_L</t>
  </si>
  <si>
    <t>C_H</t>
  </si>
  <si>
    <t>S'_F [Mpa]</t>
  </si>
  <si>
    <t>S_F [Mpa]</t>
  </si>
  <si>
    <t>K_L [-]</t>
  </si>
  <si>
    <t>K_T [-]</t>
  </si>
  <si>
    <t>K_R [-]</t>
  </si>
  <si>
    <t>Número mínimo de Dientes</t>
  </si>
  <si>
    <t>Nmin</t>
  </si>
  <si>
    <t>Para φ=20° usa 17 dientes</t>
  </si>
  <si>
    <t>Paso Diametral (p_d) [in^-1]</t>
  </si>
  <si>
    <t>Axial (W_a) [N]</t>
  </si>
  <si>
    <t>Engranes rectos    m_N=1                RAPIDO!!! I=0.1</t>
  </si>
  <si>
    <t>Ian Gross Sánchez</t>
  </si>
  <si>
    <t>Largos</t>
  </si>
  <si>
    <t>Revoluciones</t>
  </si>
  <si>
    <t>Potencia</t>
  </si>
  <si>
    <t>Watts [W]</t>
  </si>
  <si>
    <t>Caballos de Fuerza [HP]</t>
  </si>
  <si>
    <t>(n) [rpm]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</si>
</sst>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4"/>
      <color theme="1"/>
      <name val="Aptos Narrow"/>
      <family val="2"/>
    </font>
    <font>
      <sz val="8.8000000000000007"/>
      <color theme="1"/>
      <name val="Aptos Narrow"/>
      <family val="2"/>
    </font>
    <font>
      <b/>
      <sz val="20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0" borderId="8" xfId="0" applyBorder="1"/>
    <xf numFmtId="0" fontId="0" fillId="0" borderId="6" xfId="0" applyBorder="1"/>
    <xf numFmtId="0" fontId="0" fillId="2" borderId="8" xfId="0" applyFill="1" applyBorder="1"/>
    <xf numFmtId="0" fontId="4" fillId="4" borderId="0" xfId="0" applyFont="1" applyFill="1"/>
    <xf numFmtId="0" fontId="1" fillId="2" borderId="7" xfId="0" applyFont="1" applyFill="1" applyBorder="1"/>
    <xf numFmtId="0" fontId="4" fillId="4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4" borderId="4" xfId="0" applyFill="1" applyBorder="1"/>
    <xf numFmtId="0" fontId="0" fillId="4" borderId="8" xfId="0" applyFill="1" applyBorder="1"/>
    <xf numFmtId="0" fontId="0" fillId="4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2" borderId="0" xfId="0" applyFill="1"/>
    <xf numFmtId="0" fontId="0" fillId="3" borderId="11" xfId="0" applyFill="1" applyBorder="1"/>
    <xf numFmtId="0" fontId="0" fillId="3" borderId="6" xfId="0" applyFill="1" applyBorder="1"/>
    <xf numFmtId="0" fontId="0" fillId="0" borderId="3" xfId="0" applyBorder="1"/>
    <xf numFmtId="0" fontId="0" fillId="3" borderId="0" xfId="0" applyFill="1" applyAlignment="1">
      <alignment horizontal="center"/>
    </xf>
    <xf numFmtId="0" fontId="9" fillId="4" borderId="0" xfId="0" applyFont="1" applyFill="1" applyAlignment="1">
      <alignment horizontal="left"/>
    </xf>
    <xf numFmtId="0" fontId="0" fillId="3" borderId="1" xfId="0" applyFill="1" applyBorder="1"/>
    <xf numFmtId="0" fontId="3" fillId="3" borderId="9" xfId="0" applyFont="1" applyFill="1" applyBorder="1"/>
    <xf numFmtId="0" fontId="9" fillId="4" borderId="0" xfId="0" applyFont="1" applyFill="1" applyAlignment="1">
      <alignment horizontal="right"/>
    </xf>
    <xf numFmtId="0" fontId="7" fillId="4" borderId="0" xfId="0" applyFont="1" applyFill="1" applyAlignment="1">
      <alignment horizontal="right"/>
    </xf>
    <xf numFmtId="0" fontId="0" fillId="0" borderId="12" xfId="0" applyBorder="1"/>
    <xf numFmtId="0" fontId="0" fillId="2" borderId="13" xfId="0" applyFill="1" applyBorder="1"/>
    <xf numFmtId="0" fontId="0" fillId="0" borderId="14" xfId="0" applyBorder="1"/>
    <xf numFmtId="0" fontId="4" fillId="4" borderId="8" xfId="0" applyFont="1" applyFill="1" applyBorder="1"/>
    <xf numFmtId="0" fontId="0" fillId="2" borderId="15" xfId="0" applyFill="1" applyBorder="1"/>
    <xf numFmtId="0" fontId="4" fillId="4" borderId="8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4" fillId="4" borderId="7" xfId="0" applyFont="1" applyFill="1" applyBorder="1" applyAlignment="1">
      <alignment horizontal="center"/>
    </xf>
    <xf numFmtId="0" fontId="8" fillId="3" borderId="0" xfId="0" applyFont="1" applyFill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8" xfId="0" applyFont="1" applyFill="1" applyBorder="1" applyAlignment="1">
      <alignment horizontal="left"/>
    </xf>
    <xf numFmtId="0" fontId="7" fillId="2" borderId="0" xfId="0" applyFont="1" applyFill="1" applyAlignment="1">
      <alignment horizontal="right"/>
    </xf>
    <xf numFmtId="0" fontId="0" fillId="3" borderId="2" xfId="0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0" fontId="4" fillId="4" borderId="0" xfId="0" applyFont="1" applyFill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EF8A-3A43-42E9-96A0-2B84FEC5751D}">
  <dimension ref="A1:L109"/>
  <sheetViews>
    <sheetView tabSelected="1" topLeftCell="A93" zoomScaleNormal="100" workbookViewId="0">
      <selection activeCell="A109" sqref="A109"/>
    </sheetView>
  </sheetViews>
  <sheetFormatPr baseColWidth="10" defaultRowHeight="14.4" x14ac:dyDescent="0.3"/>
  <cols>
    <col min="1" max="1" width="23.44140625" bestFit="1" customWidth="1"/>
    <col min="2" max="2" width="31.88671875" bestFit="1" customWidth="1"/>
    <col min="3" max="3" width="26.77734375" bestFit="1" customWidth="1"/>
    <col min="4" max="4" width="24.88671875" customWidth="1"/>
    <col min="5" max="5" width="19.88671875" customWidth="1"/>
    <col min="6" max="6" width="21.88671875" customWidth="1"/>
    <col min="7" max="7" width="21.6640625" customWidth="1"/>
    <col min="8" max="8" width="21.77734375" bestFit="1" customWidth="1"/>
    <col min="9" max="9" width="18.21875" bestFit="1" customWidth="1"/>
    <col min="10" max="10" width="4.44140625" bestFit="1" customWidth="1"/>
    <col min="11" max="11" width="22.33203125" bestFit="1" customWidth="1"/>
  </cols>
  <sheetData>
    <row r="1" spans="1:12" ht="31.2" x14ac:dyDescent="0.6">
      <c r="A1" s="55" t="s">
        <v>10</v>
      </c>
      <c r="B1" s="55"/>
      <c r="C1" s="55"/>
      <c r="D1" s="17"/>
      <c r="E1" s="17"/>
      <c r="F1" s="17"/>
      <c r="G1" s="59" t="s">
        <v>110</v>
      </c>
      <c r="H1" s="59"/>
      <c r="I1" s="23"/>
      <c r="J1" s="23"/>
      <c r="K1" s="23"/>
      <c r="L1" s="23"/>
    </row>
    <row r="2" spans="1:12" ht="25.8" x14ac:dyDescent="0.5">
      <c r="A2" s="61" t="s">
        <v>0</v>
      </c>
      <c r="B2" s="61"/>
      <c r="C2" s="28"/>
      <c r="D2" s="12"/>
      <c r="E2" s="31"/>
      <c r="F2" s="32"/>
      <c r="G2" s="16"/>
      <c r="H2" s="16"/>
      <c r="I2" s="16"/>
      <c r="J2" s="16"/>
      <c r="K2" s="16"/>
      <c r="L2" s="16"/>
    </row>
    <row r="3" spans="1:12" ht="18" x14ac:dyDescent="0.35">
      <c r="A3" s="39" t="s">
        <v>111</v>
      </c>
      <c r="B3" s="41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3">
      <c r="A4" s="1" t="s">
        <v>1</v>
      </c>
      <c r="B4" s="2" t="s">
        <v>2</v>
      </c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3">
      <c r="A5" s="5">
        <v>6</v>
      </c>
      <c r="B5" s="6">
        <f>A5*25.4</f>
        <v>152.39999999999998</v>
      </c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x14ac:dyDescent="0.3">
      <c r="A6" s="4" t="s">
        <v>2</v>
      </c>
      <c r="B6" s="3" t="s">
        <v>1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x14ac:dyDescent="0.3">
      <c r="A7" s="26">
        <v>1</v>
      </c>
      <c r="B7" s="3">
        <f>A7/25.4</f>
        <v>3.937007874015748E-2</v>
      </c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x14ac:dyDescent="0.3">
      <c r="A8" s="29"/>
      <c r="B8" s="21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ht="18" x14ac:dyDescent="0.35">
      <c r="A9" s="30" t="s">
        <v>112</v>
      </c>
      <c r="B9" s="24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x14ac:dyDescent="0.3">
      <c r="A10" s="1" t="s">
        <v>21</v>
      </c>
      <c r="B10" s="2" t="s">
        <v>24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 x14ac:dyDescent="0.3">
      <c r="A11" s="5">
        <v>18.18</v>
      </c>
      <c r="B11" s="6">
        <f>(60*A11)/(2*PI())</f>
        <v>173.60621192463944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x14ac:dyDescent="0.3">
      <c r="A12" s="4" t="s">
        <v>24</v>
      </c>
      <c r="B12" s="3" t="s">
        <v>21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x14ac:dyDescent="0.3">
      <c r="A13" s="5">
        <v>1</v>
      </c>
      <c r="B13" s="6">
        <f>(2*PI()*A13)/60</f>
        <v>0.10471975511965977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 x14ac:dyDescent="0.3">
      <c r="A14" s="29"/>
      <c r="B14" s="21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ht="18" x14ac:dyDescent="0.35">
      <c r="A15" s="30" t="s">
        <v>113</v>
      </c>
      <c r="B15" s="24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x14ac:dyDescent="0.3">
      <c r="A16" s="1" t="s">
        <v>115</v>
      </c>
      <c r="B16" s="2" t="s">
        <v>114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x14ac:dyDescent="0.3">
      <c r="A17" s="26">
        <v>100</v>
      </c>
      <c r="B17" s="3">
        <f>A17*745.7</f>
        <v>74570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 x14ac:dyDescent="0.3">
      <c r="A18" s="1" t="s">
        <v>114</v>
      </c>
      <c r="B18" s="2" t="s">
        <v>115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 x14ac:dyDescent="0.3">
      <c r="A19" s="5">
        <v>1</v>
      </c>
      <c r="B19" s="6">
        <f>A19/745.7</f>
        <v>1.341021858656296E-3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ht="23.4" x14ac:dyDescent="0.45">
      <c r="A21" s="38" t="s">
        <v>38</v>
      </c>
      <c r="B21" s="38"/>
      <c r="C21" s="38"/>
      <c r="D21" s="36"/>
      <c r="E21" s="16"/>
      <c r="F21" s="16"/>
      <c r="G21" s="16"/>
      <c r="H21" s="16"/>
      <c r="I21" s="16"/>
      <c r="J21" s="16"/>
      <c r="K21" s="16"/>
      <c r="L21" s="16"/>
    </row>
    <row r="22" spans="1:12" ht="18" x14ac:dyDescent="0.35">
      <c r="A22" s="58" t="s">
        <v>22</v>
      </c>
      <c r="B22" s="58"/>
      <c r="C22" s="58"/>
      <c r="D22" s="21"/>
      <c r="E22" s="16"/>
      <c r="F22" s="16"/>
      <c r="G22" s="16"/>
      <c r="H22" s="16"/>
      <c r="I22" s="16"/>
      <c r="J22" s="16"/>
      <c r="K22" s="16"/>
      <c r="L22" s="16"/>
    </row>
    <row r="23" spans="1:12" x14ac:dyDescent="0.3">
      <c r="A23" s="4" t="s">
        <v>19</v>
      </c>
      <c r="B23" s="23" t="s">
        <v>20</v>
      </c>
      <c r="C23" s="3" t="s">
        <v>21</v>
      </c>
      <c r="D23" s="22"/>
      <c r="E23" s="16"/>
      <c r="F23" s="16"/>
      <c r="G23" s="16"/>
      <c r="H23" s="16"/>
      <c r="I23" s="16"/>
      <c r="J23" s="16"/>
      <c r="K23" s="16"/>
      <c r="L23" s="16"/>
    </row>
    <row r="24" spans="1:12" x14ac:dyDescent="0.3">
      <c r="A24" s="8">
        <f>B24*C24</f>
        <v>0.10471975511965977</v>
      </c>
      <c r="B24" s="9">
        <v>1</v>
      </c>
      <c r="C24" s="10">
        <v>0.10471975511965977</v>
      </c>
      <c r="D24" s="22"/>
      <c r="E24" s="16"/>
      <c r="F24" s="16"/>
      <c r="G24" s="16"/>
      <c r="H24" s="16"/>
      <c r="I24" s="16"/>
      <c r="J24" s="16"/>
      <c r="K24" s="16"/>
      <c r="L24" s="16"/>
    </row>
    <row r="25" spans="1:12" x14ac:dyDescent="0.3">
      <c r="A25" s="1" t="s">
        <v>19</v>
      </c>
      <c r="B25" s="7" t="s">
        <v>20</v>
      </c>
      <c r="C25" s="2" t="s">
        <v>21</v>
      </c>
      <c r="D25" s="22"/>
      <c r="E25" s="16"/>
      <c r="F25" s="16"/>
      <c r="G25" s="16"/>
      <c r="H25" s="16"/>
      <c r="I25" s="16"/>
      <c r="J25" s="16"/>
      <c r="K25" s="16"/>
      <c r="L25" s="16"/>
    </row>
    <row r="26" spans="1:12" ht="15" thickBot="1" x14ac:dyDescent="0.35">
      <c r="A26" s="33">
        <v>74570</v>
      </c>
      <c r="B26" s="34">
        <f>A26/C26</f>
        <v>712091.04638175818</v>
      </c>
      <c r="C26" s="35">
        <v>0.10471975511965977</v>
      </c>
      <c r="D26" s="22"/>
      <c r="E26" s="16"/>
      <c r="F26" s="16"/>
      <c r="G26" s="16"/>
      <c r="H26" s="16"/>
      <c r="I26" s="16"/>
      <c r="J26" s="16"/>
      <c r="K26" s="16"/>
      <c r="L26" s="16"/>
    </row>
    <row r="27" spans="1:12" ht="15" thickTop="1" x14ac:dyDescent="0.3">
      <c r="A27" s="4" t="s">
        <v>19</v>
      </c>
      <c r="B27" s="23" t="s">
        <v>20</v>
      </c>
      <c r="C27" s="3" t="s">
        <v>116</v>
      </c>
      <c r="D27" s="22"/>
      <c r="E27" s="16"/>
      <c r="F27" s="16"/>
      <c r="G27" s="16"/>
      <c r="H27" s="16"/>
      <c r="I27" s="16"/>
      <c r="J27" s="16"/>
      <c r="K27" s="16"/>
      <c r="L27" s="16"/>
    </row>
    <row r="28" spans="1:12" x14ac:dyDescent="0.3">
      <c r="A28" s="8">
        <f>B28*(2*PI()*C28)/60</f>
        <v>0.10471975511965977</v>
      </c>
      <c r="B28" s="9">
        <v>1</v>
      </c>
      <c r="C28" s="10">
        <v>1</v>
      </c>
      <c r="D28" s="22"/>
      <c r="E28" s="16"/>
      <c r="F28" s="16"/>
      <c r="G28" s="16"/>
      <c r="H28" s="16"/>
      <c r="I28" s="16"/>
      <c r="J28" s="16"/>
      <c r="K28" s="16"/>
      <c r="L28" s="16"/>
    </row>
    <row r="29" spans="1:12" x14ac:dyDescent="0.3">
      <c r="A29" s="1" t="s">
        <v>19</v>
      </c>
      <c r="B29" s="7" t="s">
        <v>20</v>
      </c>
      <c r="C29" s="2" t="s">
        <v>116</v>
      </c>
      <c r="D29" s="22"/>
      <c r="E29" s="16"/>
      <c r="F29" s="16"/>
      <c r="G29" s="16"/>
      <c r="H29" s="16"/>
      <c r="I29" s="16"/>
      <c r="J29" s="16"/>
      <c r="K29" s="16"/>
      <c r="L29" s="16"/>
    </row>
    <row r="30" spans="1:12" ht="15" thickBot="1" x14ac:dyDescent="0.35">
      <c r="A30" s="33">
        <v>74570</v>
      </c>
      <c r="B30" s="34">
        <f>A30/((2*PI()*C30)/60)</f>
        <v>237.3636821272527</v>
      </c>
      <c r="C30" s="35">
        <v>3000</v>
      </c>
      <c r="D30" s="25"/>
      <c r="E30" s="16"/>
      <c r="F30" s="16"/>
      <c r="G30" s="16"/>
      <c r="H30" s="16"/>
      <c r="I30" s="16"/>
      <c r="J30" s="16"/>
      <c r="K30" s="16"/>
      <c r="L30" s="16"/>
    </row>
    <row r="31" spans="1:12" ht="15" thickTop="1" x14ac:dyDescent="0.3">
      <c r="A31" s="4" t="s">
        <v>19</v>
      </c>
      <c r="B31" s="23" t="s">
        <v>20</v>
      </c>
      <c r="C31" s="37" t="s">
        <v>21</v>
      </c>
      <c r="D31" s="2" t="s">
        <v>116</v>
      </c>
      <c r="E31" s="16"/>
      <c r="F31" s="16"/>
      <c r="G31" s="16"/>
      <c r="H31" s="15"/>
      <c r="I31" s="16"/>
      <c r="J31" s="16"/>
      <c r="K31" s="16"/>
      <c r="L31" s="16"/>
    </row>
    <row r="32" spans="1:12" x14ac:dyDescent="0.3">
      <c r="A32" s="5">
        <v>1000</v>
      </c>
      <c r="B32" s="9">
        <v>55</v>
      </c>
      <c r="C32" s="11">
        <f>A32/B32</f>
        <v>18.181818181818183</v>
      </c>
      <c r="D32" s="6">
        <f>(60*C32)/(2*PI())</f>
        <v>173.62357428206766</v>
      </c>
      <c r="E32" s="16"/>
      <c r="F32" s="16"/>
      <c r="G32" s="16"/>
      <c r="H32" s="15"/>
      <c r="I32" s="16"/>
      <c r="J32" s="16"/>
      <c r="K32" s="16"/>
      <c r="L32" s="16"/>
    </row>
    <row r="33" spans="1:12" x14ac:dyDescent="0.3">
      <c r="A33" s="17"/>
      <c r="B33" s="17"/>
      <c r="C33" s="17"/>
      <c r="D33" s="17"/>
      <c r="E33" s="17"/>
      <c r="F33" s="17"/>
      <c r="G33" s="17"/>
      <c r="H33" s="15"/>
      <c r="I33" s="16"/>
      <c r="J33" s="16"/>
      <c r="K33" s="16"/>
      <c r="L33" s="16"/>
    </row>
    <row r="34" spans="1:12" ht="18" x14ac:dyDescent="0.35">
      <c r="A34" s="39" t="s">
        <v>23</v>
      </c>
      <c r="B34" s="40"/>
      <c r="C34" s="40"/>
      <c r="D34" s="41"/>
      <c r="E34" s="47" t="s">
        <v>104</v>
      </c>
      <c r="F34" s="48"/>
      <c r="G34" s="49"/>
      <c r="H34" s="15"/>
      <c r="I34" s="16"/>
      <c r="J34" s="16"/>
      <c r="K34" s="16"/>
      <c r="L34" s="16"/>
    </row>
    <row r="35" spans="1:12" x14ac:dyDescent="0.3">
      <c r="A35" s="1" t="s">
        <v>56</v>
      </c>
      <c r="B35" s="7" t="s">
        <v>57</v>
      </c>
      <c r="C35" s="7" t="s">
        <v>24</v>
      </c>
      <c r="D35" s="2" t="s">
        <v>12</v>
      </c>
      <c r="E35" s="1" t="s">
        <v>105</v>
      </c>
      <c r="F35" s="2" t="s">
        <v>11</v>
      </c>
      <c r="G35" s="22"/>
      <c r="H35" s="15"/>
      <c r="I35" s="16"/>
      <c r="J35" s="16"/>
      <c r="K35" s="16"/>
      <c r="L35" s="16"/>
    </row>
    <row r="36" spans="1:12" x14ac:dyDescent="0.3">
      <c r="A36" s="8">
        <f>C36*D36/B36</f>
        <v>72</v>
      </c>
      <c r="B36" s="9">
        <v>5</v>
      </c>
      <c r="C36" s="9">
        <v>360</v>
      </c>
      <c r="D36" s="10">
        <v>1</v>
      </c>
      <c r="E36" s="8">
        <f>2/SIN(F36*PI()/180)^2</f>
        <v>17.097264340826062</v>
      </c>
      <c r="F36" s="10">
        <v>20</v>
      </c>
      <c r="G36" s="25" t="s">
        <v>106</v>
      </c>
      <c r="H36" s="15"/>
      <c r="I36" s="16"/>
      <c r="J36" s="16"/>
      <c r="K36" s="16"/>
      <c r="L36" s="16"/>
    </row>
    <row r="37" spans="1:12" x14ac:dyDescent="0.3">
      <c r="A37" s="1" t="s">
        <v>56</v>
      </c>
      <c r="B37" s="7" t="s">
        <v>57</v>
      </c>
      <c r="C37" s="7" t="s">
        <v>24</v>
      </c>
      <c r="D37" s="2" t="s">
        <v>12</v>
      </c>
      <c r="E37" s="16"/>
      <c r="F37" s="16"/>
      <c r="G37" s="16"/>
      <c r="H37" s="15"/>
      <c r="I37" s="16"/>
      <c r="J37" s="16"/>
      <c r="K37" s="16"/>
      <c r="L37" s="16"/>
    </row>
    <row r="38" spans="1:12" x14ac:dyDescent="0.3">
      <c r="A38" s="5">
        <v>1200</v>
      </c>
      <c r="B38" s="11">
        <f>C38*D38/A38</f>
        <v>7.083333333333333</v>
      </c>
      <c r="C38" s="9">
        <v>500</v>
      </c>
      <c r="D38" s="10">
        <v>17</v>
      </c>
      <c r="E38" s="16"/>
      <c r="F38" s="16"/>
      <c r="G38" s="16"/>
      <c r="H38" s="15"/>
      <c r="I38" s="16"/>
      <c r="J38" s="16"/>
      <c r="K38" s="16"/>
      <c r="L38" s="16"/>
    </row>
    <row r="39" spans="1:12" x14ac:dyDescent="0.3">
      <c r="A39" s="17"/>
      <c r="B39" s="17"/>
      <c r="C39" s="17"/>
      <c r="D39" s="17"/>
      <c r="E39" s="17"/>
      <c r="F39" s="17"/>
      <c r="G39" s="17"/>
      <c r="H39" s="27"/>
      <c r="I39" s="16"/>
      <c r="J39" s="16"/>
      <c r="K39" s="16"/>
      <c r="L39" s="16"/>
    </row>
    <row r="40" spans="1:12" ht="18" customHeight="1" x14ac:dyDescent="0.35">
      <c r="A40" s="39" t="s">
        <v>73</v>
      </c>
      <c r="B40" s="40"/>
      <c r="C40" s="40"/>
      <c r="D40" s="40"/>
      <c r="E40" s="40"/>
      <c r="F40" s="40"/>
      <c r="G40" s="40"/>
      <c r="H40" s="41"/>
      <c r="I40" s="16"/>
      <c r="J40" s="16"/>
      <c r="K40" s="16"/>
      <c r="L40" s="16"/>
    </row>
    <row r="41" spans="1:12" x14ac:dyDescent="0.3">
      <c r="A41" s="1" t="s">
        <v>107</v>
      </c>
      <c r="B41" s="7" t="s">
        <v>46</v>
      </c>
      <c r="C41" s="7" t="s">
        <v>53</v>
      </c>
      <c r="D41" s="7" t="s">
        <v>11</v>
      </c>
      <c r="E41" s="2" t="s">
        <v>54</v>
      </c>
      <c r="F41" s="7" t="s">
        <v>12</v>
      </c>
      <c r="G41" s="7" t="s">
        <v>37</v>
      </c>
      <c r="H41" s="2" t="s">
        <v>55</v>
      </c>
      <c r="I41" s="16"/>
      <c r="J41" s="16"/>
      <c r="K41" s="16"/>
      <c r="L41" s="16"/>
    </row>
    <row r="42" spans="1:12" x14ac:dyDescent="0.3">
      <c r="A42" s="26">
        <v>6</v>
      </c>
      <c r="B42" s="23">
        <f>25.4/A42</f>
        <v>4.2333333333333334</v>
      </c>
      <c r="C42" s="23">
        <f>PI()*B42</f>
        <v>13.299408900196791</v>
      </c>
      <c r="D42">
        <v>20</v>
      </c>
      <c r="E42" s="3">
        <f>C42*COS(D42)</f>
        <v>5.4272502048916822</v>
      </c>
      <c r="F42">
        <v>36</v>
      </c>
      <c r="G42" s="23">
        <f>F42*B42</f>
        <v>152.4</v>
      </c>
      <c r="H42" s="3">
        <f>E42*F42/PI()</f>
        <v>62.191706220360942</v>
      </c>
      <c r="I42" s="16"/>
      <c r="J42" s="16"/>
      <c r="K42" s="16"/>
      <c r="L42" s="16"/>
    </row>
    <row r="43" spans="1:12" x14ac:dyDescent="0.3">
      <c r="A43" s="1"/>
      <c r="B43" s="7" t="s">
        <v>46</v>
      </c>
      <c r="C43" s="7" t="s">
        <v>53</v>
      </c>
      <c r="D43" s="7" t="s">
        <v>11</v>
      </c>
      <c r="E43" s="7" t="s">
        <v>54</v>
      </c>
      <c r="F43" s="7" t="s">
        <v>12</v>
      </c>
      <c r="G43" s="7" t="s">
        <v>37</v>
      </c>
      <c r="H43" s="2" t="s">
        <v>55</v>
      </c>
      <c r="I43" s="16"/>
      <c r="J43" s="16"/>
      <c r="K43" s="16"/>
      <c r="L43" s="16"/>
    </row>
    <row r="44" spans="1:12" x14ac:dyDescent="0.3">
      <c r="A44" s="8"/>
      <c r="B44" s="9">
        <v>4.2300000000000004</v>
      </c>
      <c r="C44" s="11">
        <f>PI()*B44</f>
        <v>13.288936924684826</v>
      </c>
      <c r="D44" s="9">
        <v>20</v>
      </c>
      <c r="E44" s="11">
        <f>C44*COS(D44)</f>
        <v>5.4229767795335002</v>
      </c>
      <c r="F44" s="9">
        <v>46</v>
      </c>
      <c r="G44" s="11">
        <f>F44*B44</f>
        <v>194.58</v>
      </c>
      <c r="H44" s="6">
        <f>E44*F44/PI()</f>
        <v>79.404607587649807</v>
      </c>
      <c r="I44" s="16"/>
      <c r="J44" s="16"/>
      <c r="K44" s="16"/>
      <c r="L44" s="16"/>
    </row>
    <row r="45" spans="1:12" x14ac:dyDescent="0.3">
      <c r="A45" s="17"/>
      <c r="B45" s="17"/>
      <c r="C45" s="17"/>
      <c r="D45" s="17"/>
      <c r="E45" s="17"/>
      <c r="F45" s="17"/>
      <c r="G45" s="17"/>
      <c r="H45" s="27"/>
      <c r="I45" s="17"/>
      <c r="J45" s="17"/>
      <c r="K45" s="17"/>
      <c r="L45" s="16"/>
    </row>
    <row r="46" spans="1:12" ht="18" x14ac:dyDescent="0.35">
      <c r="A46" s="39" t="s">
        <v>75</v>
      </c>
      <c r="B46" s="40"/>
      <c r="C46" s="40"/>
      <c r="D46" s="40"/>
      <c r="E46" s="40"/>
      <c r="F46" s="40"/>
      <c r="G46" s="40"/>
      <c r="H46" s="40"/>
      <c r="I46" s="40"/>
      <c r="J46" s="40"/>
      <c r="K46" s="41"/>
      <c r="L46" s="16"/>
    </row>
    <row r="47" spans="1:12" x14ac:dyDescent="0.3">
      <c r="A47" s="1" t="s">
        <v>107</v>
      </c>
      <c r="B47" s="7" t="s">
        <v>46</v>
      </c>
      <c r="C47" s="13" t="s">
        <v>69</v>
      </c>
      <c r="D47" s="7" t="s">
        <v>70</v>
      </c>
      <c r="E47" s="7" t="s">
        <v>71</v>
      </c>
      <c r="F47" s="7" t="s">
        <v>72</v>
      </c>
      <c r="G47" s="2" t="s">
        <v>74</v>
      </c>
      <c r="H47" s="7" t="s">
        <v>11</v>
      </c>
      <c r="I47" s="7" t="s">
        <v>54</v>
      </c>
      <c r="J47" s="7" t="s">
        <v>12</v>
      </c>
      <c r="K47" s="2" t="s">
        <v>37</v>
      </c>
      <c r="L47" s="16"/>
    </row>
    <row r="48" spans="1:12" x14ac:dyDescent="0.3">
      <c r="A48" s="5">
        <v>6</v>
      </c>
      <c r="B48" s="11">
        <f>25.4/A48</f>
        <v>4.2333333333333334</v>
      </c>
      <c r="C48" s="9">
        <v>30</v>
      </c>
      <c r="D48" s="11">
        <f>B48/COS(C48*PI()/180)</f>
        <v>4.8882322791388315</v>
      </c>
      <c r="E48" s="11">
        <f>B48/SIN(C48*PI()/180)</f>
        <v>8.4666666666666686</v>
      </c>
      <c r="F48" s="11">
        <f>PI()*D48</f>
        <v>15.356834617183043</v>
      </c>
      <c r="G48" s="6">
        <f>PI()*E48</f>
        <v>26.598817800393586</v>
      </c>
      <c r="H48" s="9">
        <v>25</v>
      </c>
      <c r="I48" s="11">
        <f>F48*COS(H48)</f>
        <v>15.221737653874163</v>
      </c>
      <c r="J48" s="9">
        <v>36</v>
      </c>
      <c r="K48" s="6">
        <f>J48*B48</f>
        <v>152.4</v>
      </c>
      <c r="L48" s="16"/>
    </row>
    <row r="49" spans="1:12" x14ac:dyDescent="0.3">
      <c r="A49" s="1"/>
      <c r="B49" s="7" t="s">
        <v>46</v>
      </c>
      <c r="C49" s="13" t="s">
        <v>69</v>
      </c>
      <c r="D49" s="7" t="s">
        <v>70</v>
      </c>
      <c r="E49" s="7" t="s">
        <v>71</v>
      </c>
      <c r="F49" s="7" t="s">
        <v>72</v>
      </c>
      <c r="G49" s="2" t="s">
        <v>74</v>
      </c>
      <c r="H49" s="7" t="s">
        <v>11</v>
      </c>
      <c r="I49" s="7" t="s">
        <v>54</v>
      </c>
      <c r="J49" s="7" t="s">
        <v>12</v>
      </c>
      <c r="K49" s="2" t="s">
        <v>37</v>
      </c>
      <c r="L49" s="16"/>
    </row>
    <row r="50" spans="1:12" x14ac:dyDescent="0.3">
      <c r="A50" s="8"/>
      <c r="B50" s="9">
        <v>2</v>
      </c>
      <c r="C50" s="9">
        <v>20</v>
      </c>
      <c r="D50" s="11">
        <f>B50/COS(C50*PI()/180)</f>
        <v>2.1283555449518241</v>
      </c>
      <c r="E50" s="11">
        <f>B50/SIN(C50*PI()/180)</f>
        <v>5.8476088003261752</v>
      </c>
      <c r="F50" s="11">
        <f>PI()*D50</f>
        <v>6.6864261442477515</v>
      </c>
      <c r="G50" s="6">
        <f>PI()*E50</f>
        <v>18.370804848171737</v>
      </c>
      <c r="H50" s="9">
        <v>20</v>
      </c>
      <c r="I50" s="11">
        <f>F50*COS(H50)</f>
        <v>2.7286105671075909</v>
      </c>
      <c r="J50" s="9">
        <v>120</v>
      </c>
      <c r="K50" s="6">
        <f>J50*B50</f>
        <v>240</v>
      </c>
      <c r="L50" s="16"/>
    </row>
    <row r="51" spans="1:12" x14ac:dyDescent="0.3">
      <c r="A51" s="17"/>
      <c r="B51" s="17"/>
      <c r="C51" s="17"/>
      <c r="D51" s="17"/>
      <c r="E51" s="16"/>
      <c r="F51" s="16"/>
      <c r="G51" s="16"/>
      <c r="H51" s="15"/>
      <c r="I51" s="16"/>
      <c r="J51" s="16"/>
      <c r="K51" s="16"/>
      <c r="L51" s="16"/>
    </row>
    <row r="52" spans="1:12" ht="18" x14ac:dyDescent="0.35">
      <c r="A52" s="47" t="s">
        <v>48</v>
      </c>
      <c r="B52" s="48"/>
      <c r="C52" s="48"/>
      <c r="D52" s="60" t="s">
        <v>27</v>
      </c>
      <c r="E52" s="16"/>
      <c r="F52" s="16"/>
      <c r="G52" s="16"/>
      <c r="H52" s="15"/>
      <c r="I52" s="16"/>
      <c r="J52" s="16"/>
      <c r="K52" s="16"/>
      <c r="L52" s="16"/>
    </row>
    <row r="53" spans="1:12" x14ac:dyDescent="0.3">
      <c r="A53" s="1" t="s">
        <v>13</v>
      </c>
      <c r="B53" s="7" t="s">
        <v>46</v>
      </c>
      <c r="C53" s="2" t="s">
        <v>14</v>
      </c>
      <c r="D53" s="51"/>
      <c r="E53" s="16"/>
      <c r="F53" s="16"/>
      <c r="G53" s="16"/>
      <c r="H53" s="15"/>
      <c r="I53" s="16"/>
      <c r="J53" s="16"/>
      <c r="K53" s="16"/>
      <c r="L53" s="16"/>
    </row>
    <row r="54" spans="1:12" x14ac:dyDescent="0.3">
      <c r="A54" s="8">
        <f>8*B54</f>
        <v>33.840000000000003</v>
      </c>
      <c r="B54" s="9">
        <v>4.2300000000000004</v>
      </c>
      <c r="C54" s="6">
        <f>B54*16</f>
        <v>67.680000000000007</v>
      </c>
      <c r="D54" s="53"/>
      <c r="E54" s="16"/>
      <c r="F54" s="16"/>
      <c r="G54" s="16"/>
      <c r="H54" s="15"/>
      <c r="I54" s="16"/>
      <c r="J54" s="16"/>
      <c r="K54" s="16"/>
      <c r="L54" s="16"/>
    </row>
    <row r="55" spans="1:12" x14ac:dyDescent="0.3">
      <c r="A55" s="17"/>
      <c r="B55" s="17"/>
      <c r="C55" s="17"/>
      <c r="D55" s="17"/>
      <c r="E55" s="16"/>
      <c r="F55" s="16"/>
      <c r="G55" s="16"/>
      <c r="H55" s="15"/>
      <c r="I55" s="16"/>
      <c r="J55" s="16"/>
      <c r="K55" s="16"/>
      <c r="L55" s="16"/>
    </row>
    <row r="56" spans="1:12" ht="18" x14ac:dyDescent="0.35">
      <c r="A56" s="39" t="s">
        <v>34</v>
      </c>
      <c r="B56" s="40"/>
      <c r="C56" s="40"/>
      <c r="D56" s="40"/>
      <c r="E56" s="40"/>
      <c r="F56" s="40"/>
      <c r="G56" s="41"/>
      <c r="H56" s="15"/>
      <c r="I56" s="16"/>
      <c r="J56" s="16"/>
      <c r="K56" s="16"/>
      <c r="L56" s="16"/>
    </row>
    <row r="57" spans="1:12" x14ac:dyDescent="0.3">
      <c r="A57" s="1" t="s">
        <v>108</v>
      </c>
      <c r="B57" s="13" t="s">
        <v>69</v>
      </c>
      <c r="C57" s="1" t="s">
        <v>45</v>
      </c>
      <c r="D57" s="7" t="s">
        <v>11</v>
      </c>
      <c r="E57" s="7" t="s">
        <v>44</v>
      </c>
      <c r="F57" s="7" t="s">
        <v>36</v>
      </c>
      <c r="G57" s="2" t="s">
        <v>37</v>
      </c>
      <c r="H57" s="15"/>
      <c r="I57" s="16"/>
      <c r="J57" s="16"/>
      <c r="K57" s="16"/>
      <c r="L57" s="16"/>
    </row>
    <row r="58" spans="1:12" x14ac:dyDescent="0.3">
      <c r="A58" s="8">
        <f>E58*TAN(B58*PI()/180)</f>
        <v>887.99789279622325</v>
      </c>
      <c r="B58" s="9">
        <v>20</v>
      </c>
      <c r="C58" s="8">
        <f>E58*TAN(D58*PI()/180)</f>
        <v>887.99789279622325</v>
      </c>
      <c r="D58" s="9">
        <v>20</v>
      </c>
      <c r="E58" s="11">
        <f>2*F58/(G58/1000)</f>
        <v>2439.7541589809098</v>
      </c>
      <c r="F58" s="9">
        <v>237.3636821272527</v>
      </c>
      <c r="G58" s="10">
        <v>194.58</v>
      </c>
      <c r="H58" s="15"/>
      <c r="I58" s="16"/>
      <c r="J58" s="16"/>
      <c r="K58" s="16"/>
      <c r="L58" s="16"/>
    </row>
    <row r="59" spans="1:12" x14ac:dyDescent="0.3">
      <c r="A59" s="17"/>
      <c r="B59" s="17"/>
      <c r="C59" s="17"/>
      <c r="D59" s="17"/>
      <c r="E59" s="17"/>
      <c r="F59" s="17"/>
      <c r="G59" s="17"/>
      <c r="H59" s="15"/>
      <c r="I59" s="16"/>
      <c r="J59" s="16"/>
      <c r="K59" s="16"/>
      <c r="L59" s="16"/>
    </row>
    <row r="60" spans="1:12" ht="18" x14ac:dyDescent="0.35">
      <c r="A60" s="47" t="s">
        <v>68</v>
      </c>
      <c r="B60" s="48"/>
      <c r="C60" s="48"/>
      <c r="D60" s="48"/>
      <c r="E60" s="48"/>
      <c r="F60" s="48"/>
      <c r="G60" s="49"/>
      <c r="H60" s="15"/>
      <c r="I60" s="16"/>
      <c r="J60" s="16"/>
      <c r="K60" s="16"/>
      <c r="L60" s="16"/>
    </row>
    <row r="61" spans="1:12" x14ac:dyDescent="0.3">
      <c r="A61" s="1" t="s">
        <v>85</v>
      </c>
      <c r="B61" s="7" t="s">
        <v>76</v>
      </c>
      <c r="C61" s="7" t="s">
        <v>46</v>
      </c>
      <c r="D61" s="7" t="s">
        <v>86</v>
      </c>
      <c r="E61" s="2" t="s">
        <v>11</v>
      </c>
      <c r="F61" s="56" t="s">
        <v>88</v>
      </c>
      <c r="G61" s="57"/>
      <c r="H61" s="15"/>
      <c r="I61" s="16"/>
      <c r="J61" s="16"/>
      <c r="K61" s="16"/>
      <c r="L61" s="16"/>
    </row>
    <row r="62" spans="1:12" x14ac:dyDescent="0.3">
      <c r="A62" s="8">
        <f>SQRT((B62/2+C62*(1+D62))^2-(B62/2*COS(E62*PI()/180))^2)</f>
        <v>1.4299131263084421</v>
      </c>
      <c r="B62" s="9">
        <v>1</v>
      </c>
      <c r="C62" s="9">
        <v>1</v>
      </c>
      <c r="D62" s="9">
        <v>0</v>
      </c>
      <c r="E62" s="10">
        <v>25</v>
      </c>
      <c r="F62" s="42" t="s">
        <v>89</v>
      </c>
      <c r="G62" s="43"/>
      <c r="H62" s="15"/>
      <c r="I62" s="16"/>
      <c r="J62" s="16"/>
      <c r="K62" s="16"/>
      <c r="L62" s="16"/>
    </row>
    <row r="63" spans="1:12" x14ac:dyDescent="0.3">
      <c r="A63" s="1" t="s">
        <v>84</v>
      </c>
      <c r="B63" s="7" t="s">
        <v>76</v>
      </c>
      <c r="C63" s="7" t="s">
        <v>46</v>
      </c>
      <c r="D63" s="7" t="s">
        <v>70</v>
      </c>
      <c r="E63" s="7" t="s">
        <v>77</v>
      </c>
      <c r="F63" s="7" t="s">
        <v>78</v>
      </c>
      <c r="G63" s="2" t="s">
        <v>80</v>
      </c>
      <c r="H63" s="15"/>
      <c r="I63" s="16"/>
      <c r="J63" s="16"/>
      <c r="K63" s="16"/>
      <c r="L63" s="16"/>
    </row>
    <row r="64" spans="1:12" x14ac:dyDescent="0.3">
      <c r="A64" s="8"/>
      <c r="B64" s="9">
        <v>1</v>
      </c>
      <c r="C64" s="9">
        <v>1</v>
      </c>
      <c r="D64" s="9">
        <v>1</v>
      </c>
      <c r="E64" s="9">
        <v>1</v>
      </c>
      <c r="F64" s="9">
        <v>1</v>
      </c>
      <c r="G64" s="10">
        <v>45</v>
      </c>
      <c r="H64" s="15"/>
      <c r="I64" s="16"/>
      <c r="J64" s="16"/>
      <c r="K64" s="16"/>
      <c r="L64" s="16"/>
    </row>
    <row r="65" spans="1:12" x14ac:dyDescent="0.3">
      <c r="A65" s="1" t="s">
        <v>83</v>
      </c>
      <c r="B65" s="7" t="s">
        <v>79</v>
      </c>
      <c r="C65" s="2" t="s">
        <v>81</v>
      </c>
      <c r="D65" s="2" t="s">
        <v>82</v>
      </c>
      <c r="E65" s="16"/>
      <c r="F65" s="16"/>
      <c r="G65" s="16"/>
      <c r="H65" s="15"/>
      <c r="I65" s="16"/>
      <c r="J65" s="16"/>
      <c r="K65" s="16"/>
      <c r="L65" s="16"/>
    </row>
    <row r="66" spans="1:12" x14ac:dyDescent="0.3">
      <c r="A66" s="8">
        <f>B66*SIN(C66)-D66</f>
        <v>0.35090352453411844</v>
      </c>
      <c r="B66" s="9">
        <v>1</v>
      </c>
      <c r="C66" s="9">
        <v>45</v>
      </c>
      <c r="D66" s="10">
        <v>0.5</v>
      </c>
      <c r="E66" s="16"/>
      <c r="F66" s="16"/>
      <c r="G66" s="16"/>
      <c r="H66" s="15"/>
      <c r="I66" s="16"/>
      <c r="J66" s="16"/>
      <c r="K66" s="16"/>
      <c r="L66" s="16"/>
    </row>
    <row r="67" spans="1:12" ht="23.4" x14ac:dyDescent="0.45">
      <c r="A67" s="12"/>
      <c r="B67" s="12"/>
      <c r="C67" s="12"/>
      <c r="D67" s="12"/>
      <c r="E67" s="12"/>
      <c r="F67" s="12"/>
      <c r="G67" s="12"/>
      <c r="H67" s="15"/>
      <c r="I67" s="16"/>
      <c r="J67" s="16"/>
      <c r="K67" s="16"/>
      <c r="L67" s="16"/>
    </row>
    <row r="68" spans="1:12" ht="23.4" x14ac:dyDescent="0.45">
      <c r="A68" s="38" t="s">
        <v>39</v>
      </c>
      <c r="B68" s="38"/>
      <c r="C68" s="38"/>
      <c r="D68" s="38"/>
      <c r="E68" s="38"/>
      <c r="F68" s="38"/>
      <c r="G68" s="38"/>
      <c r="H68" s="15"/>
      <c r="I68" s="16"/>
      <c r="J68" s="16"/>
      <c r="K68" s="16"/>
      <c r="L68" s="16"/>
    </row>
    <row r="69" spans="1:12" ht="18" x14ac:dyDescent="0.35">
      <c r="A69" s="47" t="s">
        <v>18</v>
      </c>
      <c r="B69" s="48"/>
      <c r="C69" s="48"/>
      <c r="D69" s="48"/>
      <c r="E69" s="48"/>
      <c r="F69" s="48"/>
      <c r="G69" s="49"/>
      <c r="H69" s="15"/>
      <c r="I69" s="16"/>
      <c r="J69" s="16"/>
      <c r="K69" s="16"/>
      <c r="L69" s="16"/>
    </row>
    <row r="70" spans="1:12" x14ac:dyDescent="0.3">
      <c r="A70" s="1" t="s">
        <v>46</v>
      </c>
      <c r="B70" s="7" t="s">
        <v>47</v>
      </c>
      <c r="C70" s="7" t="s">
        <v>4</v>
      </c>
      <c r="D70" s="7" t="s">
        <v>5</v>
      </c>
      <c r="E70" s="2" t="s">
        <v>6</v>
      </c>
      <c r="F70" s="50" t="s">
        <v>26</v>
      </c>
      <c r="G70" s="51"/>
      <c r="H70" s="15"/>
      <c r="I70" s="16"/>
      <c r="J70" s="16"/>
      <c r="K70" s="16"/>
      <c r="L70" s="16"/>
    </row>
    <row r="71" spans="1:12" ht="23.4" x14ac:dyDescent="0.45">
      <c r="A71" s="5">
        <v>0.2</v>
      </c>
      <c r="B71" s="11">
        <f>2.25*A71</f>
        <v>0.45</v>
      </c>
      <c r="C71" s="9">
        <v>1</v>
      </c>
      <c r="D71" s="11">
        <f>C71/B71</f>
        <v>2.2222222222222223</v>
      </c>
      <c r="E71" s="10">
        <f>IF(D71&gt;1.2,1,-2*D71+3.4)</f>
        <v>1</v>
      </c>
      <c r="F71" s="52"/>
      <c r="G71" s="53"/>
      <c r="H71" s="12"/>
      <c r="I71" s="16"/>
      <c r="J71" s="16"/>
      <c r="K71" s="16"/>
      <c r="L71" s="16"/>
    </row>
    <row r="72" spans="1:12" ht="15" customHeight="1" x14ac:dyDescent="0.45">
      <c r="A72" s="17"/>
      <c r="B72" s="17"/>
      <c r="C72" s="17"/>
      <c r="D72" s="17"/>
      <c r="E72" s="16"/>
      <c r="F72" s="16"/>
      <c r="G72" s="16"/>
      <c r="H72" s="14"/>
      <c r="I72" s="16"/>
      <c r="J72" s="16"/>
      <c r="K72" s="16"/>
      <c r="L72" s="16"/>
    </row>
    <row r="73" spans="1:12" ht="15.6" customHeight="1" x14ac:dyDescent="0.35">
      <c r="A73" s="47" t="s">
        <v>9</v>
      </c>
      <c r="B73" s="48"/>
      <c r="C73" s="48"/>
      <c r="D73" s="49"/>
      <c r="E73" s="16"/>
      <c r="F73" s="16"/>
      <c r="G73" s="16"/>
      <c r="H73" s="16"/>
      <c r="I73" s="16"/>
      <c r="J73" s="16"/>
      <c r="K73" s="16"/>
      <c r="L73" s="16"/>
    </row>
    <row r="74" spans="1:12" x14ac:dyDescent="0.3">
      <c r="A74" s="1" t="s">
        <v>58</v>
      </c>
      <c r="B74" s="7" t="s">
        <v>49</v>
      </c>
      <c r="C74" s="7" t="s">
        <v>50</v>
      </c>
      <c r="D74" s="2" t="s">
        <v>51</v>
      </c>
      <c r="E74" s="16"/>
      <c r="F74" s="16"/>
      <c r="G74" s="16"/>
      <c r="H74" s="16"/>
      <c r="I74" s="16"/>
      <c r="J74" s="16"/>
      <c r="K74" s="16"/>
      <c r="L74" s="16"/>
    </row>
    <row r="75" spans="1:12" x14ac:dyDescent="0.3">
      <c r="A75" s="5">
        <v>129.6</v>
      </c>
      <c r="B75" s="9">
        <v>108</v>
      </c>
      <c r="C75" s="11">
        <f>B75/2000*A75</f>
        <v>6.9983999999999993</v>
      </c>
      <c r="D75" s="6" t="s">
        <v>25</v>
      </c>
      <c r="E75" s="16"/>
      <c r="F75" s="16"/>
      <c r="G75" s="16"/>
      <c r="H75" s="16"/>
      <c r="I75" s="16"/>
      <c r="J75" s="16"/>
      <c r="K75" s="16"/>
      <c r="L75" s="16"/>
    </row>
    <row r="76" spans="1:12" x14ac:dyDescent="0.3">
      <c r="A76" s="1" t="s">
        <v>116</v>
      </c>
      <c r="B76" s="7" t="s">
        <v>49</v>
      </c>
      <c r="C76" s="7" t="s">
        <v>50</v>
      </c>
      <c r="D76" s="2" t="s">
        <v>51</v>
      </c>
      <c r="E76" s="16"/>
      <c r="F76" s="16"/>
      <c r="G76" s="16"/>
      <c r="H76" s="16"/>
      <c r="I76" s="16"/>
      <c r="J76" s="16"/>
      <c r="K76" s="16"/>
      <c r="L76" s="16"/>
    </row>
    <row r="77" spans="1:12" x14ac:dyDescent="0.3">
      <c r="A77" s="5">
        <v>3000</v>
      </c>
      <c r="B77" s="10">
        <v>194.58</v>
      </c>
      <c r="C77" s="11">
        <f>B77/2000*(2*PI()*A77)/60</f>
        <v>30.564554926775095</v>
      </c>
      <c r="D77" s="6" t="s">
        <v>25</v>
      </c>
      <c r="E77" s="16"/>
      <c r="F77" s="16"/>
      <c r="G77" s="16"/>
      <c r="H77" s="16"/>
      <c r="I77" s="16"/>
      <c r="J77" s="16"/>
      <c r="K77" s="16"/>
      <c r="L77" s="16"/>
    </row>
    <row r="78" spans="1:12" x14ac:dyDescent="0.3">
      <c r="A78" s="17"/>
      <c r="B78" s="17"/>
      <c r="C78" s="17"/>
      <c r="D78" s="17"/>
      <c r="E78" s="17"/>
      <c r="F78" s="16"/>
      <c r="G78" s="16"/>
      <c r="H78" s="16"/>
      <c r="I78" s="16"/>
      <c r="J78" s="16"/>
      <c r="K78" s="16"/>
      <c r="L78" s="16"/>
    </row>
    <row r="79" spans="1:12" ht="18" x14ac:dyDescent="0.35">
      <c r="A79" s="47" t="s">
        <v>15</v>
      </c>
      <c r="B79" s="48"/>
      <c r="C79" s="48"/>
      <c r="D79" s="48"/>
      <c r="E79" s="49"/>
      <c r="F79" s="16"/>
      <c r="G79" s="16"/>
      <c r="H79" s="16"/>
      <c r="I79" s="16"/>
      <c r="J79" s="16"/>
      <c r="K79" s="16"/>
      <c r="L79" s="16"/>
    </row>
    <row r="80" spans="1:12" x14ac:dyDescent="0.3">
      <c r="A80" s="1" t="s">
        <v>17</v>
      </c>
      <c r="B80" s="7" t="s">
        <v>7</v>
      </c>
      <c r="C80" s="7" t="s">
        <v>8</v>
      </c>
      <c r="D80" s="7" t="s">
        <v>52</v>
      </c>
      <c r="E80" s="2" t="s">
        <v>16</v>
      </c>
      <c r="F80" s="16"/>
      <c r="G80" s="16"/>
      <c r="H80" s="16"/>
      <c r="I80" s="16"/>
      <c r="J80" s="16"/>
      <c r="K80" s="16"/>
      <c r="L80" s="16"/>
    </row>
    <row r="81" spans="1:12" x14ac:dyDescent="0.3">
      <c r="A81" s="5">
        <v>6</v>
      </c>
      <c r="B81" s="11">
        <f>IF(A81&lt;5,1,((12-A81)^(2/3))/4)</f>
        <v>0.82548181222365657</v>
      </c>
      <c r="C81" s="11">
        <f>50+56*(1-B81)</f>
        <v>59.773018515475229</v>
      </c>
      <c r="D81" s="9">
        <v>30.564554926775095</v>
      </c>
      <c r="E81" s="6">
        <f>(C81/(C81+SQRT(200*D81)))^B81</f>
        <v>0.501360662117603</v>
      </c>
      <c r="F81" s="16"/>
      <c r="G81" s="16"/>
      <c r="H81" s="16"/>
      <c r="I81" s="16"/>
      <c r="J81" s="16"/>
      <c r="K81" s="16"/>
      <c r="L81" s="16"/>
    </row>
    <row r="82" spans="1:12" x14ac:dyDescent="0.3">
      <c r="A82" s="17"/>
      <c r="B82" s="17"/>
      <c r="C82" s="17"/>
      <c r="D82" s="17"/>
      <c r="E82" s="17"/>
      <c r="F82" s="17"/>
      <c r="G82" s="17"/>
      <c r="H82" s="16"/>
      <c r="I82" s="16"/>
      <c r="J82" s="16"/>
      <c r="K82" s="16"/>
      <c r="L82" s="16"/>
    </row>
    <row r="83" spans="1:12" ht="18" x14ac:dyDescent="0.35">
      <c r="A83" s="39" t="s">
        <v>65</v>
      </c>
      <c r="B83" s="40"/>
      <c r="C83" s="40"/>
      <c r="D83" s="40"/>
      <c r="E83" s="40"/>
      <c r="F83" s="40"/>
      <c r="G83" s="44" t="s">
        <v>109</v>
      </c>
      <c r="H83" s="16"/>
      <c r="I83" s="16"/>
      <c r="J83" s="16"/>
      <c r="K83" s="16"/>
      <c r="L83" s="16"/>
    </row>
    <row r="84" spans="1:12" x14ac:dyDescent="0.3">
      <c r="A84" s="1" t="s">
        <v>66</v>
      </c>
      <c r="B84" s="7" t="s">
        <v>11</v>
      </c>
      <c r="C84" s="2" t="s">
        <v>82</v>
      </c>
      <c r="D84" s="2" t="s">
        <v>87</v>
      </c>
      <c r="E84" s="7" t="s">
        <v>3</v>
      </c>
      <c r="F84" s="2" t="s">
        <v>67</v>
      </c>
      <c r="G84" s="45"/>
      <c r="H84" s="16"/>
      <c r="I84" s="16"/>
      <c r="J84" s="16"/>
      <c r="K84" s="16"/>
      <c r="L84" s="16"/>
    </row>
    <row r="85" spans="1:12" x14ac:dyDescent="0.3">
      <c r="A85" s="8">
        <f>COS(B85)/((1/C85)+(1/D85)*E85*F85)</f>
        <v>3.9753467131219453E-2</v>
      </c>
      <c r="B85" s="9">
        <v>25</v>
      </c>
      <c r="C85" s="9">
        <v>1.4299131263084421</v>
      </c>
      <c r="D85" s="9">
        <v>0.35090352453411844</v>
      </c>
      <c r="E85" s="9">
        <v>8.5039370078740166</v>
      </c>
      <c r="F85" s="10">
        <v>1</v>
      </c>
      <c r="G85" s="46"/>
      <c r="H85" s="16"/>
      <c r="I85" s="16"/>
      <c r="J85" s="16"/>
      <c r="K85" s="16"/>
      <c r="L85" s="16"/>
    </row>
    <row r="86" spans="1:12" ht="23.4" x14ac:dyDescent="0.45">
      <c r="A86" s="54"/>
      <c r="B86" s="54"/>
      <c r="C86" s="54"/>
      <c r="D86" s="54"/>
      <c r="E86" s="54"/>
      <c r="F86" s="54"/>
      <c r="G86" s="54"/>
      <c r="H86" s="16"/>
      <c r="I86" s="16"/>
      <c r="J86" s="16"/>
      <c r="K86" s="16"/>
      <c r="L86" s="16"/>
    </row>
    <row r="87" spans="1:12" ht="23.4" x14ac:dyDescent="0.45">
      <c r="A87" s="38" t="s">
        <v>40</v>
      </c>
      <c r="B87" s="38"/>
      <c r="C87" s="38"/>
      <c r="D87" s="38"/>
      <c r="E87" s="38"/>
      <c r="F87" s="38"/>
      <c r="G87" s="38"/>
      <c r="H87" s="16"/>
      <c r="I87" s="16"/>
      <c r="J87" s="16"/>
      <c r="K87" s="16"/>
      <c r="L87" s="16"/>
    </row>
    <row r="88" spans="1:12" ht="18" x14ac:dyDescent="0.35">
      <c r="A88" s="47" t="s">
        <v>59</v>
      </c>
      <c r="B88" s="48"/>
      <c r="C88" s="48"/>
      <c r="D88" s="48"/>
      <c r="E88" s="48"/>
      <c r="F88" s="48"/>
      <c r="G88" s="49"/>
      <c r="H88" s="16"/>
      <c r="I88" s="16"/>
      <c r="J88" s="16"/>
      <c r="K88" s="16"/>
      <c r="L88" s="16"/>
    </row>
    <row r="89" spans="1:12" x14ac:dyDescent="0.3">
      <c r="A89" s="1" t="s">
        <v>60</v>
      </c>
      <c r="B89" s="7" t="s">
        <v>43</v>
      </c>
      <c r="C89" s="7" t="s">
        <v>41</v>
      </c>
      <c r="D89" s="2" t="s">
        <v>42</v>
      </c>
      <c r="E89" s="16"/>
      <c r="F89" s="16"/>
      <c r="G89" s="18"/>
      <c r="H89" s="16"/>
      <c r="I89" s="16"/>
      <c r="J89" s="16"/>
      <c r="K89" s="16"/>
      <c r="L89" s="16"/>
    </row>
    <row r="90" spans="1:12" ht="14.4" customHeight="1" x14ac:dyDescent="0.3">
      <c r="A90" s="8">
        <f>(B90*B92*C92*D92*E92*F92)/(C90*D90*A92*G92)</f>
        <v>86.689254955728273</v>
      </c>
      <c r="B90" s="9">
        <v>2439.7541589809098</v>
      </c>
      <c r="C90" s="9">
        <v>67.680000000000007</v>
      </c>
      <c r="D90" s="9">
        <v>4.2300000000000004</v>
      </c>
      <c r="E90" s="19"/>
      <c r="F90" s="19"/>
      <c r="G90" s="20"/>
      <c r="H90" s="16"/>
      <c r="I90" s="16"/>
      <c r="J90" s="16"/>
      <c r="K90" s="16"/>
      <c r="L90" s="16"/>
    </row>
    <row r="91" spans="1:12" ht="14.4" customHeight="1" x14ac:dyDescent="0.3">
      <c r="A91" s="7" t="s">
        <v>28</v>
      </c>
      <c r="B91" s="7" t="s">
        <v>29</v>
      </c>
      <c r="C91" s="7" t="s">
        <v>30</v>
      </c>
      <c r="D91" s="7" t="s">
        <v>31</v>
      </c>
      <c r="E91" s="7" t="s">
        <v>32</v>
      </c>
      <c r="F91" s="7" t="s">
        <v>33</v>
      </c>
      <c r="G91" s="2" t="s">
        <v>16</v>
      </c>
      <c r="H91" s="16"/>
      <c r="I91" s="16"/>
      <c r="J91" s="16"/>
      <c r="K91" s="16"/>
      <c r="L91" s="16"/>
    </row>
    <row r="92" spans="1:12" x14ac:dyDescent="0.3">
      <c r="A92" s="9">
        <v>0.5</v>
      </c>
      <c r="B92" s="9">
        <v>1.5</v>
      </c>
      <c r="C92" s="9">
        <v>1.7</v>
      </c>
      <c r="D92" s="9">
        <v>1</v>
      </c>
      <c r="E92" s="9">
        <v>1</v>
      </c>
      <c r="F92" s="9">
        <v>1</v>
      </c>
      <c r="G92" s="10">
        <v>0.501360662117603</v>
      </c>
      <c r="H92" s="16"/>
      <c r="I92" s="16"/>
      <c r="J92" s="16"/>
      <c r="K92" s="16"/>
      <c r="L92" s="16"/>
    </row>
    <row r="93" spans="1:12" x14ac:dyDescent="0.3">
      <c r="A93" s="17"/>
      <c r="B93" s="17"/>
      <c r="C93" s="17"/>
      <c r="D93" s="17"/>
      <c r="E93" s="17"/>
      <c r="F93" s="17"/>
      <c r="G93" s="17"/>
      <c r="H93" s="16"/>
      <c r="I93" s="16"/>
      <c r="J93" s="16"/>
      <c r="K93" s="16"/>
      <c r="L93" s="16"/>
    </row>
    <row r="94" spans="1:12" ht="18" x14ac:dyDescent="0.35">
      <c r="A94" s="47" t="s">
        <v>61</v>
      </c>
      <c r="B94" s="48"/>
      <c r="C94" s="48"/>
      <c r="D94" s="48"/>
      <c r="E94" s="48"/>
      <c r="F94" s="48"/>
      <c r="G94" s="49"/>
      <c r="H94" s="16"/>
      <c r="I94" s="16"/>
      <c r="J94" s="16"/>
      <c r="K94" s="16"/>
      <c r="L94" s="16"/>
    </row>
    <row r="95" spans="1:12" ht="23.4" x14ac:dyDescent="0.45">
      <c r="A95" s="1" t="s">
        <v>60</v>
      </c>
      <c r="B95" s="7" t="s">
        <v>43</v>
      </c>
      <c r="C95" s="7" t="s">
        <v>41</v>
      </c>
      <c r="D95" s="2" t="s">
        <v>35</v>
      </c>
      <c r="E95" s="16"/>
      <c r="F95" s="16"/>
      <c r="G95" s="18"/>
      <c r="H95" s="12"/>
      <c r="I95" s="16"/>
      <c r="J95" s="16"/>
      <c r="K95" s="16"/>
      <c r="L95" s="16"/>
    </row>
    <row r="96" spans="1:12" x14ac:dyDescent="0.3">
      <c r="A96" s="8">
        <f>A98*SQRT(B96*C98*D98*E98*F98/(C96*D96*B98*G98))</f>
        <v>586.30296275455942</v>
      </c>
      <c r="B96" s="9">
        <v>2439.7541589809098</v>
      </c>
      <c r="C96" s="9">
        <v>67.680000000000007</v>
      </c>
      <c r="D96" s="10">
        <v>194.58</v>
      </c>
      <c r="E96" s="16"/>
      <c r="F96" s="16"/>
      <c r="G96" s="18"/>
      <c r="H96" s="15"/>
      <c r="I96" s="16"/>
      <c r="J96" s="16"/>
      <c r="K96" s="16"/>
      <c r="L96" s="16"/>
    </row>
    <row r="97" spans="1:12" x14ac:dyDescent="0.3">
      <c r="A97" s="1" t="s">
        <v>62</v>
      </c>
      <c r="B97" s="7" t="s">
        <v>63</v>
      </c>
      <c r="C97" s="7" t="s">
        <v>29</v>
      </c>
      <c r="D97" s="7" t="s">
        <v>30</v>
      </c>
      <c r="E97" s="7" t="s">
        <v>31</v>
      </c>
      <c r="F97" s="7" t="s">
        <v>64</v>
      </c>
      <c r="G97" s="2" t="s">
        <v>16</v>
      </c>
      <c r="H97" s="15"/>
      <c r="I97" s="16"/>
      <c r="J97" s="16"/>
      <c r="K97" s="16"/>
      <c r="L97" s="16"/>
    </row>
    <row r="98" spans="1:12" x14ac:dyDescent="0.3">
      <c r="A98" s="5">
        <v>191</v>
      </c>
      <c r="B98" s="9">
        <v>0.1</v>
      </c>
      <c r="C98" s="9">
        <v>1.5</v>
      </c>
      <c r="D98" s="9">
        <v>1.7</v>
      </c>
      <c r="E98" s="9">
        <v>1</v>
      </c>
      <c r="F98" s="9">
        <v>1</v>
      </c>
      <c r="G98" s="10">
        <v>0.501360662117603</v>
      </c>
      <c r="H98" s="15"/>
      <c r="I98" s="16"/>
      <c r="J98" s="16"/>
      <c r="K98" s="16"/>
      <c r="L98" s="16"/>
    </row>
    <row r="99" spans="1:12" ht="23.4" x14ac:dyDescent="0.45">
      <c r="A99" s="12"/>
      <c r="B99" s="12"/>
      <c r="C99" s="12"/>
      <c r="D99" s="12"/>
      <c r="E99" s="12"/>
      <c r="F99" s="12"/>
      <c r="G99" s="12"/>
      <c r="H99" s="15"/>
      <c r="I99" s="16"/>
      <c r="J99" s="16"/>
      <c r="K99" s="16"/>
      <c r="L99" s="16"/>
    </row>
    <row r="100" spans="1:12" ht="23.4" x14ac:dyDescent="0.45">
      <c r="A100" s="62" t="s">
        <v>90</v>
      </c>
      <c r="B100" s="62"/>
      <c r="C100" s="62"/>
      <c r="D100" s="62"/>
      <c r="E100" s="62"/>
      <c r="F100" s="62"/>
      <c r="G100" s="12"/>
      <c r="H100" s="15"/>
      <c r="I100" s="16"/>
      <c r="J100" s="16"/>
      <c r="K100" s="16"/>
      <c r="L100" s="16"/>
    </row>
    <row r="101" spans="1:12" ht="18" x14ac:dyDescent="0.35">
      <c r="A101" s="39" t="s">
        <v>91</v>
      </c>
      <c r="B101" s="40"/>
      <c r="C101" s="40"/>
      <c r="D101" s="40"/>
      <c r="E101" s="41"/>
      <c r="F101" s="16"/>
      <c r="G101" s="16"/>
      <c r="H101" s="16"/>
      <c r="I101" s="16"/>
      <c r="J101" s="16"/>
      <c r="K101" s="16"/>
      <c r="L101" s="16"/>
    </row>
    <row r="102" spans="1:12" x14ac:dyDescent="0.3">
      <c r="A102" s="1" t="s">
        <v>100</v>
      </c>
      <c r="B102" s="7" t="s">
        <v>99</v>
      </c>
      <c r="C102" s="7" t="s">
        <v>101</v>
      </c>
      <c r="D102" s="7" t="s">
        <v>102</v>
      </c>
      <c r="E102" s="2" t="s">
        <v>103</v>
      </c>
      <c r="F102" s="16"/>
      <c r="G102" s="16"/>
      <c r="H102" s="16"/>
      <c r="I102" s="16"/>
      <c r="J102" s="16"/>
      <c r="K102" s="16"/>
      <c r="L102" s="16"/>
    </row>
    <row r="103" spans="1:12" x14ac:dyDescent="0.3">
      <c r="A103" s="8">
        <f>B103*C103/(D103*E103)</f>
        <v>1170</v>
      </c>
      <c r="B103" s="9">
        <v>1300</v>
      </c>
      <c r="C103" s="9">
        <v>0.9</v>
      </c>
      <c r="D103" s="9">
        <v>1</v>
      </c>
      <c r="E103" s="10">
        <v>1</v>
      </c>
      <c r="F103" s="16"/>
      <c r="G103" s="16"/>
      <c r="H103" s="16"/>
      <c r="I103" s="16"/>
      <c r="J103" s="16"/>
      <c r="K103" s="16"/>
      <c r="L103" s="16"/>
    </row>
    <row r="104" spans="1:12" x14ac:dyDescent="0.3">
      <c r="A104" s="17"/>
      <c r="B104" s="17"/>
      <c r="C104" s="17"/>
      <c r="D104" s="17"/>
      <c r="E104" s="17"/>
      <c r="F104" s="17"/>
      <c r="G104" s="16"/>
      <c r="H104" s="16"/>
      <c r="I104" s="16"/>
      <c r="J104" s="16"/>
      <c r="K104" s="16"/>
      <c r="L104" s="16"/>
    </row>
    <row r="105" spans="1:12" ht="18" x14ac:dyDescent="0.35">
      <c r="A105" s="39" t="s">
        <v>92</v>
      </c>
      <c r="B105" s="40"/>
      <c r="C105" s="40"/>
      <c r="D105" s="40"/>
      <c r="E105" s="40"/>
      <c r="F105" s="41"/>
      <c r="G105" s="16"/>
      <c r="H105" s="16"/>
      <c r="I105" s="16"/>
      <c r="J105" s="16"/>
      <c r="K105" s="16"/>
      <c r="L105" s="16"/>
    </row>
    <row r="106" spans="1:12" x14ac:dyDescent="0.3">
      <c r="A106" s="1" t="s">
        <v>93</v>
      </c>
      <c r="B106" s="7" t="s">
        <v>94</v>
      </c>
      <c r="C106" s="7" t="s">
        <v>97</v>
      </c>
      <c r="D106" s="7" t="s">
        <v>98</v>
      </c>
      <c r="E106" s="7" t="s">
        <v>95</v>
      </c>
      <c r="F106" s="2" t="s">
        <v>96</v>
      </c>
      <c r="G106" s="16"/>
      <c r="H106" s="16"/>
      <c r="I106" s="16"/>
      <c r="J106" s="16"/>
      <c r="K106" s="16"/>
      <c r="L106" s="16"/>
    </row>
    <row r="107" spans="1:12" x14ac:dyDescent="0.3">
      <c r="A107" s="8">
        <f>B107*C107*D107/(E107*F107)</f>
        <v>650</v>
      </c>
      <c r="B107" s="9">
        <v>450</v>
      </c>
      <c r="C107" s="9">
        <v>1</v>
      </c>
      <c r="D107" s="9">
        <v>1.3</v>
      </c>
      <c r="E107" s="9">
        <v>1</v>
      </c>
      <c r="F107" s="10">
        <v>0.9</v>
      </c>
      <c r="G107" s="16"/>
      <c r="H107" s="16"/>
      <c r="I107" s="16"/>
      <c r="J107" s="16"/>
      <c r="K107" s="16"/>
      <c r="L107" s="16"/>
    </row>
    <row r="108" spans="1:12" ht="23.4" x14ac:dyDescent="0.45">
      <c r="A108" s="54"/>
      <c r="B108" s="54"/>
      <c r="C108" s="54"/>
      <c r="D108" s="54"/>
      <c r="E108" s="54"/>
      <c r="F108" s="54"/>
      <c r="G108" s="16"/>
      <c r="H108" s="16"/>
      <c r="I108" s="16"/>
      <c r="J108" s="16"/>
      <c r="K108" s="16"/>
      <c r="L108" s="16"/>
    </row>
    <row r="109" spans="1:12" x14ac:dyDescent="0.3">
      <c r="A109" s="63">
        <f>A107/A96</f>
        <v>1.1086418478019966</v>
      </c>
    </row>
  </sheetData>
  <mergeCells count="31">
    <mergeCell ref="A108:F108"/>
    <mergeCell ref="A101:E101"/>
    <mergeCell ref="A105:F105"/>
    <mergeCell ref="A88:G88"/>
    <mergeCell ref="A94:G94"/>
    <mergeCell ref="A100:F100"/>
    <mergeCell ref="A1:C1"/>
    <mergeCell ref="A60:G60"/>
    <mergeCell ref="F61:G61"/>
    <mergeCell ref="A22:C22"/>
    <mergeCell ref="A34:D34"/>
    <mergeCell ref="G1:H1"/>
    <mergeCell ref="A3:B3"/>
    <mergeCell ref="A56:G56"/>
    <mergeCell ref="E34:G34"/>
    <mergeCell ref="D52:D54"/>
    <mergeCell ref="A52:C52"/>
    <mergeCell ref="A2:B2"/>
    <mergeCell ref="A87:G87"/>
    <mergeCell ref="A68:G68"/>
    <mergeCell ref="A21:C21"/>
    <mergeCell ref="A40:H40"/>
    <mergeCell ref="A46:K46"/>
    <mergeCell ref="F62:G62"/>
    <mergeCell ref="A83:F83"/>
    <mergeCell ref="G83:G85"/>
    <mergeCell ref="A69:G69"/>
    <mergeCell ref="F70:G71"/>
    <mergeCell ref="A86:G86"/>
    <mergeCell ref="A79:E79"/>
    <mergeCell ref="A73:D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Gross Sánchez</dc:creator>
  <cp:lastModifiedBy>Ian Gross Sánchez</cp:lastModifiedBy>
  <dcterms:created xsi:type="dcterms:W3CDTF">2025-04-03T13:41:47Z</dcterms:created>
  <dcterms:modified xsi:type="dcterms:W3CDTF">2025-04-16T18:17:10Z</dcterms:modified>
</cp:coreProperties>
</file>