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744194D6-9A7B-49E8-BB2B-7D9DC66B67A5}" xr6:coauthVersionLast="47" xr6:coauthVersionMax="47" xr10:uidLastSave="{00000000-0000-0000-0000-000000000000}"/>
  <bookViews>
    <workbookView xWindow="-108" yWindow="-108" windowWidth="23256" windowHeight="12456" tabRatio="808" firstSheet="1" activeTab="9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P&amp;L" sheetId="7" r:id="rId6"/>
    <sheet name="M3" sheetId="8" r:id="rId7"/>
    <sheet name="Variance" sheetId="9" r:id="rId8"/>
    <sheet name="Correlation" sheetId="10" r:id="rId9"/>
    <sheet name="INDEX MATCH Functions" sheetId="12" r:id="rId10"/>
    <sheet name="INDEX MATCH Master Emp List" sheetId="13" r:id="rId11"/>
  </sheets>
  <definedNames>
    <definedName name="_xlnm._FilterDatabase" localSheetId="10" hidden="1">'INDEX MATCH Master Emp List'!$A$1:$I$38</definedName>
    <definedName name="Gross_Margin">#REF!</definedName>
    <definedName name="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2" l="1"/>
  <c r="D6" i="12"/>
  <c r="D7" i="12"/>
  <c r="D8" i="12"/>
  <c r="D9" i="12"/>
  <c r="D4" i="12"/>
  <c r="C5" i="12"/>
  <c r="C4" i="12"/>
  <c r="C6" i="12"/>
  <c r="N10" i="10"/>
  <c r="J10" i="10"/>
  <c r="F8" i="10"/>
  <c r="B8" i="10"/>
  <c r="J39" i="1"/>
  <c r="J38" i="1"/>
  <c r="J36" i="1"/>
  <c r="J35" i="1"/>
  <c r="J33" i="1" a="1"/>
  <c r="J33" i="1" s="1"/>
  <c r="J32" i="1"/>
  <c r="J31" i="1"/>
  <c r="K18" i="9"/>
  <c r="K17" i="9"/>
  <c r="J18" i="9"/>
  <c r="J17" i="9"/>
  <c r="N37" i="9"/>
  <c r="N36" i="9"/>
  <c r="I37" i="9"/>
  <c r="I36" i="9"/>
  <c r="N34" i="9"/>
  <c r="I34" i="9"/>
  <c r="N33" i="9"/>
  <c r="I33" i="9"/>
  <c r="N32" i="9"/>
  <c r="I32" i="9"/>
  <c r="O30" i="9"/>
  <c r="P30" i="9" s="1"/>
  <c r="K30" i="9"/>
  <c r="J30" i="9"/>
  <c r="O29" i="9"/>
  <c r="P29" i="9" s="1"/>
  <c r="J29" i="9"/>
  <c r="K29" i="9" s="1"/>
  <c r="O28" i="9"/>
  <c r="P28" i="9" s="1"/>
  <c r="J28" i="9"/>
  <c r="K28" i="9" s="1"/>
  <c r="O27" i="9"/>
  <c r="P27" i="9" s="1"/>
  <c r="J27" i="9"/>
  <c r="K27" i="9" s="1"/>
  <c r="P26" i="9"/>
  <c r="O26" i="9"/>
  <c r="K26" i="9"/>
  <c r="J26" i="9"/>
  <c r="P25" i="9"/>
  <c r="O25" i="9"/>
  <c r="J25" i="9"/>
  <c r="K25" i="9" s="1"/>
  <c r="O24" i="9"/>
  <c r="P24" i="9" s="1"/>
  <c r="J24" i="9"/>
  <c r="K24" i="9" s="1"/>
  <c r="O23" i="9"/>
  <c r="P23" i="9" s="1"/>
  <c r="J23" i="9"/>
  <c r="K23" i="9" s="1"/>
  <c r="N18" i="9"/>
  <c r="N17" i="9"/>
  <c r="I18" i="9"/>
  <c r="I17" i="9"/>
  <c r="P15" i="9"/>
  <c r="K15" i="9"/>
  <c r="P14" i="9"/>
  <c r="K14" i="9"/>
  <c r="P13" i="9"/>
  <c r="K13" i="9"/>
  <c r="P4" i="9"/>
  <c r="P5" i="9"/>
  <c r="P6" i="9"/>
  <c r="P7" i="9"/>
  <c r="P8" i="9"/>
  <c r="P9" i="9"/>
  <c r="P10" i="9"/>
  <c r="P3" i="9"/>
  <c r="K4" i="9"/>
  <c r="K5" i="9"/>
  <c r="K6" i="9"/>
  <c r="K7" i="9"/>
  <c r="K8" i="9"/>
  <c r="K9" i="9"/>
  <c r="K10" i="9"/>
  <c r="K3" i="9"/>
  <c r="O4" i="9"/>
  <c r="O5" i="9"/>
  <c r="O6" i="9"/>
  <c r="O7" i="9"/>
  <c r="O8" i="9"/>
  <c r="O9" i="9"/>
  <c r="O10" i="9"/>
  <c r="O3" i="9"/>
  <c r="J10" i="9"/>
  <c r="J7" i="9"/>
  <c r="J4" i="9"/>
  <c r="J5" i="9"/>
  <c r="J6" i="9"/>
  <c r="J8" i="9"/>
  <c r="J9" i="9"/>
  <c r="J3" i="9"/>
  <c r="N12" i="9"/>
  <c r="I12" i="9"/>
  <c r="E3" i="9"/>
  <c r="E4" i="9"/>
  <c r="E5" i="9"/>
  <c r="E6" i="9"/>
  <c r="E2" i="9"/>
  <c r="D4" i="9"/>
  <c r="D5" i="9"/>
  <c r="D6" i="9"/>
  <c r="D3" i="9"/>
  <c r="D2" i="9"/>
  <c r="G4" i="10"/>
  <c r="G5" i="10"/>
  <c r="G6" i="10"/>
  <c r="G3" i="10"/>
  <c r="C5" i="9"/>
  <c r="B1" i="9"/>
  <c r="A2" i="9"/>
  <c r="A3" i="9"/>
  <c r="A4" i="9"/>
  <c r="A6" i="9"/>
  <c r="A1" i="9"/>
  <c r="E15" i="8" a="1"/>
  <c r="E15" i="8" s="1"/>
  <c r="D15" i="8" a="1"/>
  <c r="D15" i="8" s="1"/>
  <c r="C15" i="8" a="1"/>
  <c r="C15" i="8" s="1"/>
  <c r="D14" i="8"/>
  <c r="E14" i="8"/>
  <c r="C14" i="8"/>
  <c r="D13" i="8"/>
  <c r="E13" i="8"/>
  <c r="C13" i="8"/>
  <c r="J26" i="1"/>
  <c r="B22" i="1"/>
  <c r="J25" i="1"/>
  <c r="I3" i="1" a="1"/>
  <c r="I3" i="1" s="1"/>
  <c r="J3" i="1" a="1"/>
  <c r="J3" i="1" s="1"/>
  <c r="K3" i="1" a="1"/>
  <c r="K3" i="1" s="1"/>
  <c r="I4" i="1" a="1"/>
  <c r="I4" i="1" s="1"/>
  <c r="J4" i="1" a="1"/>
  <c r="J4" i="1" s="1"/>
  <c r="K4" i="1" a="1"/>
  <c r="K4" i="1" s="1"/>
  <c r="O4" i="1" s="1"/>
  <c r="I5" i="1" a="1"/>
  <c r="I5" i="1" s="1"/>
  <c r="M5" i="1" s="1"/>
  <c r="K5" i="1" a="1"/>
  <c r="K5" i="1" s="1"/>
  <c r="I6" i="1" a="1"/>
  <c r="I6" i="1" s="1"/>
  <c r="J6" i="1" a="1"/>
  <c r="J6" i="1" s="1"/>
  <c r="K6" i="1" a="1"/>
  <c r="K6" i="1" s="1"/>
  <c r="I7" i="1" a="1"/>
  <c r="I7" i="1" s="1"/>
  <c r="J7" i="1" a="1"/>
  <c r="J7" i="1" s="1"/>
  <c r="K7" i="1" a="1"/>
  <c r="K7" i="1" s="1"/>
  <c r="I8" i="1" a="1"/>
  <c r="I8" i="1" s="1"/>
  <c r="J8" i="1" a="1"/>
  <c r="J8" i="1" s="1"/>
  <c r="K8" i="1" a="1"/>
  <c r="K8" i="1" s="1"/>
  <c r="I9" i="1" a="1"/>
  <c r="I9" i="1" s="1"/>
  <c r="J9" i="1" a="1"/>
  <c r="J9" i="1" s="1"/>
  <c r="K9" i="1" a="1"/>
  <c r="K9" i="1" s="1"/>
  <c r="I10" i="1" a="1"/>
  <c r="I10" i="1" s="1"/>
  <c r="J10" i="1" a="1"/>
  <c r="J10" i="1" s="1"/>
  <c r="K10" i="1" a="1"/>
  <c r="K10" i="1" s="1"/>
  <c r="I11" i="1" a="1"/>
  <c r="I11" i="1" s="1"/>
  <c r="J11" i="1" a="1"/>
  <c r="J11" i="1" s="1"/>
  <c r="K11" i="1" a="1"/>
  <c r="K11" i="1" s="1"/>
  <c r="I12" i="1" a="1"/>
  <c r="I12" i="1" s="1"/>
  <c r="J12" i="1" a="1"/>
  <c r="J12" i="1" s="1"/>
  <c r="K12" i="1" a="1"/>
  <c r="K12" i="1" s="1"/>
  <c r="I13" i="1" a="1"/>
  <c r="I13" i="1" s="1"/>
  <c r="M13" i="1" s="1"/>
  <c r="K13" i="1" a="1"/>
  <c r="K13" i="1" s="1"/>
  <c r="I14" i="1" a="1"/>
  <c r="I14" i="1" s="1"/>
  <c r="J14" i="1" a="1"/>
  <c r="J14" i="1" s="1"/>
  <c r="K14" i="1" a="1"/>
  <c r="K14" i="1" s="1"/>
  <c r="I15" i="1" a="1"/>
  <c r="I15" i="1" s="1"/>
  <c r="J15" i="1" a="1"/>
  <c r="J15" i="1" s="1"/>
  <c r="K15" i="1" a="1"/>
  <c r="K15" i="1" s="1"/>
  <c r="I16" i="1" a="1"/>
  <c r="I16" i="1" s="1"/>
  <c r="J16" i="1" a="1"/>
  <c r="J16" i="1" s="1"/>
  <c r="K16" i="1" a="1"/>
  <c r="K16" i="1" s="1"/>
  <c r="O16" i="1" s="1"/>
  <c r="I17" i="1" a="1"/>
  <c r="I17" i="1" s="1"/>
  <c r="J17" i="1" a="1"/>
  <c r="J17" i="1" s="1"/>
  <c r="K17" i="1" a="1"/>
  <c r="K17" i="1" s="1"/>
  <c r="I18" i="1" a="1"/>
  <c r="I18" i="1" s="1"/>
  <c r="J18" i="1" a="1"/>
  <c r="J18" i="1" s="1"/>
  <c r="K18" i="1" a="1"/>
  <c r="K18" i="1" s="1"/>
  <c r="I19" i="1" a="1"/>
  <c r="I19" i="1" s="1"/>
  <c r="J19" i="1" a="1"/>
  <c r="J19" i="1" s="1"/>
  <c r="K19" i="1" a="1"/>
  <c r="K19" i="1" s="1"/>
  <c r="I20" i="1" a="1"/>
  <c r="I20" i="1" s="1"/>
  <c r="J20" i="1" a="1"/>
  <c r="J20" i="1" s="1"/>
  <c r="K20" i="1" a="1"/>
  <c r="K20" i="1" s="1"/>
  <c r="I21" i="1" a="1"/>
  <c r="I21" i="1" s="1"/>
  <c r="J21" i="1" a="1"/>
  <c r="J21" i="1" s="1"/>
  <c r="K21" i="1" a="1"/>
  <c r="K21" i="1" s="1"/>
  <c r="J2" i="1" a="1"/>
  <c r="J2" i="1" s="1"/>
  <c r="K2" i="1" a="1"/>
  <c r="K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L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L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O21" i="1" l="1"/>
  <c r="O10" i="1"/>
  <c r="O15" i="1"/>
  <c r="O11" i="1"/>
  <c r="O14" i="1"/>
  <c r="O3" i="1"/>
  <c r="O19" i="1"/>
  <c r="O8" i="1"/>
  <c r="O13" i="1"/>
  <c r="O12" i="1"/>
  <c r="O18" i="1"/>
  <c r="O7" i="1"/>
  <c r="O20" i="1"/>
  <c r="O9" i="1"/>
  <c r="O2" i="1"/>
  <c r="O5" i="1"/>
  <c r="N17" i="1"/>
  <c r="O6" i="1"/>
  <c r="O17" i="1"/>
  <c r="N16" i="1"/>
  <c r="N6" i="1"/>
  <c r="N12" i="1"/>
  <c r="N14" i="1"/>
  <c r="N13" i="1"/>
  <c r="N2" i="1"/>
  <c r="L10" i="1"/>
  <c r="N4" i="1"/>
  <c r="N15" i="1"/>
  <c r="N20" i="1"/>
  <c r="M15" i="1"/>
  <c r="N9" i="1"/>
  <c r="N3" i="1"/>
  <c r="N19" i="1"/>
  <c r="N8" i="1"/>
  <c r="N18" i="1"/>
  <c r="N7" i="1"/>
  <c r="N5" i="1"/>
  <c r="N11" i="1"/>
  <c r="N21" i="1"/>
  <c r="N10" i="1"/>
  <c r="L14" i="1"/>
  <c r="M16" i="1"/>
  <c r="L21" i="1"/>
  <c r="M14" i="1"/>
  <c r="L8" i="1"/>
  <c r="M12" i="1"/>
  <c r="M17" i="1"/>
  <c r="M6" i="1"/>
  <c r="L20" i="1"/>
  <c r="L9" i="1"/>
  <c r="L4" i="1"/>
  <c r="L12" i="1"/>
  <c r="L19" i="1"/>
  <c r="L3" i="1"/>
  <c r="M8" i="1"/>
  <c r="M7" i="1"/>
  <c r="M11" i="1"/>
  <c r="L17" i="1"/>
  <c r="M9" i="1"/>
  <c r="L16" i="1"/>
  <c r="M10" i="1"/>
  <c r="L18" i="1"/>
  <c r="L7" i="1"/>
  <c r="M21" i="1"/>
  <c r="M20" i="1"/>
  <c r="M4" i="1"/>
  <c r="M19" i="1"/>
  <c r="M3" i="1"/>
  <c r="L15" i="1"/>
  <c r="L2" i="1"/>
  <c r="L11" i="1"/>
  <c r="L6" i="1"/>
  <c r="M18" i="1"/>
  <c r="M2" i="1"/>
  <c r="B30" i="1" l="1"/>
  <c r="B27" i="1"/>
  <c r="B3" i="9" s="1"/>
  <c r="B29" i="1"/>
  <c r="B26" i="1"/>
  <c r="O22" i="1"/>
  <c r="J27" i="1"/>
  <c r="J28" i="1" s="1"/>
  <c r="N22" i="1"/>
  <c r="B2" i="9" l="1"/>
  <c r="B31" i="1"/>
  <c r="B6" i="9" s="1"/>
  <c r="B28" i="1"/>
  <c r="B4" i="9" s="1"/>
  <c r="B5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<sst xmlns="http://schemas.openxmlformats.org/spreadsheetml/2006/main" count="476" uniqueCount="264">
  <si>
    <t>movie_id</t>
  </si>
  <si>
    <t>title</t>
  </si>
  <si>
    <t>industry</t>
  </si>
  <si>
    <t>release_year</t>
  </si>
  <si>
    <t>imdb_rating</t>
  </si>
  <si>
    <t>studio</t>
  </si>
  <si>
    <t>language_id</t>
  </si>
  <si>
    <t>budget</t>
  </si>
  <si>
    <t>revenue</t>
  </si>
  <si>
    <t>unit</t>
  </si>
  <si>
    <t>currency</t>
  </si>
  <si>
    <t>Movie 20</t>
  </si>
  <si>
    <t>Bollywood</t>
  </si>
  <si>
    <t>Hollywood</t>
  </si>
  <si>
    <t>Studio A</t>
  </si>
  <si>
    <t>Studio B</t>
  </si>
  <si>
    <t>Studio C</t>
  </si>
  <si>
    <t>Studio D</t>
  </si>
  <si>
    <t>Studio E</t>
  </si>
  <si>
    <t>Millions</t>
  </si>
  <si>
    <t>INR</t>
  </si>
  <si>
    <t>USD</t>
  </si>
  <si>
    <t>actor_id</t>
  </si>
  <si>
    <t>name</t>
  </si>
  <si>
    <t>birth_year</t>
  </si>
  <si>
    <t>Actor A</t>
  </si>
  <si>
    <t>Actor B</t>
  </si>
  <si>
    <t>Actor C</t>
  </si>
  <si>
    <t>Actor D</t>
  </si>
  <si>
    <t>Actor E</t>
  </si>
  <si>
    <t>English</t>
  </si>
  <si>
    <t>Hindi</t>
  </si>
  <si>
    <t>Kannada</t>
  </si>
  <si>
    <t>Tamil</t>
  </si>
  <si>
    <t>Telugu</t>
  </si>
  <si>
    <t>K.G.F: Chapter 2</t>
  </si>
  <si>
    <t>Doctor Strange in the Multiverse of Madness</t>
  </si>
  <si>
    <t>Dilwale Dulhania Le Jayenge</t>
  </si>
  <si>
    <t>3 Idiots</t>
  </si>
  <si>
    <t>The Pursuit of Happyness</t>
  </si>
  <si>
    <t>Gladiator</t>
  </si>
  <si>
    <t>Titanic</t>
  </si>
  <si>
    <t>It's a Wonderful Life</t>
  </si>
  <si>
    <t>The Shawshank Redemption</t>
  </si>
  <si>
    <t>PK</t>
  </si>
  <si>
    <t>Sanju</t>
  </si>
  <si>
    <t>Pushpa: The Rise - Part 1</t>
  </si>
  <si>
    <t>RRR</t>
  </si>
  <si>
    <t>Schindler's List</t>
  </si>
  <si>
    <t>Jurassic Park</t>
  </si>
  <si>
    <t>Captain America: The First Avenger</t>
  </si>
  <si>
    <t>Captain America: The Winter Soldier</t>
  </si>
  <si>
    <t>Race 3</t>
  </si>
  <si>
    <t>Shershaah</t>
  </si>
  <si>
    <t>Total</t>
  </si>
  <si>
    <t>Billions</t>
  </si>
  <si>
    <t>revenue (Mln)</t>
  </si>
  <si>
    <t>Total Movies</t>
  </si>
  <si>
    <t>Total Bollywood Movies</t>
  </si>
  <si>
    <t>Total Bollywood Rev INR</t>
  </si>
  <si>
    <t>Avg Bollywood Rev INR</t>
  </si>
  <si>
    <t>Key Metrics</t>
  </si>
  <si>
    <t>Revenue</t>
  </si>
  <si>
    <t>Budget</t>
  </si>
  <si>
    <t>Profit/Loss</t>
  </si>
  <si>
    <t>Total Rev</t>
  </si>
  <si>
    <t>Market Share%</t>
  </si>
  <si>
    <t>Total Hollywood Rev</t>
  </si>
  <si>
    <t>"Studio A" P&amp;L</t>
  </si>
  <si>
    <t>buget (Mln)</t>
  </si>
  <si>
    <t>budget INR</t>
  </si>
  <si>
    <t>revenue INR</t>
  </si>
  <si>
    <t>Mean</t>
  </si>
  <si>
    <t>Median</t>
  </si>
  <si>
    <t>Mode</t>
  </si>
  <si>
    <t>Average</t>
  </si>
  <si>
    <t>Condn1</t>
  </si>
  <si>
    <t>Condn2</t>
  </si>
  <si>
    <t>Condn3</t>
  </si>
  <si>
    <t>Avg/Mean</t>
  </si>
  <si>
    <t>EM10</t>
  </si>
  <si>
    <t>Target</t>
  </si>
  <si>
    <t>Profit/Loss %</t>
  </si>
  <si>
    <t>Target - Actuals</t>
  </si>
  <si>
    <t>Target - Actuals%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</si>
  <si>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</si>
  <si>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</si>
  <si>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</si>
  <si>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</si>
  <si>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</si>
  <si>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</si>
  <si>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</si>
  <si>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</si>
  <si>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</si>
  <si>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Income</t>
  </si>
  <si>
    <t>Income-Mean</t>
  </si>
  <si>
    <t>Square</t>
  </si>
  <si>
    <t>Var</t>
  </si>
  <si>
    <t>Std.Dev</t>
  </si>
  <si>
    <t>Sq Ft</t>
  </si>
  <si>
    <t>Price in ($)</t>
  </si>
  <si>
    <t>Radius (ft)</t>
  </si>
  <si>
    <t>Area(Sq Ft)</t>
  </si>
  <si>
    <t>Height(cm)</t>
  </si>
  <si>
    <t>Blood Sugar(mg/dL)</t>
  </si>
  <si>
    <t>Commute time (min)</t>
  </si>
  <si>
    <t>Employee happiness index (1-10)</t>
  </si>
  <si>
    <t>Stocks</t>
  </si>
  <si>
    <t>Gold</t>
  </si>
  <si>
    <t>Investment (100$)</t>
  </si>
  <si>
    <t>RETURNS VALUE AT A SPECIFIC POSITION</t>
  </si>
  <si>
    <t>RETURNS NUMERIC POSITION OF A VALUE</t>
  </si>
  <si>
    <t>EMP ID</t>
  </si>
  <si>
    <t>INDEX</t>
  </si>
  <si>
    <t>MATCH</t>
  </si>
  <si>
    <t>INDEX &amp; MATCH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</si>
  <si>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</si>
  <si>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</si>
  <si>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</si>
  <si>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</si>
  <si>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</si>
  <si>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</si>
  <si>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</si>
  <si>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</si>
  <si>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</si>
  <si>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</si>
  <si>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</si>
  <si>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</si>
  <si>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</si>
  <si>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</si>
  <si>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</si>
  <si>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</si>
  <si>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</si>
  <si>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</si>
  <si>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</si>
  <si>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</si>
  <si>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</si>
  <si>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</si>
  <si>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</si>
  <si>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</si>
  <si>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</si>
  <si>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</si>
  <si>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</si>
  <si>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</si>
  <si>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</si>
  <si>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</si>
  <si>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</si>
  <si>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</si>
  <si>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</si>
  <si>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</si>
  <si>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</si>
  <si>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</si>
  <si>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</si>
  <si>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</si>
  <si>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</si>
  <si>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</si>
  <si>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</si>
  <si>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</si>
  <si>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</si>
  <si>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</si>
  <si>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</si>
  <si>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</si>
  <si>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</si>
  <si>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</si>
  <si>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</si>
  <si>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</si>
  <si>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</si>
  <si>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</si>
  <si>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</si>
  <si>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</si>
  <si>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</si>
  <si>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</si>
  <si>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</si>
  <si>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</si>
  <si>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</si>
  <si>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</si>
  <si>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</si>
  <si>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</si>
  <si>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</si>
  <si>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</si>
  <si>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</si>
  <si>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</si>
  <si>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</si>
  <si>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</si>
  <si>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</si>
  <si>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</si>
  <si>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</si>
  <si>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</si>
  <si>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</si>
  <si>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</si>
  <si>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</si>
  <si>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</si>
  <si>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</si>
  <si>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</si>
  <si>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</si>
  <si>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</si>
  <si>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</si>
  <si>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</si>
  <si>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</si>
  <si>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</si>
  <si>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</si>
  <si>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</si>
  <si>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</si>
  <si>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</si>
  <si>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</si>
  <si>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</si>
  <si>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</si>
  <si>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</si>
  <si>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</si>
  <si>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</si>
  <si>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</si>
  <si>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</si>
  <si>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</si>
  <si>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</si>
  <si>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</si>
  <si>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</si>
  <si>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</si>
  <si>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</si>
  <si>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</si>
  <si>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</si>
  <si>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</si>
  <si>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</si>
  <si>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</si>
  <si>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</si>
  <si>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</si>
  <si>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</si>
  <si>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</si>
  <si>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</si>
  <si>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</si>
  <si>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</si>
  <si>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</si>
  <si>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</si>
  <si>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</si>
  <si>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</si>
  <si>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</si>
  <si>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</si>
  <si>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</si>
  <si>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</si>
  <si>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</si>
  <si>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</si>
  <si>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</si>
  <si>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SUM</t>
  </si>
  <si>
    <t>Variance</t>
  </si>
  <si>
    <t>Std Dev</t>
  </si>
  <si>
    <t>Range</t>
  </si>
  <si>
    <t>Case 1</t>
  </si>
  <si>
    <t>Case 2</t>
  </si>
  <si>
    <t>Marks</t>
  </si>
  <si>
    <t>Marks-Mean</t>
  </si>
  <si>
    <t>School 1</t>
  </si>
  <si>
    <t>School 2</t>
  </si>
  <si>
    <t>Postive</t>
  </si>
  <si>
    <t>Negative</t>
  </si>
  <si>
    <t>Pos</t>
  </si>
  <si>
    <t>Neg</t>
  </si>
  <si>
    <t>Correlation</t>
  </si>
  <si>
    <t>No Relation</t>
  </si>
  <si>
    <t>-1&lt;=r&lt;=+1</t>
  </si>
  <si>
    <t>r</t>
  </si>
  <si>
    <t>Correl</t>
  </si>
  <si>
    <t>Area of circle</t>
  </si>
  <si>
    <t>VLOOKUP</t>
  </si>
  <si>
    <t>HLOOKUP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</si>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</sst>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&quot;₹&quot;\ * #,##0.00_ ;_ &quot;₹&quot;\ * \-#,##0.00_ ;_ &quot;₹&quot;\ * &quot;-&quot;??_ ;_ @_ "/>
    <numFmt numFmtId="164" formatCode="_ [$₹-4009]\ * #,##0_ ;_ [$₹-4009]\ * \-#,##0_ ;_ [$₹-4009]\ * &quot;-&quot;??_ ;_ @_ "/>
    <numFmt numFmtId="165" formatCode="_ &quot;₹&quot;\ * #,##0_ ;_ &quot;₹&quot;\ * \-#,##0_ ;_ &quot;₹&quot;\ * &quot;-&quot;??_ ;_ @_ "/>
    <numFmt numFmtId="166" formatCode="_(&quot;$&quot;* #,##0.00_);_(&quot;$&quot;* \(#,##0.00\);_(&quot;$&quot;* &quot;-&quot;??_);_(@_)"/>
    <numFmt numFmtId="167" formatCode="dd\-mmm\-yy"/>
    <numFmt numFmtId="169" formatCode="0.0%"/>
    <numFmt numFmtId="170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5" fillId="0" borderId="0"/>
    <xf numFmtId="166" fontId="4" fillId="0" borderId="0" applyFon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64" fontId="0" fillId="0" borderId="0" xfId="1" applyNumberFormat="1" applyFont="1"/>
    <xf numFmtId="164" fontId="0" fillId="0" borderId="0" xfId="0" applyNumberFormat="1"/>
    <xf numFmtId="10" fontId="0" fillId="0" borderId="0" xfId="2" applyNumberFormat="1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3" fillId="3" borderId="0" xfId="0" applyFont="1" applyFill="1"/>
    <xf numFmtId="165" fontId="0" fillId="0" borderId="0" xfId="1" applyNumberFormat="1" applyFont="1"/>
    <xf numFmtId="9" fontId="0" fillId="0" borderId="0" xfId="2" applyFont="1"/>
    <xf numFmtId="0" fontId="3" fillId="3" borderId="9" xfId="0" applyFont="1" applyFill="1" applyBorder="1"/>
    <xf numFmtId="0" fontId="0" fillId="0" borderId="9" xfId="0" applyBorder="1"/>
    <xf numFmtId="9" fontId="0" fillId="0" borderId="9" xfId="2" applyFont="1" applyBorder="1"/>
    <xf numFmtId="165" fontId="0" fillId="0" borderId="0" xfId="0" applyNumberFormat="1"/>
    <xf numFmtId="0" fontId="4" fillId="0" borderId="0" xfId="3"/>
    <xf numFmtId="0" fontId="4" fillId="4" borderId="0" xfId="3" applyFill="1" applyAlignment="1">
      <alignment horizontal="center" vertical="center" wrapText="1"/>
    </xf>
    <xf numFmtId="0" fontId="4" fillId="4" borderId="10" xfId="3" applyFill="1" applyBorder="1" applyAlignment="1">
      <alignment horizontal="center" vertical="center" wrapText="1"/>
    </xf>
    <xf numFmtId="0" fontId="4" fillId="4" borderId="0" xfId="3" applyFill="1"/>
    <xf numFmtId="0" fontId="6" fillId="5" borderId="11" xfId="4" applyFont="1" applyFill="1" applyBorder="1" applyAlignment="1">
      <alignment horizontal="center" vertical="center"/>
    </xf>
    <xf numFmtId="0" fontId="6" fillId="6" borderId="11" xfId="4" applyFont="1" applyFill="1" applyBorder="1" applyAlignment="1">
      <alignment horizontal="center" vertical="center"/>
    </xf>
    <xf numFmtId="0" fontId="6" fillId="7" borderId="11" xfId="4" applyFont="1" applyFill="1" applyBorder="1" applyAlignment="1">
      <alignment horizontal="center" vertical="center"/>
    </xf>
    <xf numFmtId="0" fontId="0" fillId="0" borderId="9" xfId="5" applyNumberFormat="1" applyFont="1" applyBorder="1" applyAlignment="1">
      <alignment horizontal="center"/>
    </xf>
    <xf numFmtId="0" fontId="4" fillId="0" borderId="9" xfId="3" applyBorder="1"/>
    <xf numFmtId="0" fontId="5" fillId="0" borderId="12" xfId="4" applyBorder="1" applyAlignment="1">
      <alignment horizontal="center" vertical="center" wrapText="1"/>
    </xf>
    <xf numFmtId="167" fontId="5" fillId="0" borderId="12" xfId="4" applyNumberFormat="1" applyBorder="1" applyAlignment="1">
      <alignment horizontal="center" vertical="center" wrapText="1"/>
    </xf>
    <xf numFmtId="166" fontId="0" fillId="0" borderId="0" xfId="5" applyFont="1"/>
    <xf numFmtId="0" fontId="4" fillId="0" borderId="0" xfId="3" applyAlignment="1">
      <alignment horizontal="center" vertical="center"/>
    </xf>
    <xf numFmtId="0" fontId="3" fillId="3" borderId="0" xfId="0" applyFont="1" applyFill="1" applyAlignment="1">
      <alignment horizontal="center"/>
    </xf>
    <xf numFmtId="165" fontId="0" fillId="0" borderId="9" xfId="1" applyNumberFormat="1" applyFont="1" applyBorder="1"/>
    <xf numFmtId="169" fontId="0" fillId="0" borderId="0" xfId="2" applyNumberFormat="1" applyFont="1"/>
    <xf numFmtId="0" fontId="0" fillId="2" borderId="9" xfId="0" applyFill="1" applyBorder="1"/>
    <xf numFmtId="2" fontId="0" fillId="0" borderId="0" xfId="0" applyNumberFormat="1"/>
    <xf numFmtId="17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8" borderId="0" xfId="0" applyFill="1"/>
    <xf numFmtId="0" fontId="3" fillId="8" borderId="0" xfId="0" applyFont="1" applyFill="1"/>
    <xf numFmtId="1" fontId="3" fillId="8" borderId="0" xfId="0" applyNumberFormat="1" applyFont="1" applyFill="1"/>
    <xf numFmtId="0" fontId="0" fillId="2" borderId="4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1" fontId="0" fillId="0" borderId="14" xfId="0" applyNumberFormat="1" applyBorder="1"/>
    <xf numFmtId="1" fontId="0" fillId="0" borderId="15" xfId="0" applyNumberFormat="1" applyBorder="1"/>
    <xf numFmtId="0" fontId="0" fillId="0" borderId="16" xfId="0" applyBorder="1"/>
    <xf numFmtId="0" fontId="0" fillId="0" borderId="17" xfId="0" applyBorder="1"/>
    <xf numFmtId="1" fontId="0" fillId="0" borderId="17" xfId="0" applyNumberFormat="1" applyBorder="1"/>
    <xf numFmtId="1" fontId="0" fillId="0" borderId="18" xfId="0" applyNumberFormat="1" applyBorder="1"/>
    <xf numFmtId="0" fontId="0" fillId="0" borderId="0" xfId="0" quotePrefix="1"/>
    <xf numFmtId="2" fontId="0" fillId="2" borderId="0" xfId="0" applyNumberFormat="1" applyFill="1"/>
    <xf numFmtId="0" fontId="6" fillId="6" borderId="19" xfId="4" applyFont="1" applyFill="1" applyBorder="1" applyAlignment="1">
      <alignment horizontal="center" vertical="center"/>
    </xf>
    <xf numFmtId="0" fontId="4" fillId="2" borderId="0" xfId="3" applyFill="1"/>
    <xf numFmtId="0" fontId="6" fillId="2" borderId="19" xfId="4" applyFont="1" applyFill="1" applyBorder="1" applyAlignment="1">
      <alignment horizontal="center" vertical="center"/>
    </xf>
  </cellXfs>
  <cellStyles count="6">
    <cellStyle name="Currency" xfId="1" builtinId="4"/>
    <cellStyle name="Currency 2" xfId="5" xr:uid="{8294E18E-0593-4D13-B6E2-FB1BE4029545}"/>
    <cellStyle name="Normal" xfId="0" builtinId="0"/>
    <cellStyle name="Normal 2" xfId="3" xr:uid="{02F07FC8-1287-4A21-9DCB-EA76F032B7CD}"/>
    <cellStyle name="Normal_Sheet1_1" xfId="4" xr:uid="{72F4A67D-6E50-4A14-B234-CA229B9FA4E9}"/>
    <cellStyle name="Percent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dd\-mmm\-yy"/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Correlation!$C$2</c:f>
              <c:strCache>
                <c:ptCount val="1"/>
                <c:pt idx="0">
                  <c:v>Price in ($)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Correlation!$B$3:$B$7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Correlation!$C$3:$C$7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34-4F90-85D7-B4596023F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197151"/>
        <c:axId val="1192197631"/>
      </c:scatterChart>
      <c:valAx>
        <c:axId val="1192197151"/>
        <c:scaling>
          <c:orientation val="minMax"/>
          <c:min val="1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197631"/>
        <c:crosses val="autoZero"/>
        <c:crossBetween val="midCat"/>
      </c:valAx>
      <c:valAx>
        <c:axId val="1192197631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19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Correlation!$G$2</c:f>
              <c:strCache>
                <c:ptCount val="1"/>
                <c:pt idx="0">
                  <c:v>Area(Sq Ft)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Correlation!$F$3:$F$6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4.2</c:v>
                </c:pt>
                <c:pt idx="3">
                  <c:v>3.1</c:v>
                </c:pt>
              </c:numCache>
            </c:numRef>
          </c:xVal>
          <c:yVal>
            <c:numRef>
              <c:f>Correlation!$G$3:$G$6</c:f>
              <c:numCache>
                <c:formatCode>General</c:formatCode>
                <c:ptCount val="4"/>
                <c:pt idx="0">
                  <c:v>78.571428571428569</c:v>
                </c:pt>
                <c:pt idx="1">
                  <c:v>314.28571428571428</c:v>
                </c:pt>
                <c:pt idx="2">
                  <c:v>55.440000000000005</c:v>
                </c:pt>
                <c:pt idx="3">
                  <c:v>30.202857142857148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83-4E35-99DC-9BBC18D84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244848"/>
        <c:axId val="793432352"/>
      </c:scatterChart>
      <c:valAx>
        <c:axId val="784244848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432352"/>
        <c:crosses val="autoZero"/>
        <c:crossBetween val="midCat"/>
      </c:valAx>
      <c:valAx>
        <c:axId val="79343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Correlation!$K$2</c:f>
              <c:strCache>
                <c:ptCount val="1"/>
                <c:pt idx="0">
                  <c:v>Blood Sugar(mg/dL)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Correlation!$J$3:$J$9</c:f>
              <c:numCache>
                <c:formatCode>General</c:formatCode>
                <c:ptCount val="7"/>
                <c:pt idx="0">
                  <c:v>180</c:v>
                </c:pt>
                <c:pt idx="1">
                  <c:v>175</c:v>
                </c:pt>
                <c:pt idx="2">
                  <c:v>130</c:v>
                </c:pt>
                <c:pt idx="3">
                  <c:v>156</c:v>
                </c:pt>
                <c:pt idx="4">
                  <c:v>162</c:v>
                </c:pt>
                <c:pt idx="5">
                  <c:v>163</c:v>
                </c:pt>
                <c:pt idx="6">
                  <c:v>160</c:v>
                </c:pt>
              </c:numCache>
            </c:numRef>
          </c:xVal>
          <c:yVal>
            <c:numRef>
              <c:f>Correlation!$K$3:$K$9</c:f>
              <c:numCache>
                <c:formatCode>General</c:formatCode>
                <c:ptCount val="7"/>
                <c:pt idx="0">
                  <c:v>80</c:v>
                </c:pt>
                <c:pt idx="1">
                  <c:v>176</c:v>
                </c:pt>
                <c:pt idx="2">
                  <c:v>78</c:v>
                </c:pt>
                <c:pt idx="3">
                  <c:v>200</c:v>
                </c:pt>
                <c:pt idx="4">
                  <c:v>91</c:v>
                </c:pt>
                <c:pt idx="5">
                  <c:v>175</c:v>
                </c:pt>
                <c:pt idx="6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F-42C7-B9AA-C4B86904D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650528"/>
        <c:axId val="824648608"/>
      </c:scatterChart>
      <c:valAx>
        <c:axId val="824650528"/>
        <c:scaling>
          <c:orientation val="minMax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48608"/>
        <c:crosses val="autoZero"/>
        <c:crossBetween val="midCat"/>
      </c:valAx>
      <c:valAx>
        <c:axId val="824648608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5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Correlation!$O$2</c:f>
              <c:strCache>
                <c:ptCount val="1"/>
                <c:pt idx="0">
                  <c:v>Employee happiness index (1-10)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Correlation!$N$3:$N$9</c:f>
              <c:numCache>
                <c:formatCode>General</c:formatCode>
                <c:ptCount val="7"/>
                <c:pt idx="0">
                  <c:v>10</c:v>
                </c:pt>
                <c:pt idx="1">
                  <c:v>60</c:v>
                </c:pt>
                <c:pt idx="2">
                  <c:v>0</c:v>
                </c:pt>
                <c:pt idx="3">
                  <c:v>120</c:v>
                </c:pt>
                <c:pt idx="4">
                  <c:v>30</c:v>
                </c:pt>
                <c:pt idx="5">
                  <c:v>25</c:v>
                </c:pt>
                <c:pt idx="6">
                  <c:v>5</c:v>
                </c:pt>
              </c:numCache>
            </c:numRef>
          </c:xVal>
          <c:yVal>
            <c:numRef>
              <c:f>Correlation!$O$3:$O$9</c:f>
              <c:numCache>
                <c:formatCode>General</c:formatCode>
                <c:ptCount val="7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BA-45BC-8F44-F0D08148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753615"/>
        <c:axId val="1296750735"/>
      </c:scatterChart>
      <c:valAx>
        <c:axId val="129675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750735"/>
        <c:crosses val="autoZero"/>
        <c:crossBetween val="midCat"/>
      </c:valAx>
      <c:valAx>
        <c:axId val="129675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753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14763</xdr:rowOff>
    </xdr:from>
    <xdr:to>
      <xdr:col>6</xdr:col>
      <xdr:colOff>83820</xdr:colOff>
      <xdr:row>27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53EB8-865D-9EAF-18DF-E102F7A26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12</xdr:col>
      <xdr:colOff>129540</xdr:colOff>
      <xdr:row>27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9B5045-D0CC-9057-0BEC-756D4D8D6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16328</xdr:colOff>
      <xdr:row>14</xdr:row>
      <xdr:rowOff>40821</xdr:rowOff>
    </xdr:from>
    <xdr:to>
      <xdr:col>15</xdr:col>
      <xdr:colOff>217714</xdr:colOff>
      <xdr:row>26</xdr:row>
      <xdr:rowOff>27214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87A0D3-8006-AF1E-FF71-6CC875489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9</xdr:row>
      <xdr:rowOff>19052</xdr:rowOff>
    </xdr:from>
    <xdr:to>
      <xdr:col>23</xdr:col>
      <xdr:colOff>21772</xdr:colOff>
      <xdr:row>21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882766-6DB6-02FF-75C2-141AB6A7C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60C327-CD6E-46C9-A580-3845024DE51F}" name="movies" displayName="movies" ref="A1:O22" totalsRowCount="1">
  <autoFilter ref="A1:O21" xr:uid="{7760C327-CD6E-46C9-A580-3845024DE51F}"/>
  <tableColumns count="15">
    <tableColumn id="1" xr3:uid="{12674E71-7EB9-49B5-A36D-A361129C971F}" name="movie_id" totalsRowLabel="Total"/>
    <tableColumn id="2" xr3:uid="{F2DF6B2A-50DE-4E71-984D-0A27B54D14D4}" name="title" totalsRowFunction="count"/>
    <tableColumn id="3" xr3:uid="{37C1E6B8-D81A-42F3-BD9B-CBD0E521AE17}" name="industry"/>
    <tableColumn id="4" xr3:uid="{FE490446-2F35-4361-8659-106DDB901324}" name="release_year"/>
    <tableColumn id="5" xr3:uid="{FE3DF8DD-0A6A-4EB5-A5DB-2167036613D9}" name="imdb_rating"/>
    <tableColumn id="6" xr3:uid="{3985F0D4-0334-40AB-A081-2E62002D8D22}" name="studio"/>
    <tableColumn id="7" xr3:uid="{FF2696C4-FD60-405C-B8DA-9F7D77FFC224}" name="language_id"/>
    <tableColumn id="8" xr3:uid="{7063C415-469D-4635-8146-DD4BE1F7BDD4}" name="budget" dataDxfId="32">
      <calculatedColumnFormula array="1">_xlfn.XLOOKUP(movies[[#This Row],[movie_id]:[movie_id]], financials[[#All],[movie_id]:[movie_id]], financials[[#All],[budget]], "NA",0)</calculatedColumnFormula>
    </tableColumn>
    <tableColumn id="9" xr3:uid="{AB6B65D5-E9F6-4B7C-BB90-151DD0660AE3}" name="revenue" dataDxfId="31"/>
    <tableColumn id="10" xr3:uid="{24EB9945-2A34-4BE4-8EDF-617ECD36086E}" name="unit" dataDxfId="30"/>
    <tableColumn id="11" xr3:uid="{04F857FC-0833-494F-90B4-D052228BB76E}" name="currency" dataDxfId="29"/>
    <tableColumn id="12" xr3:uid="{F003A2B5-CEBA-4BE7-9067-9D314850F5BA}" name="buget (Mln)" dataDxfId="28">
      <calculatedColumnFormula>IF(movies[[#This Row],[unit]]="Billions",movies[[#This Row],[budget]]*1000,movies[[#This Row],[budget]])</calculatedColumnFormula>
    </tableColumn>
    <tableColumn id="13" xr3:uid="{49E57F49-328F-4530-8663-85B50534A383}" name="revenue (Mln)" dataDxfId="27">
      <calculatedColumnFormula>IF(movies[[#This Row],[unit]]="Billions", movies[[#This Row],[revenue]]*1000,movies[[#This Row],[revenue]])</calculatedColumnFormula>
    </tableColumn>
    <tableColumn id="14" xr3:uid="{0B563CCD-14C9-4560-9FCB-C902B126A05F}" name="budget INR" totalsRowFunction="sum" dataDxfId="26">
      <calculatedColumnFormula>IF(movies[[#This Row],[currency]]="USD", movies[[#This Row],[budget]]*85, movies[[#This Row],[budget]])</calculatedColumnFormula>
    </tableColumn>
    <tableColumn id="15" xr3:uid="{92DD1AB9-ED10-41A2-9B2F-2955BB4ED8BF}" name="revenue INR" totalsRowFunction="sum" dataDxfId="25">
      <calculatedColumnFormula>IF(movies[[#This Row],[currency]]="USD", movies[[#This Row],[revenue]]*85, movies[[#This Row],[revenue]])</calculatedColumnFormula>
    </tableColumn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B2A0EA-E5E3-40C0-B6D7-391E70371D57}" name="financials" displayName="financials" ref="A1:E21" totalsRowShown="0" headerRowDxfId="24" headerRowBorderDxfId="23" tableBorderDxfId="22">
  <autoFilter ref="A1:E21" xr:uid="{1FB2A0EA-E5E3-40C0-B6D7-391E70371D57}"/>
  <tableColumns count="5">
    <tableColumn id="1" xr3:uid="{615937F1-2A0F-4606-B12B-3DAE0227B101}" name="movie_id"/>
    <tableColumn id="2" xr3:uid="{482F34C3-E3F4-499A-A2A8-88BDDFF5783A}" name="budget"/>
    <tableColumn id="3" xr3:uid="{4401C374-97A5-4946-A4EA-B5AE07EC8BB0}" name="revenue"/>
    <tableColumn id="4" xr3:uid="{59739514-EA01-483F-B19F-A0AA88700BF1}" name="unit"/>
    <tableColumn id="5" xr3:uid="{A7EA71FA-FF0D-4CCE-982E-4FA89C21670D}" name="currency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466B5E-96DE-4C7C-811C-0F768234AAB3}" name="actors" displayName="actors" ref="A1:C6" totalsRowShown="0" headerRowDxfId="21" headerRowBorderDxfId="20" tableBorderDxfId="19">
  <autoFilter ref="A1:C6" xr:uid="{27466B5E-96DE-4C7C-811C-0F768234AAB3}"/>
  <tableColumns count="3">
    <tableColumn id="1" xr3:uid="{6E860A5F-75BA-4D60-811F-8DD785D8B283}" name="actor_id"/>
    <tableColumn id="2" xr3:uid="{CCB75A61-2D2C-47BC-86D8-31F92DD3BB2D}" name="name"/>
    <tableColumn id="3" xr3:uid="{03B6FC9A-D9D3-4A5B-A7FE-5E41B33F7614}" name="birth_year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5E810F-06CE-4C18-A100-13290893DA45}" name="movie_actor" displayName="movie_actor" ref="A1:B31" totalsRowShown="0" headerRowDxfId="18" headerRowBorderDxfId="17" tableBorderDxfId="16">
  <autoFilter ref="A1:B31" xr:uid="{375E810F-06CE-4C18-A100-13290893DA45}"/>
  <tableColumns count="2">
    <tableColumn id="1" xr3:uid="{7B0CBD19-0DD3-4A3B-9405-DD5F4E0C1909}" name="movie_id"/>
    <tableColumn id="2" xr3:uid="{FA9003B2-CB2F-4138-8A32-C5674918A009}" name="actor_id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B577A5-5E1E-4E19-A74A-2AB318EF0BED}" name="languages" displayName="languages" ref="A1:B6" totalsRowShown="0" headerRowDxfId="15" headerRowBorderDxfId="14" tableBorderDxfId="13">
  <autoFilter ref="A1:B6" xr:uid="{8AB577A5-5E1E-4E19-A74A-2AB318EF0BED}"/>
  <tableColumns count="2">
    <tableColumn id="1" xr3:uid="{AB0FAEC0-B099-4DB3-9646-2F376A79130E}" name="language_id"/>
    <tableColumn id="2" xr3:uid="{82FF931F-A573-46D5-9675-07609D1ED351}" name="name"/>
  </tableColumns>
  <tableStyleInfo name="TableStyleMedium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607D5-87DB-46D9-A324-646194A0FF51}" name="Table1" displayName="Table1" ref="A1:I38" totalsRowShown="0" headerRowDxfId="12" dataDxfId="11" headerRowBorderDxfId="9" tableBorderDxfId="10" headerRowCellStyle="Normal_Sheet1_1" dataCellStyle="Normal_Sheet1_1">
  <autoFilter ref="A1:I38" xr:uid="{0B3607D5-87DB-46D9-A324-646194A0FF51}"/>
  <tableColumns count="9">
    <tableColumn id="1" xr3:uid="{0D2E4D30-47F8-4B48-91A5-08C07A7F1C45}" name="Emp ID" dataDxfId="8" dataCellStyle="Normal_Sheet1_1"/>
    <tableColumn id="2" xr3:uid="{388F8CC9-E93A-40CB-BCA0-0E4BE18AA3A2}" name="Last Name" dataDxfId="7" dataCellStyle="Normal_Sheet1_1"/>
    <tableColumn id="3" xr3:uid="{781F24D0-C5E1-4132-8372-205559FC70FB}" name="First Name" dataDxfId="6" dataCellStyle="Normal_Sheet1_1"/>
    <tableColumn id="4" xr3:uid="{8E9CA2DA-3D09-432A-8F03-524502CF5F42}" name="Dept" dataDxfId="5" dataCellStyle="Normal_Sheet1_1"/>
    <tableColumn id="5" xr3:uid="{C718B00E-A9F4-47A6-B9D3-ED39E5BD7896}" name="E-mail" dataDxfId="4" dataCellStyle="Normal_Sheet1_1"/>
    <tableColumn id="6" xr3:uid="{55644BAB-6BB0-492C-BE20-86497D778C77}" name="Phone Ext" dataDxfId="3" dataCellStyle="Normal_Sheet1_1"/>
    <tableColumn id="7" xr3:uid="{76E4CD47-54AC-4FB0-9817-CD704156927B}" name="Location" dataDxfId="2" dataCellStyle="Normal_Sheet1_1"/>
    <tableColumn id="8" xr3:uid="{5BDA5347-E6C4-46EB-B978-54AAC564C2E5}" name="Hire Date" dataDxfId="1" dataCellStyle="Normal_Sheet1_1"/>
    <tableColumn id="9" xr3:uid="{0B139E13-F87C-418A-AE45-11B9730B453A}" name="Pay Rate" dataDxfId="0" dataCellStyle="Currenc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zoomScaleNormal="100" workbookViewId="0">
      <selection activeCell="F17" sqref="F17"/>
    </sheetView>
  </sheetViews>
  <sheetFormatPr defaultRowHeight="14.4" x14ac:dyDescent="0.3"/>
  <cols>
    <col min="1" max="1" width="18.88671875" bestFit="1" customWidth="1"/>
    <col min="2" max="2" width="40.33203125" bestFit="1" customWidth="1"/>
    <col min="3" max="3" width="10.77734375" bestFit="1" customWidth="1"/>
    <col min="4" max="4" width="14.77734375" bestFit="1" customWidth="1"/>
    <col min="5" max="5" width="14.109375" bestFit="1" customWidth="1"/>
    <col min="6" max="6" width="9" bestFit="1" customWidth="1"/>
    <col min="7" max="7" width="13.88671875" customWidth="1"/>
    <col min="8" max="8" width="12.21875" bestFit="1" customWidth="1"/>
    <col min="9" max="9" width="22.21875" bestFit="1" customWidth="1"/>
    <col min="10" max="10" width="9.44140625" customWidth="1"/>
    <col min="11" max="11" width="13.5546875" bestFit="1" customWidth="1"/>
    <col min="12" max="12" width="13.77734375" bestFit="1" customWidth="1"/>
    <col min="13" max="13" width="16" bestFit="1" customWidth="1"/>
    <col min="14" max="14" width="13.44140625" bestFit="1" customWidth="1"/>
    <col min="15" max="15" width="14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69</v>
      </c>
      <c r="M1" t="s">
        <v>56</v>
      </c>
      <c r="N1" t="s">
        <v>70</v>
      </c>
      <c r="O1" t="s">
        <v>71</v>
      </c>
    </row>
    <row r="2" spans="1:15" x14ac:dyDescent="0.3">
      <c r="A2">
        <v>201</v>
      </c>
      <c r="B2" t="s">
        <v>35</v>
      </c>
      <c r="C2" t="s">
        <v>12</v>
      </c>
      <c r="D2">
        <v>2017</v>
      </c>
      <c r="E2">
        <v>7.9</v>
      </c>
      <c r="F2" t="s">
        <v>14</v>
      </c>
      <c r="G2">
        <v>2</v>
      </c>
      <c r="H2" cm="1">
        <f t="array" ref="H2">_xlfn.XLOOKUP(movies[[#This Row],[movie_id]:[movie_id]], financials[[#All],[movie_id]:[movie_id]], financials[[#All],[budget]], "NA",0)</f>
        <v>270</v>
      </c>
      <c r="I2" cm="1">
        <f t="array" ref="I2">_xlfn.XLOOKUP(movies[[#This Row],[movie_id]:[movie_id]], financials[[#All],[movie_id]:[movie_id]], financials[[#All],[revenue]], "NA",0)</f>
        <v>306</v>
      </c>
      <c r="J2" t="str" cm="1">
        <f t="array" ref="J2">_xlfn.XLOOKUP(movies[[#This Row],[movie_id]:[movie_id]], financials[[#All],[movie_id]:[movie_id]], financials[[#All],[unit]], "NA",0)</f>
        <v>Millions</v>
      </c>
      <c r="K2" t="str" cm="1">
        <f t="array" ref="K2">_xlfn.XLOOKUP(movies[[#This Row],[movie_id]:[movie_id]], financials[[#All],[movie_id]:[movie_id]], financials[[#All],[currency]], "NA",0)</f>
        <v>INR</v>
      </c>
      <c r="L2">
        <f>IF(movies[[#This Row],[unit]]="Billions",movies[[#This Row],[budget]]*1000,movies[[#This Row],[budget]])</f>
        <v>270</v>
      </c>
      <c r="M2">
        <f>IF(movies[[#This Row],[unit]]="Billions", movies[[#This Row],[revenue]]*1000,movies[[#This Row],[revenue]])</f>
        <v>306</v>
      </c>
      <c r="N2">
        <f>IF(movies[[#This Row],[currency]]="USD", movies[[#This Row],[budget]]*85, movies[[#This Row],[budget]])</f>
        <v>270</v>
      </c>
      <c r="O2">
        <f>IF(movies[[#This Row],[currency]]="USD", movies[[#This Row],[revenue]]*85, movies[[#This Row],[revenue]])</f>
        <v>306</v>
      </c>
    </row>
    <row r="3" spans="1:15" x14ac:dyDescent="0.3">
      <c r="A3">
        <v>202</v>
      </c>
      <c r="B3" t="s">
        <v>36</v>
      </c>
      <c r="C3" t="s">
        <v>13</v>
      </c>
      <c r="D3">
        <v>2019</v>
      </c>
      <c r="E3">
        <v>5</v>
      </c>
      <c r="F3" t="s">
        <v>15</v>
      </c>
      <c r="G3">
        <v>5</v>
      </c>
      <c r="H3" cm="1">
        <f t="array" ref="H3">_xlfn.XLOOKUP(movies[[#This Row],[movie_id]:[movie_id]], financials[[#All],[movie_id]:[movie_id]], financials[[#All],[budget]], "NA",0)</f>
        <v>79</v>
      </c>
      <c r="I3" cm="1">
        <f t="array" ref="I3">_xlfn.XLOOKUP(movies[[#This Row],[movie_id]:[movie_id]], financials[[#All],[movie_id]:[movie_id]], financials[[#All],[revenue]], "NA",0)</f>
        <v>392</v>
      </c>
      <c r="J3" t="str" cm="1">
        <f t="array" ref="J3">_xlfn.XLOOKUP(movies[[#This Row],[movie_id]:[movie_id]], financials[[#All],[movie_id]:[movie_id]], financials[[#All],[unit]], "NA",0)</f>
        <v>Millions</v>
      </c>
      <c r="K3" t="str" cm="1">
        <f t="array" ref="K3">_xlfn.XLOOKUP(movies[[#This Row],[movie_id]:[movie_id]], financials[[#All],[movie_id]:[movie_id]], financials[[#All],[currency]], "NA",0)</f>
        <v>USD</v>
      </c>
      <c r="L3">
        <f>IF(movies[[#This Row],[unit]]="Billions",movies[[#This Row],[budget]]*1000,movies[[#This Row],[budget]])</f>
        <v>79</v>
      </c>
      <c r="M3">
        <f>IF(movies[[#This Row],[unit]]="Billions", movies[[#This Row],[revenue]]*1000,movies[[#This Row],[revenue]])</f>
        <v>392</v>
      </c>
      <c r="N3">
        <f>IF(movies[[#This Row],[currency]]="USD", movies[[#This Row],[budget]]*85, movies[[#This Row],[budget]])</f>
        <v>6715</v>
      </c>
      <c r="O3">
        <f>IF(movies[[#This Row],[currency]]="USD", movies[[#This Row],[revenue]]*85, movies[[#This Row],[revenue]])</f>
        <v>33320</v>
      </c>
    </row>
    <row r="4" spans="1:15" x14ac:dyDescent="0.3">
      <c r="A4">
        <v>203</v>
      </c>
      <c r="B4" t="s">
        <v>37</v>
      </c>
      <c r="C4" t="s">
        <v>12</v>
      </c>
      <c r="D4">
        <v>2000</v>
      </c>
      <c r="E4">
        <v>6</v>
      </c>
      <c r="F4" t="s">
        <v>16</v>
      </c>
      <c r="G4">
        <v>3</v>
      </c>
      <c r="H4" cm="1">
        <f t="array" ref="H4">_xlfn.XLOOKUP(movies[[#This Row],[movie_id]:[movie_id]], financials[[#All],[movie_id]:[movie_id]], financials[[#All],[budget]], "NA",0)</f>
        <v>233</v>
      </c>
      <c r="I4" cm="1">
        <f t="array" ref="I4">_xlfn.XLOOKUP(movies[[#This Row],[movie_id]:[movie_id]], financials[[#All],[movie_id]:[movie_id]], financials[[#All],[revenue]], "NA",0)</f>
        <v>730</v>
      </c>
      <c r="J4" t="str" cm="1">
        <f t="array" ref="J4">_xlfn.XLOOKUP(movies[[#This Row],[movie_id]:[movie_id]], financials[[#All],[movie_id]:[movie_id]], financials[[#All],[unit]], "NA",0)</f>
        <v>Millions</v>
      </c>
      <c r="K4" t="str" cm="1">
        <f t="array" ref="K4">_xlfn.XLOOKUP(movies[[#This Row],[movie_id]:[movie_id]], financials[[#All],[movie_id]:[movie_id]], financials[[#All],[currency]], "NA",0)</f>
        <v>INR</v>
      </c>
      <c r="L4">
        <f>IF(movies[[#This Row],[unit]]="Billions",movies[[#This Row],[budget]]*1000,movies[[#This Row],[budget]])</f>
        <v>233</v>
      </c>
      <c r="M4">
        <f>IF(movies[[#This Row],[unit]]="Billions", movies[[#This Row],[revenue]]*1000,movies[[#This Row],[revenue]])</f>
        <v>730</v>
      </c>
      <c r="N4">
        <f>IF(movies[[#This Row],[currency]]="USD", movies[[#This Row],[budget]]*85, movies[[#This Row],[budget]])</f>
        <v>233</v>
      </c>
      <c r="O4">
        <f>IF(movies[[#This Row],[currency]]="USD", movies[[#This Row],[revenue]]*85, movies[[#This Row],[revenue]])</f>
        <v>730</v>
      </c>
    </row>
    <row r="5" spans="1:15" x14ac:dyDescent="0.3">
      <c r="A5">
        <v>204</v>
      </c>
      <c r="B5" t="s">
        <v>38</v>
      </c>
      <c r="C5" t="s">
        <v>12</v>
      </c>
      <c r="D5">
        <v>2021</v>
      </c>
      <c r="E5">
        <v>9.5</v>
      </c>
      <c r="F5" t="s">
        <v>17</v>
      </c>
      <c r="G5">
        <v>5</v>
      </c>
      <c r="H5" cm="1">
        <f t="array" ref="H5">_xlfn.XLOOKUP(movies[[#This Row],[movie_id]:[movie_id]], financials[[#All],[movie_id]:[movie_id]], financials[[#All],[budget]], "NA",0)</f>
        <v>70</v>
      </c>
      <c r="I5" cm="1">
        <f t="array" ref="I5">_xlfn.XLOOKUP(movies[[#This Row],[movie_id]:[movie_id]], financials[[#All],[movie_id]:[movie_id]], financials[[#All],[revenue]], "NA",0)</f>
        <v>347</v>
      </c>
      <c r="J5" t="s">
        <v>55</v>
      </c>
      <c r="K5" t="str" cm="1">
        <f t="array" ref="K5">_xlfn.XLOOKUP(movies[[#This Row],[movie_id]:[movie_id]], financials[[#All],[movie_id]:[movie_id]], financials[[#All],[currency]], "NA",0)</f>
        <v>USD</v>
      </c>
      <c r="L5">
        <f>IF(movies[[#This Row],[unit]]="Billions",movies[[#This Row],[budget]]*1000,movies[[#This Row],[budget]])</f>
        <v>70000</v>
      </c>
      <c r="M5">
        <f>IF(movies[[#This Row],[unit]]="Billions", movies[[#This Row],[revenue]]*1000,movies[[#This Row],[revenue]])</f>
        <v>347000</v>
      </c>
      <c r="N5">
        <f>IF(movies[[#This Row],[currency]]="USD", movies[[#This Row],[budget]]*85, movies[[#This Row],[budget]])</f>
        <v>5950</v>
      </c>
      <c r="O5">
        <f>IF(movies[[#This Row],[currency]]="USD", movies[[#This Row],[revenue]]*85, movies[[#This Row],[revenue]])</f>
        <v>29495</v>
      </c>
    </row>
    <row r="6" spans="1:15" x14ac:dyDescent="0.3">
      <c r="A6">
        <v>205</v>
      </c>
      <c r="B6" t="s">
        <v>43</v>
      </c>
      <c r="C6" t="s">
        <v>13</v>
      </c>
      <c r="D6">
        <v>2003</v>
      </c>
      <c r="E6">
        <v>8.1999999999999993</v>
      </c>
      <c r="F6" t="s">
        <v>18</v>
      </c>
      <c r="G6">
        <v>3</v>
      </c>
      <c r="H6" cm="1">
        <f t="array" ref="H6">_xlfn.XLOOKUP(movies[[#This Row],[movie_id]:[movie_id]], financials[[#All],[movie_id]:[movie_id]], financials[[#All],[budget]], "NA",0)</f>
        <v>24</v>
      </c>
      <c r="I6" cm="1">
        <f t="array" ref="I6">_xlfn.XLOOKUP(movies[[#This Row],[movie_id]:[movie_id]], financials[[#All],[movie_id]:[movie_id]], financials[[#All],[revenue]], "NA",0)</f>
        <v>870</v>
      </c>
      <c r="J6" t="str" cm="1">
        <f t="array" ref="J6">_xlfn.XLOOKUP(movies[[#This Row],[movie_id]:[movie_id]], financials[[#All],[movie_id]:[movie_id]], financials[[#All],[unit]], "NA",0)</f>
        <v>Millions</v>
      </c>
      <c r="K6" t="str" cm="1">
        <f t="array" ref="K6">_xlfn.XLOOKUP(movies[[#This Row],[movie_id]:[movie_id]], financials[[#All],[movie_id]:[movie_id]], financials[[#All],[currency]], "NA",0)</f>
        <v>INR</v>
      </c>
      <c r="L6">
        <f>IF(movies[[#This Row],[unit]]="Billions",movies[[#This Row],[budget]]*1000,movies[[#This Row],[budget]])</f>
        <v>24</v>
      </c>
      <c r="M6">
        <f>IF(movies[[#This Row],[unit]]="Billions", movies[[#This Row],[revenue]]*1000,movies[[#This Row],[revenue]])</f>
        <v>870</v>
      </c>
      <c r="N6">
        <f>IF(movies[[#This Row],[currency]]="USD", movies[[#This Row],[budget]]*85, movies[[#This Row],[budget]])</f>
        <v>24</v>
      </c>
      <c r="O6">
        <f>IF(movies[[#This Row],[currency]]="USD", movies[[#This Row],[revenue]]*85, movies[[#This Row],[revenue]])</f>
        <v>870</v>
      </c>
    </row>
    <row r="7" spans="1:15" x14ac:dyDescent="0.3">
      <c r="A7">
        <v>206</v>
      </c>
      <c r="B7" t="s">
        <v>50</v>
      </c>
      <c r="C7" t="s">
        <v>13</v>
      </c>
      <c r="D7">
        <v>2010</v>
      </c>
      <c r="E7">
        <v>8.5</v>
      </c>
      <c r="F7" t="s">
        <v>14</v>
      </c>
      <c r="G7">
        <v>1</v>
      </c>
      <c r="H7" cm="1">
        <f t="array" ref="H7">_xlfn.XLOOKUP(movies[[#This Row],[movie_id]:[movie_id]], financials[[#All],[movie_id]:[movie_id]], financials[[#All],[budget]], "NA",0)</f>
        <v>266</v>
      </c>
      <c r="I7" cm="1">
        <f t="array" ref="I7">_xlfn.XLOOKUP(movies[[#This Row],[movie_id]:[movie_id]], financials[[#All],[movie_id]:[movie_id]], financials[[#All],[revenue]], "NA",0)</f>
        <v>149</v>
      </c>
      <c r="J7" t="str" cm="1">
        <f t="array" ref="J7">_xlfn.XLOOKUP(movies[[#This Row],[movie_id]:[movie_id]], financials[[#All],[movie_id]:[movie_id]], financials[[#All],[unit]], "NA",0)</f>
        <v>Millions</v>
      </c>
      <c r="K7" t="str" cm="1">
        <f t="array" ref="K7">_xlfn.XLOOKUP(movies[[#This Row],[movie_id]:[movie_id]], financials[[#All],[movie_id]:[movie_id]], financials[[#All],[currency]], "NA",0)</f>
        <v>INR</v>
      </c>
      <c r="L7">
        <f>IF(movies[[#This Row],[unit]]="Billions",movies[[#This Row],[budget]]*1000,movies[[#This Row],[budget]])</f>
        <v>266</v>
      </c>
      <c r="M7">
        <f>IF(movies[[#This Row],[unit]]="Billions", movies[[#This Row],[revenue]]*1000,movies[[#This Row],[revenue]])</f>
        <v>149</v>
      </c>
      <c r="N7">
        <f>IF(movies[[#This Row],[currency]]="USD", movies[[#This Row],[budget]]*85, movies[[#This Row],[budget]])</f>
        <v>266</v>
      </c>
      <c r="O7">
        <f>IF(movies[[#This Row],[currency]]="USD", movies[[#This Row],[revenue]]*85, movies[[#This Row],[revenue]])</f>
        <v>149</v>
      </c>
    </row>
    <row r="8" spans="1:15" x14ac:dyDescent="0.3">
      <c r="A8">
        <v>207</v>
      </c>
      <c r="B8" t="s">
        <v>51</v>
      </c>
      <c r="C8" t="s">
        <v>13</v>
      </c>
      <c r="D8">
        <v>2001</v>
      </c>
      <c r="E8">
        <v>8.8000000000000007</v>
      </c>
      <c r="F8" t="s">
        <v>15</v>
      </c>
      <c r="G8">
        <v>3</v>
      </c>
      <c r="H8" cm="1">
        <f t="array" ref="H8">_xlfn.XLOOKUP(movies[[#This Row],[movie_id]:[movie_id]], financials[[#All],[movie_id]:[movie_id]], financials[[#All],[budget]], "NA",0)</f>
        <v>135</v>
      </c>
      <c r="I8" cm="1">
        <f t="array" ref="I8">_xlfn.XLOOKUP(movies[[#This Row],[movie_id]:[movie_id]], financials[[#All],[movie_id]:[movie_id]], financials[[#All],[revenue]], "NA",0)</f>
        <v>919</v>
      </c>
      <c r="J8" t="str" cm="1">
        <f t="array" ref="J8">_xlfn.XLOOKUP(movies[[#This Row],[movie_id]:[movie_id]], financials[[#All],[movie_id]:[movie_id]], financials[[#All],[unit]], "NA",0)</f>
        <v>Millions</v>
      </c>
      <c r="K8" t="str" cm="1">
        <f t="array" ref="K8">_xlfn.XLOOKUP(movies[[#This Row],[movie_id]:[movie_id]], financials[[#All],[movie_id]:[movie_id]], financials[[#All],[currency]], "NA",0)</f>
        <v>USD</v>
      </c>
      <c r="L8">
        <f>IF(movies[[#This Row],[unit]]="Billions",movies[[#This Row],[budget]]*1000,movies[[#This Row],[budget]])</f>
        <v>135</v>
      </c>
      <c r="M8">
        <f>IF(movies[[#This Row],[unit]]="Billions", movies[[#This Row],[revenue]]*1000,movies[[#This Row],[revenue]])</f>
        <v>919</v>
      </c>
      <c r="N8">
        <f>IF(movies[[#This Row],[currency]]="USD", movies[[#This Row],[budget]]*85, movies[[#This Row],[budget]])</f>
        <v>11475</v>
      </c>
      <c r="O8">
        <f>IF(movies[[#This Row],[currency]]="USD", movies[[#This Row],[revenue]]*85, movies[[#This Row],[revenue]])</f>
        <v>78115</v>
      </c>
    </row>
    <row r="9" spans="1:15" x14ac:dyDescent="0.3">
      <c r="A9">
        <v>208</v>
      </c>
      <c r="B9" t="s">
        <v>52</v>
      </c>
      <c r="C9" t="s">
        <v>12</v>
      </c>
      <c r="D9">
        <v>2002</v>
      </c>
      <c r="E9">
        <v>8.9</v>
      </c>
      <c r="F9" t="s">
        <v>16</v>
      </c>
      <c r="G9">
        <v>2</v>
      </c>
      <c r="H9" cm="1">
        <f t="array" ref="H9">_xlfn.XLOOKUP(movies[[#This Row],[movie_id]:[movie_id]], financials[[#All],[movie_id]:[movie_id]], financials[[#All],[budget]], "NA",0)</f>
        <v>184</v>
      </c>
      <c r="I9" cm="1">
        <f t="array" ref="I9">_xlfn.XLOOKUP(movies[[#This Row],[movie_id]:[movie_id]], financials[[#All],[movie_id]:[movie_id]], financials[[#All],[revenue]], "NA",0)</f>
        <v>130</v>
      </c>
      <c r="J9" t="str" cm="1">
        <f t="array" ref="J9">_xlfn.XLOOKUP(movies[[#This Row],[movie_id]:[movie_id]], financials[[#All],[movie_id]:[movie_id]], financials[[#All],[unit]], "NA",0)</f>
        <v>Millions</v>
      </c>
      <c r="K9" t="str" cm="1">
        <f t="array" ref="K9">_xlfn.XLOOKUP(movies[[#This Row],[movie_id]:[movie_id]], financials[[#All],[movie_id]:[movie_id]], financials[[#All],[currency]], "NA",0)</f>
        <v>USD</v>
      </c>
      <c r="L9">
        <f>IF(movies[[#This Row],[unit]]="Billions",movies[[#This Row],[budget]]*1000,movies[[#This Row],[budget]])</f>
        <v>184</v>
      </c>
      <c r="M9">
        <f>IF(movies[[#This Row],[unit]]="Billions", movies[[#This Row],[revenue]]*1000,movies[[#This Row],[revenue]])</f>
        <v>130</v>
      </c>
      <c r="N9">
        <f>IF(movies[[#This Row],[currency]]="USD", movies[[#This Row],[budget]]*85, movies[[#This Row],[budget]])</f>
        <v>15640</v>
      </c>
      <c r="O9">
        <f>IF(movies[[#This Row],[currency]]="USD", movies[[#This Row],[revenue]]*85, movies[[#This Row],[revenue]])</f>
        <v>11050</v>
      </c>
    </row>
    <row r="10" spans="1:15" x14ac:dyDescent="0.3">
      <c r="A10">
        <v>209</v>
      </c>
      <c r="B10" t="s">
        <v>53</v>
      </c>
      <c r="C10" t="s">
        <v>12</v>
      </c>
      <c r="D10">
        <v>2002</v>
      </c>
      <c r="E10">
        <v>7.4</v>
      </c>
      <c r="F10" t="s">
        <v>17</v>
      </c>
      <c r="G10">
        <v>5</v>
      </c>
      <c r="H10" cm="1">
        <f t="array" ref="H10">_xlfn.XLOOKUP(movies[[#This Row],[movie_id]:[movie_id]], financials[[#All],[movie_id]:[movie_id]], financials[[#All],[budget]], "NA",0)</f>
        <v>275</v>
      </c>
      <c r="I10" cm="1">
        <f t="array" ref="I10">_xlfn.XLOOKUP(movies[[#This Row],[movie_id]:[movie_id]], financials[[#All],[movie_id]:[movie_id]], financials[[#All],[revenue]], "NA",0)</f>
        <v>670</v>
      </c>
      <c r="J10" t="str" cm="1">
        <f t="array" ref="J10">_xlfn.XLOOKUP(movies[[#This Row],[movie_id]:[movie_id]], financials[[#All],[movie_id]:[movie_id]], financials[[#All],[unit]], "NA",0)</f>
        <v>Millions</v>
      </c>
      <c r="K10" t="str" cm="1">
        <f t="array" ref="K10">_xlfn.XLOOKUP(movies[[#This Row],[movie_id]:[movie_id]], financials[[#All],[movie_id]:[movie_id]], financials[[#All],[currency]], "NA",0)</f>
        <v>INR</v>
      </c>
      <c r="L10">
        <f>IF(movies[[#This Row],[unit]]="Billions",movies[[#This Row],[budget]]*1000,movies[[#This Row],[budget]])</f>
        <v>275</v>
      </c>
      <c r="M10">
        <f>IF(movies[[#This Row],[unit]]="Billions", movies[[#This Row],[revenue]]*1000,movies[[#This Row],[revenue]])</f>
        <v>670</v>
      </c>
      <c r="N10">
        <f>IF(movies[[#This Row],[currency]]="USD", movies[[#This Row],[budget]]*85, movies[[#This Row],[budget]])</f>
        <v>275</v>
      </c>
      <c r="O10">
        <f>IF(movies[[#This Row],[currency]]="USD", movies[[#This Row],[revenue]]*85, movies[[#This Row],[revenue]])</f>
        <v>670</v>
      </c>
    </row>
    <row r="11" spans="1:15" x14ac:dyDescent="0.3">
      <c r="A11">
        <v>210</v>
      </c>
      <c r="B11" t="s">
        <v>48</v>
      </c>
      <c r="C11" t="s">
        <v>13</v>
      </c>
      <c r="D11">
        <v>2006</v>
      </c>
      <c r="E11">
        <v>6.8</v>
      </c>
      <c r="F11" t="s">
        <v>18</v>
      </c>
      <c r="G11">
        <v>3</v>
      </c>
      <c r="H11" cm="1">
        <f t="array" ref="H11">_xlfn.XLOOKUP(movies[[#This Row],[movie_id]:[movie_id]], financials[[#All],[movie_id]:[movie_id]], financials[[#All],[budget]], "NA",0)</f>
        <v>249</v>
      </c>
      <c r="I11" cm="1">
        <f t="array" ref="I11">_xlfn.XLOOKUP(movies[[#This Row],[movie_id]:[movie_id]], financials[[#All],[movie_id]:[movie_id]], financials[[#All],[revenue]], "NA",0)</f>
        <v>742</v>
      </c>
      <c r="J11" t="str" cm="1">
        <f t="array" ref="J11">_xlfn.XLOOKUP(movies[[#This Row],[movie_id]:[movie_id]], financials[[#All],[movie_id]:[movie_id]], financials[[#All],[unit]], "NA",0)</f>
        <v>Millions</v>
      </c>
      <c r="K11" t="str" cm="1">
        <f t="array" ref="K11">_xlfn.XLOOKUP(movies[[#This Row],[movie_id]:[movie_id]], financials[[#All],[movie_id]:[movie_id]], financials[[#All],[currency]], "NA",0)</f>
        <v>INR</v>
      </c>
      <c r="L11">
        <f>IF(movies[[#This Row],[unit]]="Billions",movies[[#This Row],[budget]]*1000,movies[[#This Row],[budget]])</f>
        <v>249</v>
      </c>
      <c r="M11">
        <f>IF(movies[[#This Row],[unit]]="Billions", movies[[#This Row],[revenue]]*1000,movies[[#This Row],[revenue]])</f>
        <v>742</v>
      </c>
      <c r="N11">
        <f>IF(movies[[#This Row],[currency]]="USD", movies[[#This Row],[budget]]*85, movies[[#This Row],[budget]])</f>
        <v>249</v>
      </c>
      <c r="O11">
        <f>IF(movies[[#This Row],[currency]]="USD", movies[[#This Row],[revenue]]*85, movies[[#This Row],[revenue]])</f>
        <v>742</v>
      </c>
    </row>
    <row r="12" spans="1:15" x14ac:dyDescent="0.3">
      <c r="A12">
        <v>211</v>
      </c>
      <c r="B12" t="s">
        <v>49</v>
      </c>
      <c r="C12" t="s">
        <v>13</v>
      </c>
      <c r="D12">
        <v>2012</v>
      </c>
      <c r="E12">
        <v>6.4</v>
      </c>
      <c r="F12" t="s">
        <v>14</v>
      </c>
      <c r="G12">
        <v>4</v>
      </c>
      <c r="H12" cm="1">
        <f t="array" ref="H12">_xlfn.XLOOKUP(movies[[#This Row],[movie_id]:[movie_id]], financials[[#All],[movie_id]:[movie_id]], financials[[#All],[budget]], "NA",0)</f>
        <v>123</v>
      </c>
      <c r="I12" cm="1">
        <f t="array" ref="I12">_xlfn.XLOOKUP(movies[[#This Row],[movie_id]:[movie_id]], financials[[#All],[movie_id]:[movie_id]], financials[[#All],[revenue]], "NA",0)</f>
        <v>605</v>
      </c>
      <c r="J12" t="str" cm="1">
        <f t="array" ref="J12">_xlfn.XLOOKUP(movies[[#This Row],[movie_id]:[movie_id]], financials[[#All],[movie_id]:[movie_id]], financials[[#All],[unit]], "NA",0)</f>
        <v>Millions</v>
      </c>
      <c r="K12" t="str" cm="1">
        <f t="array" ref="K12">_xlfn.XLOOKUP(movies[[#This Row],[movie_id]:[movie_id]], financials[[#All],[movie_id]:[movie_id]], financials[[#All],[currency]], "NA",0)</f>
        <v>INR</v>
      </c>
      <c r="L12">
        <f>IF(movies[[#This Row],[unit]]="Billions",movies[[#This Row],[budget]]*1000,movies[[#This Row],[budget]])</f>
        <v>123</v>
      </c>
      <c r="M12">
        <f>IF(movies[[#This Row],[unit]]="Billions", movies[[#This Row],[revenue]]*1000,movies[[#This Row],[revenue]])</f>
        <v>605</v>
      </c>
      <c r="N12">
        <f>IF(movies[[#This Row],[currency]]="USD", movies[[#This Row],[budget]]*85, movies[[#This Row],[budget]])</f>
        <v>123</v>
      </c>
      <c r="O12">
        <f>IF(movies[[#This Row],[currency]]="USD", movies[[#This Row],[revenue]]*85, movies[[#This Row],[revenue]])</f>
        <v>605</v>
      </c>
    </row>
    <row r="13" spans="1:15" x14ac:dyDescent="0.3">
      <c r="A13">
        <v>212</v>
      </c>
      <c r="B13" t="s">
        <v>44</v>
      </c>
      <c r="C13" t="s">
        <v>12</v>
      </c>
      <c r="D13">
        <v>2010</v>
      </c>
      <c r="E13">
        <v>6</v>
      </c>
      <c r="F13" t="s">
        <v>15</v>
      </c>
      <c r="G13">
        <v>3</v>
      </c>
      <c r="H13" cm="1">
        <f t="array" ref="H13">_xlfn.XLOOKUP(movies[[#This Row],[movie_id]:[movie_id]], financials[[#All],[movie_id]:[movie_id]], financials[[#All],[budget]], "NA",0)</f>
        <v>21</v>
      </c>
      <c r="I13" cm="1">
        <f t="array" ref="I13">_xlfn.XLOOKUP(movies[[#This Row],[movie_id]:[movie_id]], financials[[#All],[movie_id]:[movie_id]], financials[[#All],[revenue]], "NA",0)</f>
        <v>740</v>
      </c>
      <c r="J13" t="s">
        <v>55</v>
      </c>
      <c r="K13" t="str" cm="1">
        <f t="array" ref="K13">_xlfn.XLOOKUP(movies[[#This Row],[movie_id]:[movie_id]], financials[[#All],[movie_id]:[movie_id]], financials[[#All],[currency]], "NA",0)</f>
        <v>USD</v>
      </c>
      <c r="L13">
        <f>IF(movies[[#This Row],[unit]]="Billions",movies[[#This Row],[budget]]*1000,movies[[#This Row],[budget]])</f>
        <v>21000</v>
      </c>
      <c r="M13">
        <f>IF(movies[[#This Row],[unit]]="Billions", movies[[#This Row],[revenue]]*1000,movies[[#This Row],[revenue]])</f>
        <v>740000</v>
      </c>
      <c r="N13">
        <f>IF(movies[[#This Row],[currency]]="USD", movies[[#This Row],[budget]]*85, movies[[#This Row],[budget]])</f>
        <v>1785</v>
      </c>
      <c r="O13">
        <f>IF(movies[[#This Row],[currency]]="USD", movies[[#This Row],[revenue]]*85, movies[[#This Row],[revenue]])</f>
        <v>62900</v>
      </c>
    </row>
    <row r="14" spans="1:15" x14ac:dyDescent="0.3">
      <c r="A14">
        <v>213</v>
      </c>
      <c r="B14" t="s">
        <v>45</v>
      </c>
      <c r="C14" t="s">
        <v>12</v>
      </c>
      <c r="D14">
        <v>2002</v>
      </c>
      <c r="E14">
        <v>6.1</v>
      </c>
      <c r="F14" t="s">
        <v>16</v>
      </c>
      <c r="G14">
        <v>5</v>
      </c>
      <c r="H14" cm="1">
        <f t="array" ref="H14">_xlfn.XLOOKUP(movies[[#This Row],[movie_id]:[movie_id]], financials[[#All],[movie_id]:[movie_id]], financials[[#All],[budget]], "NA",0)</f>
        <v>106</v>
      </c>
      <c r="I14" cm="1">
        <f t="array" ref="I14">_xlfn.XLOOKUP(movies[[#This Row],[movie_id]:[movie_id]], financials[[#All],[movie_id]:[movie_id]], financials[[#All],[revenue]], "NA",0)</f>
        <v>531</v>
      </c>
      <c r="J14" t="str" cm="1">
        <f t="array" ref="J14">_xlfn.XLOOKUP(movies[[#This Row],[movie_id]:[movie_id]], financials[[#All],[movie_id]:[movie_id]], financials[[#All],[unit]], "NA",0)</f>
        <v>Millions</v>
      </c>
      <c r="K14" t="str" cm="1">
        <f t="array" ref="K14">_xlfn.XLOOKUP(movies[[#This Row],[movie_id]:[movie_id]], financials[[#All],[movie_id]:[movie_id]], financials[[#All],[currency]], "NA",0)</f>
        <v>USD</v>
      </c>
      <c r="L14">
        <f>IF(movies[[#This Row],[unit]]="Billions",movies[[#This Row],[budget]]*1000,movies[[#This Row],[budget]])</f>
        <v>106</v>
      </c>
      <c r="M14">
        <f>IF(movies[[#This Row],[unit]]="Billions", movies[[#This Row],[revenue]]*1000,movies[[#This Row],[revenue]])</f>
        <v>531</v>
      </c>
      <c r="N14">
        <f>IF(movies[[#This Row],[currency]]="USD", movies[[#This Row],[budget]]*85, movies[[#This Row],[budget]])</f>
        <v>9010</v>
      </c>
      <c r="O14">
        <f>IF(movies[[#This Row],[currency]]="USD", movies[[#This Row],[revenue]]*85, movies[[#This Row],[revenue]])</f>
        <v>45135</v>
      </c>
    </row>
    <row r="15" spans="1:15" x14ac:dyDescent="0.3">
      <c r="A15">
        <v>214</v>
      </c>
      <c r="B15" t="s">
        <v>46</v>
      </c>
      <c r="C15" t="s">
        <v>12</v>
      </c>
      <c r="D15">
        <v>2019</v>
      </c>
      <c r="E15">
        <v>5.0999999999999996</v>
      </c>
      <c r="F15" t="s">
        <v>17</v>
      </c>
      <c r="G15">
        <v>2</v>
      </c>
      <c r="H15" cm="1">
        <f t="array" ref="H15">_xlfn.XLOOKUP(movies[[#This Row],[movie_id]:[movie_id]], financials[[#All],[movie_id]:[movie_id]], financials[[#All],[budget]], "NA",0)</f>
        <v>18</v>
      </c>
      <c r="I15" cm="1">
        <f t="array" ref="I15">_xlfn.XLOOKUP(movies[[#This Row],[movie_id]:[movie_id]], financials[[#All],[movie_id]:[movie_id]], financials[[#All],[revenue]], "NA",0)</f>
        <v>799</v>
      </c>
      <c r="J15" t="str" cm="1">
        <f t="array" ref="J15">_xlfn.XLOOKUP(movies[[#This Row],[movie_id]:[movie_id]], financials[[#All],[movie_id]:[movie_id]], financials[[#All],[unit]], "NA",0)</f>
        <v>Millions</v>
      </c>
      <c r="K15" t="str" cm="1">
        <f t="array" ref="K15">_xlfn.XLOOKUP(movies[[#This Row],[movie_id]:[movie_id]], financials[[#All],[movie_id]:[movie_id]], financials[[#All],[currency]], "NA",0)</f>
        <v>USD</v>
      </c>
      <c r="L15">
        <f>IF(movies[[#This Row],[unit]]="Billions",movies[[#This Row],[budget]]*1000,movies[[#This Row],[budget]])</f>
        <v>18</v>
      </c>
      <c r="M15">
        <f>IF(movies[[#This Row],[unit]]="Billions", movies[[#This Row],[revenue]]*1000,movies[[#This Row],[revenue]])</f>
        <v>799</v>
      </c>
      <c r="N15">
        <f>IF(movies[[#This Row],[currency]]="USD", movies[[#This Row],[budget]]*85, movies[[#This Row],[budget]])</f>
        <v>1530</v>
      </c>
      <c r="O15">
        <f>IF(movies[[#This Row],[currency]]="USD", movies[[#This Row],[revenue]]*85, movies[[#This Row],[revenue]])</f>
        <v>67915</v>
      </c>
    </row>
    <row r="16" spans="1:15" x14ac:dyDescent="0.3">
      <c r="A16">
        <v>215</v>
      </c>
      <c r="B16" t="s">
        <v>47</v>
      </c>
      <c r="C16" t="s">
        <v>12</v>
      </c>
      <c r="D16">
        <v>2019</v>
      </c>
      <c r="E16">
        <v>5.6</v>
      </c>
      <c r="F16" t="s">
        <v>18</v>
      </c>
      <c r="G16">
        <v>3</v>
      </c>
      <c r="H16" cm="1">
        <f t="array" ref="H16">_xlfn.XLOOKUP(movies[[#This Row],[movie_id]:[movie_id]], financials[[#All],[movie_id]:[movie_id]], financials[[#All],[budget]], "NA",0)</f>
        <v>39</v>
      </c>
      <c r="I16" cm="1">
        <f t="array" ref="I16">_xlfn.XLOOKUP(movies[[#This Row],[movie_id]:[movie_id]], financials[[#All],[movie_id]:[movie_id]], financials[[#All],[revenue]], "NA",0)</f>
        <v>636</v>
      </c>
      <c r="J16" t="str" cm="1">
        <f t="array" ref="J16">_xlfn.XLOOKUP(movies[[#This Row],[movie_id]:[movie_id]], financials[[#All],[movie_id]:[movie_id]], financials[[#All],[unit]], "NA",0)</f>
        <v>Millions</v>
      </c>
      <c r="K16" t="str" cm="1">
        <f t="array" ref="K16">_xlfn.XLOOKUP(movies[[#This Row],[movie_id]:[movie_id]], financials[[#All],[movie_id]:[movie_id]], financials[[#All],[currency]], "NA",0)</f>
        <v>USD</v>
      </c>
      <c r="L16">
        <f>IF(movies[[#This Row],[unit]]="Billions",movies[[#This Row],[budget]]*1000,movies[[#This Row],[budget]])</f>
        <v>39</v>
      </c>
      <c r="M16">
        <f>IF(movies[[#This Row],[unit]]="Billions", movies[[#This Row],[revenue]]*1000,movies[[#This Row],[revenue]])</f>
        <v>636</v>
      </c>
      <c r="N16">
        <f>IF(movies[[#This Row],[currency]]="USD", movies[[#This Row],[budget]]*85, movies[[#This Row],[budget]])</f>
        <v>3315</v>
      </c>
      <c r="O16">
        <f>IF(movies[[#This Row],[currency]]="USD", movies[[#This Row],[revenue]]*85, movies[[#This Row],[revenue]])</f>
        <v>54060</v>
      </c>
    </row>
    <row r="17" spans="1:15" x14ac:dyDescent="0.3">
      <c r="A17">
        <v>216</v>
      </c>
      <c r="B17" t="s">
        <v>39</v>
      </c>
      <c r="C17" t="s">
        <v>13</v>
      </c>
      <c r="D17">
        <v>2021</v>
      </c>
      <c r="E17">
        <v>7.4</v>
      </c>
      <c r="F17" t="s">
        <v>14</v>
      </c>
      <c r="G17">
        <v>2</v>
      </c>
      <c r="H17" cm="1">
        <f t="array" ref="H17">_xlfn.XLOOKUP(movies[[#This Row],[movie_id]:[movie_id]], financials[[#All],[movie_id]:[movie_id]], financials[[#All],[budget]], "NA",0)</f>
        <v>195</v>
      </c>
      <c r="I17" cm="1">
        <f t="array" ref="I17">_xlfn.XLOOKUP(movies[[#This Row],[movie_id]:[movie_id]], financials[[#All],[movie_id]:[movie_id]], financials[[#All],[revenue]], "NA",0)</f>
        <v>74</v>
      </c>
      <c r="J17" t="str" cm="1">
        <f t="array" ref="J17">_xlfn.XLOOKUP(movies[[#This Row],[movie_id]:[movie_id]], financials[[#All],[movie_id]:[movie_id]], financials[[#All],[unit]], "NA",0)</f>
        <v>Millions</v>
      </c>
      <c r="K17" t="str" cm="1">
        <f t="array" ref="K17">_xlfn.XLOOKUP(movies[[#This Row],[movie_id]:[movie_id]], financials[[#All],[movie_id]:[movie_id]], financials[[#All],[currency]], "NA",0)</f>
        <v>USD</v>
      </c>
      <c r="L17">
        <f>IF(movies[[#This Row],[unit]]="Billions",movies[[#This Row],[budget]]*1000,movies[[#This Row],[budget]])</f>
        <v>195</v>
      </c>
      <c r="M17">
        <f>IF(movies[[#This Row],[unit]]="Billions", movies[[#This Row],[revenue]]*1000,movies[[#This Row],[revenue]])</f>
        <v>74</v>
      </c>
      <c r="N17">
        <f>IF(movies[[#This Row],[currency]]="USD", movies[[#This Row],[budget]]*85, movies[[#This Row],[budget]])</f>
        <v>16575</v>
      </c>
      <c r="O17">
        <f>IF(movies[[#This Row],[currency]]="USD", movies[[#This Row],[revenue]]*85, movies[[#This Row],[revenue]])</f>
        <v>6290</v>
      </c>
    </row>
    <row r="18" spans="1:15" x14ac:dyDescent="0.3">
      <c r="A18">
        <v>217</v>
      </c>
      <c r="B18" t="s">
        <v>40</v>
      </c>
      <c r="C18" t="s">
        <v>13</v>
      </c>
      <c r="D18">
        <v>2005</v>
      </c>
      <c r="E18">
        <v>6.5</v>
      </c>
      <c r="F18" t="s">
        <v>15</v>
      </c>
      <c r="G18">
        <v>5</v>
      </c>
      <c r="H18" cm="1">
        <f t="array" ref="H18">_xlfn.XLOOKUP(movies[[#This Row],[movie_id]:[movie_id]], financials[[#All],[movie_id]:[movie_id]], financials[[#All],[budget]], "NA",0)</f>
        <v>22</v>
      </c>
      <c r="I18" cm="1">
        <f t="array" ref="I18">_xlfn.XLOOKUP(movies[[#This Row],[movie_id]:[movie_id]], financials[[#All],[movie_id]:[movie_id]], financials[[#All],[revenue]], "NA",0)</f>
        <v>513</v>
      </c>
      <c r="J18" t="str" cm="1">
        <f t="array" ref="J18">_xlfn.XLOOKUP(movies[[#This Row],[movie_id]:[movie_id]], financials[[#All],[movie_id]:[movie_id]], financials[[#All],[unit]], "NA",0)</f>
        <v>Millions</v>
      </c>
      <c r="K18" t="str" cm="1">
        <f t="array" ref="K18">_xlfn.XLOOKUP(movies[[#This Row],[movie_id]:[movie_id]], financials[[#All],[movie_id]:[movie_id]], financials[[#All],[currency]], "NA",0)</f>
        <v>USD</v>
      </c>
      <c r="L18">
        <f>IF(movies[[#This Row],[unit]]="Billions",movies[[#This Row],[budget]]*1000,movies[[#This Row],[budget]])</f>
        <v>22</v>
      </c>
      <c r="M18">
        <f>IF(movies[[#This Row],[unit]]="Billions", movies[[#This Row],[revenue]]*1000,movies[[#This Row],[revenue]])</f>
        <v>513</v>
      </c>
      <c r="N18">
        <f>IF(movies[[#This Row],[currency]]="USD", movies[[#This Row],[budget]]*85, movies[[#This Row],[budget]])</f>
        <v>1870</v>
      </c>
      <c r="O18">
        <f>IF(movies[[#This Row],[currency]]="USD", movies[[#This Row],[revenue]]*85, movies[[#This Row],[revenue]])</f>
        <v>43605</v>
      </c>
    </row>
    <row r="19" spans="1:15" x14ac:dyDescent="0.3">
      <c r="A19">
        <v>218</v>
      </c>
      <c r="B19" t="s">
        <v>41</v>
      </c>
      <c r="C19" t="s">
        <v>13</v>
      </c>
      <c r="D19">
        <v>2015</v>
      </c>
      <c r="E19">
        <v>7.3</v>
      </c>
      <c r="F19" t="s">
        <v>16</v>
      </c>
      <c r="G19">
        <v>3</v>
      </c>
      <c r="H19" cm="1">
        <f t="array" ref="H19">_xlfn.XLOOKUP(movies[[#This Row],[movie_id]:[movie_id]], financials[[#All],[movie_id]:[movie_id]], financials[[#All],[budget]], "NA",0)</f>
        <v>192</v>
      </c>
      <c r="I19" cm="1">
        <f t="array" ref="I19">_xlfn.XLOOKUP(movies[[#This Row],[movie_id]:[movie_id]], financials[[#All],[movie_id]:[movie_id]], financials[[#All],[revenue]], "NA",0)</f>
        <v>588</v>
      </c>
      <c r="J19" t="str" cm="1">
        <f t="array" ref="J19">_xlfn.XLOOKUP(movies[[#This Row],[movie_id]:[movie_id]], financials[[#All],[movie_id]:[movie_id]], financials[[#All],[unit]], "NA",0)</f>
        <v>Millions</v>
      </c>
      <c r="K19" t="str" cm="1">
        <f t="array" ref="K19">_xlfn.XLOOKUP(movies[[#This Row],[movie_id]:[movie_id]], financials[[#All],[movie_id]:[movie_id]], financials[[#All],[currency]], "NA",0)</f>
        <v>INR</v>
      </c>
      <c r="L19">
        <f>IF(movies[[#This Row],[unit]]="Billions",movies[[#This Row],[budget]]*1000,movies[[#This Row],[budget]])</f>
        <v>192</v>
      </c>
      <c r="M19">
        <f>IF(movies[[#This Row],[unit]]="Billions", movies[[#This Row],[revenue]]*1000,movies[[#This Row],[revenue]])</f>
        <v>588</v>
      </c>
      <c r="N19">
        <f>IF(movies[[#This Row],[currency]]="USD", movies[[#This Row],[budget]]*85, movies[[#This Row],[budget]])</f>
        <v>192</v>
      </c>
      <c r="O19">
        <f>IF(movies[[#This Row],[currency]]="USD", movies[[#This Row],[revenue]]*85, movies[[#This Row],[revenue]])</f>
        <v>588</v>
      </c>
    </row>
    <row r="20" spans="1:15" x14ac:dyDescent="0.3">
      <c r="A20">
        <v>219</v>
      </c>
      <c r="B20" t="s">
        <v>42</v>
      </c>
      <c r="C20" t="s">
        <v>13</v>
      </c>
      <c r="D20">
        <v>2019</v>
      </c>
      <c r="E20">
        <v>5.7</v>
      </c>
      <c r="F20" t="s">
        <v>17</v>
      </c>
      <c r="G20">
        <v>4</v>
      </c>
      <c r="H20" cm="1">
        <f t="array" ref="H20">_xlfn.XLOOKUP(movies[[#This Row],[movie_id]:[movie_id]], financials[[#All],[movie_id]:[movie_id]], financials[[#All],[budget]], "NA",0)</f>
        <v>269</v>
      </c>
      <c r="I20" cm="1">
        <f t="array" ref="I20">_xlfn.XLOOKUP(movies[[#This Row],[movie_id]:[movie_id]], financials[[#All],[movie_id]:[movie_id]], financials[[#All],[revenue]], "NA",0)</f>
        <v>664</v>
      </c>
      <c r="J20" t="str" cm="1">
        <f t="array" ref="J20">_xlfn.XLOOKUP(movies[[#This Row],[movie_id]:[movie_id]], financials[[#All],[movie_id]:[movie_id]], financials[[#All],[unit]], "NA",0)</f>
        <v>Millions</v>
      </c>
      <c r="K20" t="str" cm="1">
        <f t="array" ref="K20">_xlfn.XLOOKUP(movies[[#This Row],[movie_id]:[movie_id]], financials[[#All],[movie_id]:[movie_id]], financials[[#All],[currency]], "NA",0)</f>
        <v>USD</v>
      </c>
      <c r="L20">
        <f>IF(movies[[#This Row],[unit]]="Billions",movies[[#This Row],[budget]]*1000,movies[[#This Row],[budget]])</f>
        <v>269</v>
      </c>
      <c r="M20">
        <f>IF(movies[[#This Row],[unit]]="Billions", movies[[#This Row],[revenue]]*1000,movies[[#This Row],[revenue]])</f>
        <v>664</v>
      </c>
      <c r="N20">
        <f>IF(movies[[#This Row],[currency]]="USD", movies[[#This Row],[budget]]*85, movies[[#This Row],[budget]])</f>
        <v>22865</v>
      </c>
      <c r="O20">
        <f>IF(movies[[#This Row],[currency]]="USD", movies[[#This Row],[revenue]]*85, movies[[#This Row],[revenue]])</f>
        <v>56440</v>
      </c>
    </row>
    <row r="21" spans="1:15" x14ac:dyDescent="0.3">
      <c r="A21">
        <v>220</v>
      </c>
      <c r="B21" t="s">
        <v>11</v>
      </c>
      <c r="C21" t="s">
        <v>12</v>
      </c>
      <c r="D21">
        <v>2018</v>
      </c>
      <c r="E21">
        <v>6.7</v>
      </c>
      <c r="F21" t="s">
        <v>18</v>
      </c>
      <c r="G21">
        <v>1</v>
      </c>
      <c r="H21" cm="1">
        <f t="array" ref="H21">_xlfn.XLOOKUP(movies[[#This Row],[movie_id]:[movie_id]], financials[[#All],[movie_id]:[movie_id]], financials[[#All],[budget]], "NA",0)</f>
        <v>273</v>
      </c>
      <c r="I21" cm="1">
        <f t="array" ref="I21">_xlfn.XLOOKUP(movies[[#This Row],[movie_id]:[movie_id]], financials[[#All],[movie_id]:[movie_id]], financials[[#All],[revenue]], "NA",0)</f>
        <v>519</v>
      </c>
      <c r="J21" t="str" cm="1">
        <f t="array" ref="J21">_xlfn.XLOOKUP(movies[[#This Row],[movie_id]:[movie_id]], financials[[#All],[movie_id]:[movie_id]], financials[[#All],[unit]], "NA",0)</f>
        <v>Millions</v>
      </c>
      <c r="K21" t="str" cm="1">
        <f t="array" ref="K21">_xlfn.XLOOKUP(movies[[#This Row],[movie_id]:[movie_id]], financials[[#All],[movie_id]:[movie_id]], financials[[#All],[currency]], "NA",0)</f>
        <v>USD</v>
      </c>
      <c r="L21">
        <f>IF(movies[[#This Row],[unit]]="Billions",movies[[#This Row],[budget]]*1000,movies[[#This Row],[budget]])</f>
        <v>273</v>
      </c>
      <c r="M21">
        <f>IF(movies[[#This Row],[unit]]="Billions", movies[[#This Row],[revenue]]*1000,movies[[#This Row],[revenue]])</f>
        <v>519</v>
      </c>
      <c r="N21">
        <f>IF(movies[[#This Row],[currency]]="USD", movies[[#This Row],[budget]]*85, movies[[#This Row],[budget]])</f>
        <v>23205</v>
      </c>
      <c r="O21">
        <f>IF(movies[[#This Row],[currency]]="USD", movies[[#This Row],[revenue]]*85, movies[[#This Row],[revenue]])</f>
        <v>44115</v>
      </c>
    </row>
    <row r="22" spans="1:15" x14ac:dyDescent="0.3">
      <c r="A22" t="s">
        <v>54</v>
      </c>
      <c r="B22">
        <f>SUBTOTAL(103,movies[title])</f>
        <v>20</v>
      </c>
      <c r="N22">
        <f>SUBTOTAL(109,movies[budget INR])</f>
        <v>121567</v>
      </c>
      <c r="O22">
        <f>SUBTOTAL(109,movies[revenue INR])</f>
        <v>537100</v>
      </c>
    </row>
    <row r="25" spans="1:15" x14ac:dyDescent="0.3">
      <c r="A25" s="1" t="s">
        <v>61</v>
      </c>
      <c r="B25" s="1" t="s">
        <v>68</v>
      </c>
      <c r="I25" t="s">
        <v>57</v>
      </c>
      <c r="J25">
        <f>COUNT(movies[movie_id])</f>
        <v>20</v>
      </c>
    </row>
    <row r="26" spans="1:15" x14ac:dyDescent="0.3">
      <c r="A26" t="s">
        <v>62</v>
      </c>
      <c r="B26" s="4">
        <f>SUMIF(movies[studio], "Studio A", movies[revenue INR])</f>
        <v>7350</v>
      </c>
      <c r="I26" t="s">
        <v>58</v>
      </c>
      <c r="J26">
        <f>COUNTIF(movies[industry], "Bollywood")</f>
        <v>10</v>
      </c>
    </row>
    <row r="27" spans="1:15" x14ac:dyDescent="0.3">
      <c r="A27" t="s">
        <v>63</v>
      </c>
      <c r="B27" s="4">
        <f>SUMIF(movies[studio], "Studio A", movies[budget INR])</f>
        <v>17234</v>
      </c>
      <c r="I27" t="s">
        <v>59</v>
      </c>
      <c r="J27">
        <f>SUMIF(movies[industry], "Bollywood", movies[revenue INR])</f>
        <v>316376</v>
      </c>
    </row>
    <row r="28" spans="1:15" x14ac:dyDescent="0.3">
      <c r="A28" t="s">
        <v>64</v>
      </c>
      <c r="B28" s="4">
        <f>B26-B27</f>
        <v>-9884</v>
      </c>
      <c r="I28" t="s">
        <v>60</v>
      </c>
      <c r="J28">
        <f>J27/J26</f>
        <v>31637.599999999999</v>
      </c>
    </row>
    <row r="29" spans="1:15" x14ac:dyDescent="0.3">
      <c r="A29" t="s">
        <v>67</v>
      </c>
      <c r="B29" s="5">
        <f>SUMIF(movies[industry], "Hollywood", movies[revenue INR])</f>
        <v>220724</v>
      </c>
    </row>
    <row r="30" spans="1:15" x14ac:dyDescent="0.3">
      <c r="A30" t="s">
        <v>65</v>
      </c>
      <c r="B30" s="5">
        <f>SUM(movies[revenue INR])</f>
        <v>537100</v>
      </c>
    </row>
    <row r="31" spans="1:15" x14ac:dyDescent="0.3">
      <c r="A31" t="s">
        <v>66</v>
      </c>
      <c r="B31" s="6">
        <f>B26/B30</f>
        <v>1.368460249487991E-2</v>
      </c>
      <c r="I31" t="s">
        <v>72</v>
      </c>
      <c r="J31">
        <f>AVERAGE(movies[imdb_rating])</f>
        <v>6.9899999999999975</v>
      </c>
    </row>
    <row r="32" spans="1:15" x14ac:dyDescent="0.3">
      <c r="I32" t="s">
        <v>73</v>
      </c>
      <c r="J32">
        <f>MEDIAN(movies[imdb_rating])</f>
        <v>6.75</v>
      </c>
    </row>
    <row r="33" spans="9:11" x14ac:dyDescent="0.3">
      <c r="I33" t="s">
        <v>74</v>
      </c>
      <c r="J33" cm="1">
        <f t="array" ref="J33:J34">_xlfn.MODE.MULT(movies[imdb_rating])</f>
        <v>6</v>
      </c>
    </row>
    <row r="34" spans="9:11" x14ac:dyDescent="0.3">
      <c r="J34">
        <v>7.4</v>
      </c>
    </row>
    <row r="35" spans="9:11" x14ac:dyDescent="0.3">
      <c r="I35" t="s">
        <v>97</v>
      </c>
      <c r="J35" s="38">
        <f>_xlfn.VAR.P(movies[imdb_rating])</f>
        <v>1.6409000000000378</v>
      </c>
    </row>
    <row r="36" spans="9:11" x14ac:dyDescent="0.3">
      <c r="I36" t="s">
        <v>98</v>
      </c>
      <c r="J36" s="38">
        <f>_xlfn.STDEV.P(movies[imdb_rating])</f>
        <v>1.2809761902549313</v>
      </c>
    </row>
    <row r="38" spans="9:11" x14ac:dyDescent="0.3">
      <c r="I38" t="s">
        <v>244</v>
      </c>
      <c r="J38" s="38">
        <f>J31+J36</f>
        <v>8.2709761902549293</v>
      </c>
      <c r="K38" t="s">
        <v>253</v>
      </c>
    </row>
    <row r="39" spans="9:11" x14ac:dyDescent="0.3">
      <c r="J39" s="38">
        <f>J31-J36</f>
        <v>5.7090238097450658</v>
      </c>
      <c r="K39" t="s">
        <v>254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D14" sqref="D14"/>
    </sheetView>
  </sheetViews>
  <sheetFormatPr defaultRowHeight="14.4" x14ac:dyDescent="0.3"/>
  <cols>
    <col min="1" max="1" width="13.21875" bestFit="1" customWidth="1"/>
    <col min="2" max="2" width="11.44140625" bestFit="1" customWidth="1"/>
    <col min="3" max="3" width="12.33203125" bestFit="1" customWidth="1"/>
    <col min="4" max="4" width="8.77734375" bestFit="1" customWidth="1"/>
    <col min="5" max="5" width="12.77734375" bestFit="1" customWidth="1"/>
  </cols>
  <sheetData>
    <row r="1" spans="1:5" x14ac:dyDescent="0.3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3">
      <c r="A2">
        <v>201</v>
      </c>
      <c r="B2">
        <v>270</v>
      </c>
      <c r="C2">
        <v>306</v>
      </c>
      <c r="D2" t="s">
        <v>19</v>
      </c>
      <c r="E2" t="s">
        <v>20</v>
      </c>
    </row>
    <row r="3" spans="1:5" x14ac:dyDescent="0.3">
      <c r="A3">
        <v>202</v>
      </c>
      <c r="B3">
        <v>79</v>
      </c>
      <c r="C3">
        <v>392</v>
      </c>
      <c r="D3" t="s">
        <v>19</v>
      </c>
      <c r="E3" t="s">
        <v>21</v>
      </c>
    </row>
    <row r="4" spans="1:5" x14ac:dyDescent="0.3">
      <c r="A4">
        <v>203</v>
      </c>
      <c r="B4">
        <v>233</v>
      </c>
      <c r="C4">
        <v>730</v>
      </c>
      <c r="D4" t="s">
        <v>19</v>
      </c>
      <c r="E4" t="s">
        <v>20</v>
      </c>
    </row>
    <row r="5" spans="1:5" x14ac:dyDescent="0.3">
      <c r="A5">
        <v>204</v>
      </c>
      <c r="B5">
        <v>70</v>
      </c>
      <c r="C5">
        <v>347</v>
      </c>
      <c r="D5" t="s">
        <v>19</v>
      </c>
      <c r="E5" t="s">
        <v>21</v>
      </c>
    </row>
    <row r="6" spans="1:5" x14ac:dyDescent="0.3">
      <c r="A6">
        <v>205</v>
      </c>
      <c r="B6">
        <v>24</v>
      </c>
      <c r="C6">
        <v>870</v>
      </c>
      <c r="D6" t="s">
        <v>19</v>
      </c>
      <c r="E6" t="s">
        <v>20</v>
      </c>
    </row>
    <row r="7" spans="1:5" x14ac:dyDescent="0.3">
      <c r="A7">
        <v>206</v>
      </c>
      <c r="B7">
        <v>266</v>
      </c>
      <c r="C7">
        <v>149</v>
      </c>
      <c r="D7" t="s">
        <v>19</v>
      </c>
      <c r="E7" t="s">
        <v>20</v>
      </c>
    </row>
    <row r="8" spans="1:5" x14ac:dyDescent="0.3">
      <c r="A8">
        <v>207</v>
      </c>
      <c r="B8">
        <v>135</v>
      </c>
      <c r="C8">
        <v>919</v>
      </c>
      <c r="D8" t="s">
        <v>19</v>
      </c>
      <c r="E8" t="s">
        <v>21</v>
      </c>
    </row>
    <row r="9" spans="1:5" x14ac:dyDescent="0.3">
      <c r="A9">
        <v>208</v>
      </c>
      <c r="B9">
        <v>184</v>
      </c>
      <c r="C9">
        <v>130</v>
      </c>
      <c r="D9" t="s">
        <v>19</v>
      </c>
      <c r="E9" t="s">
        <v>21</v>
      </c>
    </row>
    <row r="10" spans="1:5" x14ac:dyDescent="0.3">
      <c r="A10">
        <v>209</v>
      </c>
      <c r="B10">
        <v>275</v>
      </c>
      <c r="C10">
        <v>670</v>
      </c>
      <c r="D10" t="s">
        <v>19</v>
      </c>
      <c r="E10" t="s">
        <v>20</v>
      </c>
    </row>
    <row r="11" spans="1:5" x14ac:dyDescent="0.3">
      <c r="A11">
        <v>210</v>
      </c>
      <c r="B11">
        <v>249</v>
      </c>
      <c r="C11">
        <v>742</v>
      </c>
      <c r="D11" t="s">
        <v>19</v>
      </c>
      <c r="E11" t="s">
        <v>20</v>
      </c>
    </row>
    <row r="12" spans="1:5" x14ac:dyDescent="0.3">
      <c r="A12">
        <v>211</v>
      </c>
      <c r="B12">
        <v>123</v>
      </c>
      <c r="C12">
        <v>605</v>
      </c>
      <c r="D12" t="s">
        <v>19</v>
      </c>
      <c r="E12" t="s">
        <v>20</v>
      </c>
    </row>
    <row r="13" spans="1:5" x14ac:dyDescent="0.3">
      <c r="A13">
        <v>212</v>
      </c>
      <c r="B13">
        <v>21</v>
      </c>
      <c r="C13">
        <v>740</v>
      </c>
      <c r="D13" t="s">
        <v>19</v>
      </c>
      <c r="E13" t="s">
        <v>21</v>
      </c>
    </row>
    <row r="14" spans="1:5" x14ac:dyDescent="0.3">
      <c r="A14">
        <v>213</v>
      </c>
      <c r="B14">
        <v>106</v>
      </c>
      <c r="C14">
        <v>531</v>
      </c>
      <c r="D14" t="s">
        <v>19</v>
      </c>
      <c r="E14" t="s">
        <v>21</v>
      </c>
    </row>
    <row r="15" spans="1:5" x14ac:dyDescent="0.3">
      <c r="A15">
        <v>214</v>
      </c>
      <c r="B15">
        <v>18</v>
      </c>
      <c r="C15">
        <v>799</v>
      </c>
      <c r="D15" t="s">
        <v>19</v>
      </c>
      <c r="E15" t="s">
        <v>21</v>
      </c>
    </row>
    <row r="16" spans="1:5" x14ac:dyDescent="0.3">
      <c r="A16">
        <v>215</v>
      </c>
      <c r="B16">
        <v>39</v>
      </c>
      <c r="C16">
        <v>636</v>
      </c>
      <c r="D16" t="s">
        <v>19</v>
      </c>
      <c r="E16" t="s">
        <v>21</v>
      </c>
    </row>
    <row r="17" spans="1:5" x14ac:dyDescent="0.3">
      <c r="A17">
        <v>216</v>
      </c>
      <c r="B17">
        <v>195</v>
      </c>
      <c r="C17">
        <v>74</v>
      </c>
      <c r="D17" t="s">
        <v>19</v>
      </c>
      <c r="E17" t="s">
        <v>21</v>
      </c>
    </row>
    <row r="18" spans="1:5" x14ac:dyDescent="0.3">
      <c r="A18">
        <v>217</v>
      </c>
      <c r="B18">
        <v>22</v>
      </c>
      <c r="C18">
        <v>513</v>
      </c>
      <c r="D18" t="s">
        <v>19</v>
      </c>
      <c r="E18" t="s">
        <v>21</v>
      </c>
    </row>
    <row r="19" spans="1:5" x14ac:dyDescent="0.3">
      <c r="A19">
        <v>218</v>
      </c>
      <c r="B19">
        <v>192</v>
      </c>
      <c r="C19">
        <v>588</v>
      </c>
      <c r="D19" t="s">
        <v>19</v>
      </c>
      <c r="E19" t="s">
        <v>20</v>
      </c>
    </row>
    <row r="20" spans="1:5" x14ac:dyDescent="0.3">
      <c r="A20">
        <v>219</v>
      </c>
      <c r="B20">
        <v>269</v>
      </c>
      <c r="C20">
        <v>664</v>
      </c>
      <c r="D20" t="s">
        <v>19</v>
      </c>
      <c r="E20" t="s">
        <v>21</v>
      </c>
    </row>
    <row r="21" spans="1:5" x14ac:dyDescent="0.3">
      <c r="A21">
        <v>220</v>
      </c>
      <c r="B21">
        <v>273</v>
      </c>
      <c r="C21">
        <v>519</v>
      </c>
      <c r="D21" t="s">
        <v>19</v>
      </c>
      <c r="E2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5" sqref="B5"/>
    </sheetView>
  </sheetViews>
  <sheetFormatPr defaultRowHeight="14.4" x14ac:dyDescent="0.3"/>
  <cols>
    <col min="1" max="1" width="12.5546875" customWidth="1"/>
    <col min="2" max="2" width="12.77734375" customWidth="1"/>
    <col min="3" max="3" width="11.5546875" customWidth="1"/>
  </cols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>
        <v>601</v>
      </c>
      <c r="B2" t="s">
        <v>25</v>
      </c>
      <c r="C2">
        <v>1998</v>
      </c>
    </row>
    <row r="3" spans="1:3" x14ac:dyDescent="0.3">
      <c r="A3">
        <v>602</v>
      </c>
      <c r="B3" t="s">
        <v>26</v>
      </c>
      <c r="C3">
        <v>1991</v>
      </c>
    </row>
    <row r="4" spans="1:3" x14ac:dyDescent="0.3">
      <c r="A4">
        <v>603</v>
      </c>
      <c r="B4" t="s">
        <v>27</v>
      </c>
      <c r="C4">
        <v>2000</v>
      </c>
    </row>
    <row r="5" spans="1:3" x14ac:dyDescent="0.3">
      <c r="A5">
        <v>604</v>
      </c>
      <c r="B5" t="s">
        <v>28</v>
      </c>
      <c r="C5">
        <v>1984</v>
      </c>
    </row>
    <row r="6" spans="1:3" x14ac:dyDescent="0.3">
      <c r="A6">
        <v>605</v>
      </c>
      <c r="B6" t="s">
        <v>29</v>
      </c>
      <c r="C6">
        <v>1976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G23" sqref="G23"/>
    </sheetView>
  </sheetViews>
  <sheetFormatPr defaultRowHeight="14.4" x14ac:dyDescent="0.3"/>
  <cols>
    <col min="1" max="1" width="10.6640625" customWidth="1"/>
    <col min="2" max="2" width="9.77734375" customWidth="1"/>
  </cols>
  <sheetData>
    <row r="1" spans="1:2" x14ac:dyDescent="0.3">
      <c r="A1" s="2" t="s">
        <v>0</v>
      </c>
      <c r="B1" s="2" t="s">
        <v>22</v>
      </c>
    </row>
    <row r="2" spans="1:2" x14ac:dyDescent="0.3">
      <c r="A2">
        <v>206</v>
      </c>
      <c r="B2">
        <v>602</v>
      </c>
    </row>
    <row r="3" spans="1:2" x14ac:dyDescent="0.3">
      <c r="A3">
        <v>207</v>
      </c>
      <c r="B3">
        <v>601</v>
      </c>
    </row>
    <row r="4" spans="1:2" x14ac:dyDescent="0.3">
      <c r="A4">
        <v>207</v>
      </c>
      <c r="B4">
        <v>602</v>
      </c>
    </row>
    <row r="5" spans="1:2" x14ac:dyDescent="0.3">
      <c r="A5">
        <v>203</v>
      </c>
      <c r="B5">
        <v>605</v>
      </c>
    </row>
    <row r="6" spans="1:2" x14ac:dyDescent="0.3">
      <c r="A6">
        <v>219</v>
      </c>
      <c r="B6">
        <v>603</v>
      </c>
    </row>
    <row r="7" spans="1:2" x14ac:dyDescent="0.3">
      <c r="A7">
        <v>208</v>
      </c>
      <c r="B7">
        <v>604</v>
      </c>
    </row>
    <row r="8" spans="1:2" x14ac:dyDescent="0.3">
      <c r="A8">
        <v>210</v>
      </c>
      <c r="B8">
        <v>601</v>
      </c>
    </row>
    <row r="9" spans="1:2" x14ac:dyDescent="0.3">
      <c r="A9">
        <v>206</v>
      </c>
      <c r="B9">
        <v>603</v>
      </c>
    </row>
    <row r="10" spans="1:2" x14ac:dyDescent="0.3">
      <c r="A10">
        <v>210</v>
      </c>
      <c r="B10">
        <v>604</v>
      </c>
    </row>
    <row r="11" spans="1:2" x14ac:dyDescent="0.3">
      <c r="A11">
        <v>218</v>
      </c>
      <c r="B11">
        <v>603</v>
      </c>
    </row>
    <row r="12" spans="1:2" x14ac:dyDescent="0.3">
      <c r="A12">
        <v>215</v>
      </c>
      <c r="B12">
        <v>604</v>
      </c>
    </row>
    <row r="13" spans="1:2" x14ac:dyDescent="0.3">
      <c r="A13">
        <v>204</v>
      </c>
      <c r="B13">
        <v>601</v>
      </c>
    </row>
    <row r="14" spans="1:2" x14ac:dyDescent="0.3">
      <c r="A14">
        <v>209</v>
      </c>
      <c r="B14">
        <v>605</v>
      </c>
    </row>
    <row r="15" spans="1:2" x14ac:dyDescent="0.3">
      <c r="A15">
        <v>207</v>
      </c>
      <c r="B15">
        <v>602</v>
      </c>
    </row>
    <row r="16" spans="1:2" x14ac:dyDescent="0.3">
      <c r="A16">
        <v>207</v>
      </c>
      <c r="B16">
        <v>605</v>
      </c>
    </row>
    <row r="17" spans="1:2" x14ac:dyDescent="0.3">
      <c r="A17">
        <v>202</v>
      </c>
      <c r="B17">
        <v>602</v>
      </c>
    </row>
    <row r="18" spans="1:2" x14ac:dyDescent="0.3">
      <c r="A18">
        <v>219</v>
      </c>
      <c r="B18">
        <v>601</v>
      </c>
    </row>
    <row r="19" spans="1:2" x14ac:dyDescent="0.3">
      <c r="A19">
        <v>208</v>
      </c>
      <c r="B19">
        <v>603</v>
      </c>
    </row>
    <row r="20" spans="1:2" x14ac:dyDescent="0.3">
      <c r="A20">
        <v>207</v>
      </c>
      <c r="B20">
        <v>603</v>
      </c>
    </row>
    <row r="21" spans="1:2" x14ac:dyDescent="0.3">
      <c r="A21">
        <v>205</v>
      </c>
      <c r="B21">
        <v>602</v>
      </c>
    </row>
    <row r="22" spans="1:2" x14ac:dyDescent="0.3">
      <c r="A22">
        <v>215</v>
      </c>
      <c r="B22">
        <v>605</v>
      </c>
    </row>
    <row r="23" spans="1:2" x14ac:dyDescent="0.3">
      <c r="A23">
        <v>201</v>
      </c>
      <c r="B23">
        <v>601</v>
      </c>
    </row>
    <row r="24" spans="1:2" x14ac:dyDescent="0.3">
      <c r="A24">
        <v>215</v>
      </c>
      <c r="B24">
        <v>602</v>
      </c>
    </row>
    <row r="25" spans="1:2" x14ac:dyDescent="0.3">
      <c r="A25">
        <v>219</v>
      </c>
      <c r="B25">
        <v>601</v>
      </c>
    </row>
    <row r="26" spans="1:2" x14ac:dyDescent="0.3">
      <c r="A26">
        <v>213</v>
      </c>
      <c r="B26">
        <v>605</v>
      </c>
    </row>
    <row r="27" spans="1:2" x14ac:dyDescent="0.3">
      <c r="A27">
        <v>215</v>
      </c>
      <c r="B27">
        <v>601</v>
      </c>
    </row>
    <row r="28" spans="1:2" x14ac:dyDescent="0.3">
      <c r="A28">
        <v>214</v>
      </c>
      <c r="B28">
        <v>602</v>
      </c>
    </row>
    <row r="29" spans="1:2" x14ac:dyDescent="0.3">
      <c r="A29">
        <v>217</v>
      </c>
      <c r="B29">
        <v>605</v>
      </c>
    </row>
    <row r="30" spans="1:2" x14ac:dyDescent="0.3">
      <c r="A30">
        <v>220</v>
      </c>
      <c r="B30">
        <v>601</v>
      </c>
    </row>
    <row r="31" spans="1:2" x14ac:dyDescent="0.3">
      <c r="A31">
        <v>205</v>
      </c>
      <c r="B31">
        <v>602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4" sqref="B4"/>
    </sheetView>
  </sheetViews>
  <sheetFormatPr defaultRowHeight="14.4" x14ac:dyDescent="0.3"/>
  <cols>
    <col min="1" max="1" width="15.6640625" bestFit="1" customWidth="1"/>
    <col min="2" max="2" width="10.21875" bestFit="1" customWidth="1"/>
  </cols>
  <sheetData>
    <row r="1" spans="1:2" x14ac:dyDescent="0.3">
      <c r="A1" s="2" t="s">
        <v>6</v>
      </c>
      <c r="B1" s="2" t="s">
        <v>23</v>
      </c>
    </row>
    <row r="2" spans="1:2" x14ac:dyDescent="0.3">
      <c r="A2">
        <v>1</v>
      </c>
      <c r="B2" t="s">
        <v>30</v>
      </c>
    </row>
    <row r="3" spans="1:2" x14ac:dyDescent="0.3">
      <c r="A3">
        <v>2</v>
      </c>
      <c r="B3" t="s">
        <v>31</v>
      </c>
    </row>
    <row r="4" spans="1:2" x14ac:dyDescent="0.3">
      <c r="A4">
        <v>3</v>
      </c>
      <c r="B4" t="s">
        <v>32</v>
      </c>
    </row>
    <row r="5" spans="1:2" x14ac:dyDescent="0.3">
      <c r="A5">
        <v>4</v>
      </c>
      <c r="B5" t="s">
        <v>33</v>
      </c>
    </row>
    <row r="6" spans="1:2" x14ac:dyDescent="0.3">
      <c r="A6">
        <v>5</v>
      </c>
      <c r="B6" t="s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9BEE-D338-4501-9728-1B3138EF1639}">
  <dimension ref="A1:B6"/>
  <sheetViews>
    <sheetView zoomScale="205" zoomScaleNormal="205" workbookViewId="0">
      <selection sqref="A1:B6"/>
    </sheetView>
  </sheetViews>
  <sheetFormatPr defaultRowHeight="14.4" x14ac:dyDescent="0.3"/>
  <cols>
    <col min="1" max="1" width="18.21875" bestFit="1" customWidth="1"/>
    <col min="2" max="2" width="13.33203125" bestFit="1" customWidth="1"/>
  </cols>
  <sheetData>
    <row r="1" spans="1:2" x14ac:dyDescent="0.3">
      <c r="A1" s="1" t="s">
        <v>61</v>
      </c>
      <c r="B1" s="1" t="s">
        <v>68</v>
      </c>
    </row>
    <row r="2" spans="1:2" x14ac:dyDescent="0.3">
      <c r="A2" t="s">
        <v>62</v>
      </c>
    </row>
    <row r="3" spans="1:2" x14ac:dyDescent="0.3">
      <c r="A3" t="s">
        <v>63</v>
      </c>
    </row>
    <row r="4" spans="1:2" x14ac:dyDescent="0.3">
      <c r="A4" t="s">
        <v>64</v>
      </c>
    </row>
    <row r="5" spans="1:2" x14ac:dyDescent="0.3">
      <c r="A5" t="s">
        <v>67</v>
      </c>
    </row>
    <row r="6" spans="1:2" x14ac:dyDescent="0.3">
      <c r="A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9817-71AA-43A5-A102-C58A85613B9E}">
  <dimension ref="B1:J17"/>
  <sheetViews>
    <sheetView zoomScale="140" zoomScaleNormal="140" workbookViewId="0">
      <selection activeCell="C3" sqref="C3:C12"/>
    </sheetView>
  </sheetViews>
  <sheetFormatPr defaultRowHeight="14.4" x14ac:dyDescent="0.3"/>
  <cols>
    <col min="2" max="2" width="9.33203125" bestFit="1" customWidth="1"/>
  </cols>
  <sheetData>
    <row r="1" spans="2:10" x14ac:dyDescent="0.3">
      <c r="H1" s="1" t="s">
        <v>72</v>
      </c>
      <c r="I1" s="1" t="s">
        <v>73</v>
      </c>
      <c r="J1" s="1" t="s">
        <v>74</v>
      </c>
    </row>
    <row r="2" spans="2:10" x14ac:dyDescent="0.3">
      <c r="B2" s="8"/>
      <c r="C2" s="9" t="s">
        <v>76</v>
      </c>
      <c r="D2" s="9" t="s">
        <v>77</v>
      </c>
      <c r="E2" s="9" t="s">
        <v>78</v>
      </c>
      <c r="H2" t="s">
        <v>75</v>
      </c>
    </row>
    <row r="3" spans="2:10" x14ac:dyDescent="0.3">
      <c r="B3" s="7">
        <v>1</v>
      </c>
      <c r="C3">
        <v>10</v>
      </c>
      <c r="D3">
        <v>7</v>
      </c>
      <c r="E3">
        <v>3</v>
      </c>
    </row>
    <row r="4" spans="2:10" x14ac:dyDescent="0.3">
      <c r="B4" s="7">
        <v>2</v>
      </c>
      <c r="C4">
        <v>9</v>
      </c>
      <c r="D4">
        <v>2</v>
      </c>
      <c r="E4">
        <v>1</v>
      </c>
    </row>
    <row r="5" spans="2:10" x14ac:dyDescent="0.3">
      <c r="B5" s="7">
        <v>3</v>
      </c>
      <c r="C5">
        <v>8</v>
      </c>
      <c r="D5">
        <v>2</v>
      </c>
      <c r="E5">
        <v>9</v>
      </c>
    </row>
    <row r="6" spans="2:10" x14ac:dyDescent="0.3">
      <c r="B6" s="7">
        <v>4</v>
      </c>
      <c r="C6">
        <v>10</v>
      </c>
      <c r="D6">
        <v>10</v>
      </c>
      <c r="E6">
        <v>1</v>
      </c>
    </row>
    <row r="7" spans="2:10" x14ac:dyDescent="0.3">
      <c r="B7" s="7">
        <v>5</v>
      </c>
      <c r="C7">
        <v>1</v>
      </c>
      <c r="D7">
        <v>9</v>
      </c>
      <c r="E7">
        <v>1</v>
      </c>
    </row>
    <row r="8" spans="2:10" x14ac:dyDescent="0.3">
      <c r="B8" s="7">
        <v>6</v>
      </c>
      <c r="C8">
        <v>6</v>
      </c>
      <c r="D8">
        <v>5</v>
      </c>
      <c r="E8">
        <v>4</v>
      </c>
    </row>
    <row r="9" spans="2:10" x14ac:dyDescent="0.3">
      <c r="B9" s="7">
        <v>7</v>
      </c>
      <c r="C9">
        <v>5</v>
      </c>
      <c r="D9">
        <v>1</v>
      </c>
      <c r="E9">
        <v>2</v>
      </c>
    </row>
    <row r="10" spans="2:10" x14ac:dyDescent="0.3">
      <c r="B10" s="7">
        <v>8</v>
      </c>
      <c r="C10">
        <v>8</v>
      </c>
      <c r="D10">
        <v>7</v>
      </c>
      <c r="E10">
        <v>2</v>
      </c>
    </row>
    <row r="11" spans="2:10" x14ac:dyDescent="0.3">
      <c r="B11" s="7">
        <v>9</v>
      </c>
      <c r="C11">
        <v>6</v>
      </c>
      <c r="D11">
        <v>4</v>
      </c>
      <c r="E11">
        <v>3</v>
      </c>
    </row>
    <row r="12" spans="2:10" x14ac:dyDescent="0.3">
      <c r="B12" s="8" t="s">
        <v>80</v>
      </c>
      <c r="C12" s="9">
        <v>7</v>
      </c>
      <c r="D12" s="9">
        <v>50</v>
      </c>
      <c r="E12" s="9">
        <v>4</v>
      </c>
    </row>
    <row r="13" spans="2:10" x14ac:dyDescent="0.3">
      <c r="B13" s="7" t="s">
        <v>79</v>
      </c>
      <c r="C13">
        <f>AVERAGE(C3:C12)</f>
        <v>7</v>
      </c>
      <c r="D13">
        <f t="shared" ref="D13:E13" si="0">AVERAGE(D3:D12)</f>
        <v>9.6999999999999993</v>
      </c>
      <c r="E13">
        <f t="shared" si="0"/>
        <v>3</v>
      </c>
    </row>
    <row r="14" spans="2:10" x14ac:dyDescent="0.3">
      <c r="B14" s="11" t="s">
        <v>73</v>
      </c>
      <c r="C14" s="12">
        <f>MEDIAN(C3:C12)</f>
        <v>7.5</v>
      </c>
      <c r="D14" s="12">
        <f t="shared" ref="D14:E14" si="1">MEDIAN(D3:D12)</f>
        <v>6</v>
      </c>
      <c r="E14" s="12">
        <f t="shared" si="1"/>
        <v>2.5</v>
      </c>
    </row>
    <row r="15" spans="2:10" x14ac:dyDescent="0.3">
      <c r="B15" s="10" t="s">
        <v>74</v>
      </c>
      <c r="C15" s="3" cm="1">
        <f t="array" ref="C15:C17">_xlfn.MODE.MULT(C3:C12)</f>
        <v>10</v>
      </c>
      <c r="D15" s="3" cm="1">
        <f t="array" ref="D15:D16">_xlfn.MODE.MULT(D3:D12)</f>
        <v>7</v>
      </c>
      <c r="E15" s="3" cm="1">
        <f t="array" ref="E15">_xlfn.MODE.MULT(E3:E12)</f>
        <v>1</v>
      </c>
    </row>
    <row r="16" spans="2:10" x14ac:dyDescent="0.3">
      <c r="C16">
        <v>8</v>
      </c>
      <c r="D16">
        <v>2</v>
      </c>
    </row>
    <row r="17" spans="3:3" x14ac:dyDescent="0.3">
      <c r="C1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3FA-246A-407D-B9C4-6358AF9ADEF6}">
  <dimension ref="A1:P37"/>
  <sheetViews>
    <sheetView topLeftCell="F4" zoomScale="140" zoomScaleNormal="140" workbookViewId="0">
      <selection activeCell="J17" sqref="J17:J18"/>
    </sheetView>
  </sheetViews>
  <sheetFormatPr defaultRowHeight="14.4" x14ac:dyDescent="0.3"/>
  <cols>
    <col min="1" max="1" width="14.88671875" customWidth="1"/>
    <col min="2" max="2" width="13.109375" bestFit="1" customWidth="1"/>
    <col min="3" max="3" width="14.88671875" customWidth="1"/>
    <col min="4" max="4" width="13.77734375" bestFit="1" customWidth="1"/>
    <col min="5" max="5" width="15.21875" bestFit="1" customWidth="1"/>
    <col min="10" max="10" width="12.77734375" bestFit="1" customWidth="1"/>
    <col min="11" max="11" width="6.77734375" bestFit="1" customWidth="1"/>
    <col min="14" max="14" width="9.33203125" customWidth="1"/>
    <col min="15" max="15" width="12.6640625" bestFit="1" customWidth="1"/>
    <col min="16" max="16" width="6.77734375" bestFit="1" customWidth="1"/>
  </cols>
  <sheetData>
    <row r="1" spans="1:16" x14ac:dyDescent="0.3">
      <c r="A1" s="13" t="str">
        <f>movies!A25</f>
        <v>Key Metrics</v>
      </c>
      <c r="B1" s="13" t="str">
        <f>movies!B25</f>
        <v>"Studio A" P&amp;L</v>
      </c>
      <c r="C1" s="16" t="s">
        <v>81</v>
      </c>
      <c r="D1" s="13" t="s">
        <v>83</v>
      </c>
      <c r="E1" s="13" t="s">
        <v>84</v>
      </c>
      <c r="H1" s="45" t="s">
        <v>245</v>
      </c>
      <c r="I1" s="45"/>
      <c r="J1" s="45"/>
      <c r="K1" s="45"/>
      <c r="M1" s="41" t="s">
        <v>246</v>
      </c>
      <c r="N1" s="41"/>
      <c r="O1" s="41"/>
      <c r="P1" s="41"/>
    </row>
    <row r="2" spans="1:16" x14ac:dyDescent="0.3">
      <c r="A2" t="str">
        <f>movies!A26</f>
        <v>Revenue</v>
      </c>
      <c r="B2" s="14">
        <f>movies!B26</f>
        <v>7350</v>
      </c>
      <c r="C2" s="34">
        <v>8000</v>
      </c>
      <c r="D2" s="19">
        <f>B2-C2</f>
        <v>-650</v>
      </c>
      <c r="E2" s="35">
        <f>D2/B2</f>
        <v>-8.8435374149659865E-2</v>
      </c>
      <c r="H2" s="17" t="s">
        <v>85</v>
      </c>
      <c r="I2" s="17" t="s">
        <v>94</v>
      </c>
      <c r="J2" s="17" t="s">
        <v>95</v>
      </c>
      <c r="K2" s="17" t="s">
        <v>96</v>
      </c>
      <c r="M2" s="17" t="s">
        <v>85</v>
      </c>
      <c r="N2" s="17" t="s">
        <v>94</v>
      </c>
      <c r="O2" s="17" t="s">
        <v>95</v>
      </c>
      <c r="P2" s="17" t="s">
        <v>96</v>
      </c>
    </row>
    <row r="3" spans="1:16" x14ac:dyDescent="0.3">
      <c r="A3" t="str">
        <f>movies!A27</f>
        <v>Budget</v>
      </c>
      <c r="B3" s="14">
        <f>movies!B27</f>
        <v>17234</v>
      </c>
      <c r="C3" s="34">
        <v>15000</v>
      </c>
      <c r="D3" s="19">
        <f>B3-C3</f>
        <v>2234</v>
      </c>
      <c r="E3" s="35">
        <f t="shared" ref="E3:E6" si="0">D3/B3</f>
        <v>0.12962748056168039</v>
      </c>
      <c r="H3" s="17" t="s">
        <v>86</v>
      </c>
      <c r="I3" s="17">
        <v>71</v>
      </c>
      <c r="J3" s="17">
        <f>I3-$I$12</f>
        <v>9</v>
      </c>
      <c r="K3" s="17">
        <f>J3*J3</f>
        <v>81</v>
      </c>
      <c r="M3" s="17" t="s">
        <v>86</v>
      </c>
      <c r="N3" s="36">
        <v>99</v>
      </c>
      <c r="O3" s="17">
        <f>N3-$N$12</f>
        <v>37</v>
      </c>
      <c r="P3" s="17">
        <f>O3*O3</f>
        <v>1369</v>
      </c>
    </row>
    <row r="4" spans="1:16" x14ac:dyDescent="0.3">
      <c r="A4" t="str">
        <f>movies!A28</f>
        <v>Profit/Loss</v>
      </c>
      <c r="B4" s="14">
        <f>movies!B28</f>
        <v>-9884</v>
      </c>
      <c r="C4" s="34">
        <v>6000</v>
      </c>
      <c r="D4" s="19">
        <f t="shared" ref="D4:D6" si="1">B4-C4</f>
        <v>-15884</v>
      </c>
      <c r="E4" s="35">
        <f t="shared" si="0"/>
        <v>1.6070416835289356</v>
      </c>
      <c r="H4" s="17" t="s">
        <v>87</v>
      </c>
      <c r="I4" s="17">
        <v>62</v>
      </c>
      <c r="J4" s="17">
        <f>I4-$I$12</f>
        <v>0</v>
      </c>
      <c r="K4" s="17">
        <f t="shared" ref="K4:K10" si="2">J4*J4</f>
        <v>0</v>
      </c>
      <c r="M4" s="17" t="s">
        <v>87</v>
      </c>
      <c r="N4" s="17">
        <v>14</v>
      </c>
      <c r="O4" s="17">
        <f t="shared" ref="O4:O10" si="3">N4-$N$12</f>
        <v>-48</v>
      </c>
      <c r="P4" s="17">
        <f t="shared" ref="P4:P10" si="4">O4*O4</f>
        <v>2304</v>
      </c>
    </row>
    <row r="5" spans="1:16" x14ac:dyDescent="0.3">
      <c r="A5" t="s">
        <v>82</v>
      </c>
      <c r="B5" s="15">
        <f>B4/B3</f>
        <v>-0.57351746547522342</v>
      </c>
      <c r="C5" s="18">
        <f>C4/C3</f>
        <v>0.4</v>
      </c>
      <c r="D5" s="15">
        <f t="shared" si="1"/>
        <v>-0.97351746547522344</v>
      </c>
      <c r="E5" s="35">
        <f t="shared" si="0"/>
        <v>1.6974504249291784</v>
      </c>
      <c r="H5" s="17" t="s">
        <v>88</v>
      </c>
      <c r="I5" s="17">
        <v>66</v>
      </c>
      <c r="J5" s="17">
        <f t="shared" ref="J4:J10" si="5">I5-$I$12</f>
        <v>4</v>
      </c>
      <c r="K5" s="17">
        <f t="shared" si="2"/>
        <v>16</v>
      </c>
      <c r="M5" s="17" t="s">
        <v>88</v>
      </c>
      <c r="N5" s="17">
        <v>75</v>
      </c>
      <c r="O5" s="17">
        <f t="shared" si="3"/>
        <v>13</v>
      </c>
      <c r="P5" s="17">
        <f t="shared" si="4"/>
        <v>169</v>
      </c>
    </row>
    <row r="6" spans="1:16" x14ac:dyDescent="0.3">
      <c r="A6" t="str">
        <f>movies!A31</f>
        <v>Market Share%</v>
      </c>
      <c r="B6" s="6">
        <f>movies!B31</f>
        <v>1.368460249487991E-2</v>
      </c>
      <c r="C6" s="18">
        <v>0.1</v>
      </c>
      <c r="D6" s="6">
        <f t="shared" si="1"/>
        <v>-8.6315397505120101E-2</v>
      </c>
      <c r="E6" s="35">
        <f t="shared" si="0"/>
        <v>-6.3074829931972802</v>
      </c>
      <c r="H6" s="17" t="s">
        <v>89</v>
      </c>
      <c r="I6" s="17">
        <v>61</v>
      </c>
      <c r="J6" s="17">
        <f t="shared" si="5"/>
        <v>-1</v>
      </c>
      <c r="K6" s="17">
        <f t="shared" si="2"/>
        <v>1</v>
      </c>
      <c r="M6" s="17" t="s">
        <v>89</v>
      </c>
      <c r="N6" s="17">
        <v>84</v>
      </c>
      <c r="O6" s="17">
        <f t="shared" si="3"/>
        <v>22</v>
      </c>
      <c r="P6" s="17">
        <f t="shared" si="4"/>
        <v>484</v>
      </c>
    </row>
    <row r="7" spans="1:16" x14ac:dyDescent="0.3">
      <c r="H7" s="17" t="s">
        <v>90</v>
      </c>
      <c r="I7" s="17">
        <v>54</v>
      </c>
      <c r="J7" s="17">
        <f>I7-$I$12</f>
        <v>-8</v>
      </c>
      <c r="K7" s="17">
        <f t="shared" si="2"/>
        <v>64</v>
      </c>
      <c r="M7" s="17" t="s">
        <v>90</v>
      </c>
      <c r="N7" s="17">
        <v>44</v>
      </c>
      <c r="O7" s="17">
        <f t="shared" si="3"/>
        <v>-18</v>
      </c>
      <c r="P7" s="17">
        <f t="shared" si="4"/>
        <v>324</v>
      </c>
    </row>
    <row r="8" spans="1:16" x14ac:dyDescent="0.3">
      <c r="H8" s="17" t="s">
        <v>91</v>
      </c>
      <c r="I8" s="17">
        <v>67</v>
      </c>
      <c r="J8" s="17">
        <f t="shared" si="5"/>
        <v>5</v>
      </c>
      <c r="K8" s="17">
        <f t="shared" si="2"/>
        <v>25</v>
      </c>
      <c r="M8" s="17" t="s">
        <v>91</v>
      </c>
      <c r="N8" s="17">
        <v>54</v>
      </c>
      <c r="O8" s="17">
        <f t="shared" si="3"/>
        <v>-8</v>
      </c>
      <c r="P8" s="17">
        <f t="shared" si="4"/>
        <v>64</v>
      </c>
    </row>
    <row r="9" spans="1:16" x14ac:dyDescent="0.3">
      <c r="H9" s="17" t="s">
        <v>92</v>
      </c>
      <c r="I9" s="17">
        <v>55</v>
      </c>
      <c r="J9" s="17">
        <f t="shared" si="5"/>
        <v>-7</v>
      </c>
      <c r="K9" s="17">
        <f t="shared" si="2"/>
        <v>49</v>
      </c>
      <c r="M9" s="17" t="s">
        <v>92</v>
      </c>
      <c r="N9" s="36">
        <v>98</v>
      </c>
      <c r="O9" s="17">
        <f t="shared" si="3"/>
        <v>36</v>
      </c>
      <c r="P9" s="17">
        <f t="shared" si="4"/>
        <v>1296</v>
      </c>
    </row>
    <row r="10" spans="1:16" x14ac:dyDescent="0.3">
      <c r="H10" s="17" t="s">
        <v>93</v>
      </c>
      <c r="I10" s="17">
        <v>60</v>
      </c>
      <c r="J10" s="17">
        <f>I10-$I$12</f>
        <v>-2</v>
      </c>
      <c r="K10" s="17">
        <f t="shared" si="2"/>
        <v>4</v>
      </c>
      <c r="M10" s="17" t="s">
        <v>93</v>
      </c>
      <c r="N10" s="17">
        <v>28</v>
      </c>
      <c r="O10" s="17">
        <f t="shared" si="3"/>
        <v>-34</v>
      </c>
      <c r="P10" s="17">
        <f t="shared" si="4"/>
        <v>1156</v>
      </c>
    </row>
    <row r="12" spans="1:16" x14ac:dyDescent="0.3">
      <c r="H12" s="1" t="s">
        <v>72</v>
      </c>
      <c r="I12" s="1">
        <f>AVERAGE(I3:I10)</f>
        <v>62</v>
      </c>
      <c r="M12" t="s">
        <v>72</v>
      </c>
      <c r="N12">
        <f>AVERAGE(N3:N10)</f>
        <v>62</v>
      </c>
    </row>
    <row r="13" spans="1:16" x14ac:dyDescent="0.3">
      <c r="J13" t="s">
        <v>241</v>
      </c>
      <c r="K13">
        <f>SUM(K3:K10)</f>
        <v>240</v>
      </c>
      <c r="O13" t="s">
        <v>241</v>
      </c>
      <c r="P13">
        <f>SUM(P3:P10)</f>
        <v>7166</v>
      </c>
    </row>
    <row r="14" spans="1:16" x14ac:dyDescent="0.3">
      <c r="J14" t="s">
        <v>242</v>
      </c>
      <c r="K14">
        <f>K13/8</f>
        <v>30</v>
      </c>
      <c r="O14" t="s">
        <v>242</v>
      </c>
      <c r="P14" s="37">
        <f>P13/8</f>
        <v>895.75</v>
      </c>
    </row>
    <row r="15" spans="1:16" x14ac:dyDescent="0.3">
      <c r="J15" s="43" t="s">
        <v>243</v>
      </c>
      <c r="K15" s="44">
        <f>SQRT(K14)</f>
        <v>5.4772255750516612</v>
      </c>
      <c r="O15" s="43" t="s">
        <v>243</v>
      </c>
      <c r="P15" s="44">
        <f>SQRT(P14)</f>
        <v>29.929082845954369</v>
      </c>
    </row>
    <row r="16" spans="1:16" ht="15" thickBot="1" x14ac:dyDescent="0.35"/>
    <row r="17" spans="7:16" x14ac:dyDescent="0.3">
      <c r="G17" s="46" t="s">
        <v>244</v>
      </c>
      <c r="H17" s="47" t="s">
        <v>251</v>
      </c>
      <c r="I17" s="48">
        <f>I12+K15</f>
        <v>67.477225575051662</v>
      </c>
      <c r="J17" s="48">
        <f>I12+(2*K15)</f>
        <v>72.954451150103324</v>
      </c>
      <c r="K17" s="49">
        <f>I12+(3*K15)</f>
        <v>78.431676725154986</v>
      </c>
      <c r="M17" t="s">
        <v>244</v>
      </c>
      <c r="N17" s="39">
        <f>N12+P15</f>
        <v>91.929082845954369</v>
      </c>
    </row>
    <row r="18" spans="7:16" ht="15" thickBot="1" x14ac:dyDescent="0.35">
      <c r="G18" s="50"/>
      <c r="H18" s="51" t="s">
        <v>252</v>
      </c>
      <c r="I18" s="52">
        <f>I12-K15</f>
        <v>56.522774424948338</v>
      </c>
      <c r="J18" s="52">
        <f>I12-(2*K15)</f>
        <v>51.045548849896676</v>
      </c>
      <c r="K18" s="53">
        <f>I12-(3*K15)</f>
        <v>45.568323274845014</v>
      </c>
      <c r="N18" s="39">
        <f>N12-P15</f>
        <v>32.070917154045631</v>
      </c>
    </row>
    <row r="21" spans="7:16" x14ac:dyDescent="0.3">
      <c r="H21" s="41" t="s">
        <v>249</v>
      </c>
      <c r="I21" s="41"/>
      <c r="J21" s="41"/>
      <c r="K21" s="41"/>
      <c r="M21" s="41" t="s">
        <v>250</v>
      </c>
      <c r="N21" s="41"/>
      <c r="O21" s="41"/>
      <c r="P21" s="41"/>
    </row>
    <row r="22" spans="7:16" x14ac:dyDescent="0.3">
      <c r="H22" s="17" t="s">
        <v>85</v>
      </c>
      <c r="I22" s="17" t="s">
        <v>247</v>
      </c>
      <c r="J22" s="17" t="s">
        <v>248</v>
      </c>
      <c r="K22" s="17" t="s">
        <v>96</v>
      </c>
      <c r="M22" s="17" t="s">
        <v>85</v>
      </c>
      <c r="N22" s="17" t="s">
        <v>247</v>
      </c>
      <c r="O22" s="17" t="s">
        <v>248</v>
      </c>
      <c r="P22" s="17" t="s">
        <v>96</v>
      </c>
    </row>
    <row r="23" spans="7:16" x14ac:dyDescent="0.3">
      <c r="H23" s="17" t="s">
        <v>86</v>
      </c>
      <c r="I23" s="17">
        <v>71</v>
      </c>
      <c r="J23" s="17">
        <f>I23-$I$12</f>
        <v>9</v>
      </c>
      <c r="K23" s="17">
        <f>J23*J23</f>
        <v>81</v>
      </c>
      <c r="M23" s="17" t="s">
        <v>86</v>
      </c>
      <c r="N23" s="42">
        <v>99</v>
      </c>
      <c r="O23" s="17">
        <f>N23-$N$12</f>
        <v>37</v>
      </c>
      <c r="P23" s="17">
        <f>O23*O23</f>
        <v>1369</v>
      </c>
    </row>
    <row r="24" spans="7:16" x14ac:dyDescent="0.3">
      <c r="H24" s="17" t="s">
        <v>87</v>
      </c>
      <c r="I24" s="17">
        <v>62</v>
      </c>
      <c r="J24" s="17">
        <f>I24-$I$12</f>
        <v>0</v>
      </c>
      <c r="K24" s="17">
        <f t="shared" ref="K24:K30" si="6">J24*J24</f>
        <v>0</v>
      </c>
      <c r="M24" s="17" t="s">
        <v>87</v>
      </c>
      <c r="N24" s="17">
        <v>14</v>
      </c>
      <c r="O24" s="17">
        <f t="shared" ref="O24:O30" si="7">N24-$N$12</f>
        <v>-48</v>
      </c>
      <c r="P24" s="17">
        <f t="shared" ref="P24:P30" si="8">O24*O24</f>
        <v>2304</v>
      </c>
    </row>
    <row r="25" spans="7:16" x14ac:dyDescent="0.3">
      <c r="H25" s="17" t="s">
        <v>88</v>
      </c>
      <c r="I25" s="17">
        <v>66</v>
      </c>
      <c r="J25" s="17">
        <f t="shared" ref="J25:J29" si="9">I25-$I$12</f>
        <v>4</v>
      </c>
      <c r="K25" s="17">
        <f t="shared" si="6"/>
        <v>16</v>
      </c>
      <c r="M25" s="17" t="s">
        <v>88</v>
      </c>
      <c r="N25" s="17">
        <v>75</v>
      </c>
      <c r="O25" s="17">
        <f t="shared" si="7"/>
        <v>13</v>
      </c>
      <c r="P25" s="17">
        <f t="shared" si="8"/>
        <v>169</v>
      </c>
    </row>
    <row r="26" spans="7:16" x14ac:dyDescent="0.3">
      <c r="H26" s="17" t="s">
        <v>89</v>
      </c>
      <c r="I26" s="17">
        <v>61</v>
      </c>
      <c r="J26" s="17">
        <f t="shared" si="9"/>
        <v>-1</v>
      </c>
      <c r="K26" s="17">
        <f t="shared" si="6"/>
        <v>1</v>
      </c>
      <c r="M26" s="17" t="s">
        <v>89</v>
      </c>
      <c r="N26" s="17">
        <v>84</v>
      </c>
      <c r="O26" s="17">
        <f t="shared" si="7"/>
        <v>22</v>
      </c>
      <c r="P26" s="17">
        <f t="shared" si="8"/>
        <v>484</v>
      </c>
    </row>
    <row r="27" spans="7:16" x14ac:dyDescent="0.3">
      <c r="H27" s="17" t="s">
        <v>90</v>
      </c>
      <c r="I27" s="17">
        <v>54</v>
      </c>
      <c r="J27" s="17">
        <f>I27-$I$12</f>
        <v>-8</v>
      </c>
      <c r="K27" s="17">
        <f t="shared" si="6"/>
        <v>64</v>
      </c>
      <c r="M27" s="17" t="s">
        <v>90</v>
      </c>
      <c r="N27" s="17">
        <v>44</v>
      </c>
      <c r="O27" s="17">
        <f t="shared" si="7"/>
        <v>-18</v>
      </c>
      <c r="P27" s="17">
        <f t="shared" si="8"/>
        <v>324</v>
      </c>
    </row>
    <row r="28" spans="7:16" x14ac:dyDescent="0.3">
      <c r="H28" s="17" t="s">
        <v>91</v>
      </c>
      <c r="I28" s="17">
        <v>67</v>
      </c>
      <c r="J28" s="17">
        <f t="shared" si="9"/>
        <v>5</v>
      </c>
      <c r="K28" s="17">
        <f t="shared" si="6"/>
        <v>25</v>
      </c>
      <c r="M28" s="17" t="s">
        <v>91</v>
      </c>
      <c r="N28" s="17">
        <v>54</v>
      </c>
      <c r="O28" s="17">
        <f t="shared" si="7"/>
        <v>-8</v>
      </c>
      <c r="P28" s="17">
        <f t="shared" si="8"/>
        <v>64</v>
      </c>
    </row>
    <row r="29" spans="7:16" x14ac:dyDescent="0.3">
      <c r="H29" s="17" t="s">
        <v>92</v>
      </c>
      <c r="I29" s="17">
        <v>55</v>
      </c>
      <c r="J29" s="17">
        <f t="shared" si="9"/>
        <v>-7</v>
      </c>
      <c r="K29" s="17">
        <f t="shared" si="6"/>
        <v>49</v>
      </c>
      <c r="M29" s="17" t="s">
        <v>92</v>
      </c>
      <c r="N29" s="42">
        <v>98</v>
      </c>
      <c r="O29" s="17">
        <f t="shared" si="7"/>
        <v>36</v>
      </c>
      <c r="P29" s="17">
        <f t="shared" si="8"/>
        <v>1296</v>
      </c>
    </row>
    <row r="30" spans="7:16" x14ac:dyDescent="0.3">
      <c r="H30" s="17" t="s">
        <v>93</v>
      </c>
      <c r="I30" s="17">
        <v>60</v>
      </c>
      <c r="J30" s="17">
        <f>I30-$I$12</f>
        <v>-2</v>
      </c>
      <c r="K30" s="17">
        <f t="shared" si="6"/>
        <v>4</v>
      </c>
      <c r="M30" s="17" t="s">
        <v>93</v>
      </c>
      <c r="N30" s="17">
        <v>28</v>
      </c>
      <c r="O30" s="17">
        <f t="shared" si="7"/>
        <v>-34</v>
      </c>
      <c r="P30" s="17">
        <f t="shared" si="8"/>
        <v>1156</v>
      </c>
    </row>
    <row r="32" spans="7:16" x14ac:dyDescent="0.3">
      <c r="H32" t="s">
        <v>72</v>
      </c>
      <c r="I32">
        <f>AVERAGE(I23:I30)</f>
        <v>62</v>
      </c>
      <c r="M32" t="s">
        <v>72</v>
      </c>
      <c r="N32">
        <f>AVERAGE(N23:N30)</f>
        <v>62</v>
      </c>
    </row>
    <row r="33" spans="8:14" x14ac:dyDescent="0.3">
      <c r="H33" t="s">
        <v>97</v>
      </c>
      <c r="I33">
        <f>_xlfn.VAR.P(I23:I30)</f>
        <v>30</v>
      </c>
      <c r="M33" t="s">
        <v>97</v>
      </c>
      <c r="N33">
        <f>_xlfn.VAR.P(N23:N30)</f>
        <v>895.75</v>
      </c>
    </row>
    <row r="34" spans="8:14" x14ac:dyDescent="0.3">
      <c r="H34" s="43" t="s">
        <v>243</v>
      </c>
      <c r="I34" s="44">
        <f>_xlfn.STDEV.P(I23:I30)</f>
        <v>5.4772255750516612</v>
      </c>
      <c r="M34" s="43" t="s">
        <v>243</v>
      </c>
      <c r="N34" s="44">
        <f>_xlfn.STDEV.P(N23:N30)</f>
        <v>29.929082845954369</v>
      </c>
    </row>
    <row r="36" spans="8:14" x14ac:dyDescent="0.3">
      <c r="H36" t="s">
        <v>244</v>
      </c>
      <c r="I36" s="39">
        <f>I32-I34</f>
        <v>56.522774424948338</v>
      </c>
      <c r="M36" t="s">
        <v>244</v>
      </c>
      <c r="N36" s="39">
        <f>N32-N34</f>
        <v>32.070917154045631</v>
      </c>
    </row>
    <row r="37" spans="8:14" x14ac:dyDescent="0.3">
      <c r="I37" s="39">
        <f>I32+I34</f>
        <v>67.477225575051662</v>
      </c>
      <c r="N37" s="39">
        <f>N32+N34</f>
        <v>91.929082845954369</v>
      </c>
    </row>
  </sheetData>
  <mergeCells count="4">
    <mergeCell ref="H1:K1"/>
    <mergeCell ref="M1:P1"/>
    <mergeCell ref="H21:K21"/>
    <mergeCell ref="M21:P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BA3D-ECF4-4906-AFAE-E848CA3DDDA9}">
  <dimension ref="A1:S14"/>
  <sheetViews>
    <sheetView topLeftCell="L1" zoomScale="140" zoomScaleNormal="140" workbookViewId="0">
      <selection activeCell="V4" sqref="V4"/>
    </sheetView>
  </sheetViews>
  <sheetFormatPr defaultRowHeight="14.4" x14ac:dyDescent="0.3"/>
  <cols>
    <col min="2" max="2" width="10.21875" bestFit="1" customWidth="1"/>
    <col min="3" max="3" width="10.6640625" bestFit="1" customWidth="1"/>
    <col min="6" max="6" width="9.21875" bestFit="1" customWidth="1"/>
    <col min="7" max="7" width="12" bestFit="1" customWidth="1"/>
    <col min="10" max="10" width="9.88671875" bestFit="1" customWidth="1"/>
    <col min="11" max="11" width="17.109375" bestFit="1" customWidth="1"/>
    <col min="14" max="14" width="18" bestFit="1" customWidth="1"/>
    <col min="15" max="15" width="28.109375" bestFit="1" customWidth="1"/>
  </cols>
  <sheetData>
    <row r="1" spans="1:19" x14ac:dyDescent="0.3">
      <c r="F1" s="40" t="s">
        <v>260</v>
      </c>
      <c r="G1" s="40"/>
    </row>
    <row r="2" spans="1:19" x14ac:dyDescent="0.3">
      <c r="B2" t="s">
        <v>99</v>
      </c>
      <c r="C2" t="s">
        <v>100</v>
      </c>
      <c r="F2" t="s">
        <v>101</v>
      </c>
      <c r="G2" t="s">
        <v>102</v>
      </c>
      <c r="J2" t="s">
        <v>103</v>
      </c>
      <c r="K2" t="s">
        <v>104</v>
      </c>
      <c r="N2" t="s">
        <v>105</v>
      </c>
      <c r="O2" t="s">
        <v>106</v>
      </c>
      <c r="R2" s="33" t="s">
        <v>109</v>
      </c>
      <c r="S2" s="33"/>
    </row>
    <row r="3" spans="1:19" x14ac:dyDescent="0.3">
      <c r="B3">
        <v>1760</v>
      </c>
      <c r="C3">
        <v>2.64</v>
      </c>
      <c r="F3">
        <v>5</v>
      </c>
      <c r="G3">
        <f>(22/7)*F3*F3</f>
        <v>78.571428571428569</v>
      </c>
      <c r="J3">
        <v>180</v>
      </c>
      <c r="K3">
        <v>80</v>
      </c>
      <c r="N3">
        <v>10</v>
      </c>
      <c r="O3">
        <v>8</v>
      </c>
      <c r="R3" t="s">
        <v>107</v>
      </c>
      <c r="S3">
        <v>70</v>
      </c>
    </row>
    <row r="4" spans="1:19" x14ac:dyDescent="0.3">
      <c r="B4">
        <v>1943</v>
      </c>
      <c r="C4">
        <v>2.98</v>
      </c>
      <c r="F4">
        <v>10</v>
      </c>
      <c r="G4">
        <f t="shared" ref="G4:G6" si="0">(22/7)*F4*F4</f>
        <v>314.28571428571428</v>
      </c>
      <c r="J4">
        <v>175</v>
      </c>
      <c r="K4">
        <v>176</v>
      </c>
      <c r="N4">
        <v>60</v>
      </c>
      <c r="O4">
        <v>4</v>
      </c>
      <c r="R4" t="s">
        <v>108</v>
      </c>
      <c r="S4">
        <v>30</v>
      </c>
    </row>
    <row r="5" spans="1:19" x14ac:dyDescent="0.3">
      <c r="B5">
        <v>1914</v>
      </c>
      <c r="C5">
        <v>3.13</v>
      </c>
      <c r="F5">
        <v>4.2</v>
      </c>
      <c r="G5">
        <f t="shared" si="0"/>
        <v>55.440000000000005</v>
      </c>
      <c r="J5">
        <v>130</v>
      </c>
      <c r="K5">
        <v>78</v>
      </c>
      <c r="N5">
        <v>0</v>
      </c>
      <c r="O5">
        <v>9</v>
      </c>
    </row>
    <row r="6" spans="1:19" x14ac:dyDescent="0.3">
      <c r="B6">
        <v>1618</v>
      </c>
      <c r="C6">
        <v>1.76</v>
      </c>
      <c r="F6">
        <v>3.1</v>
      </c>
      <c r="G6">
        <f t="shared" si="0"/>
        <v>30.202857142857148</v>
      </c>
      <c r="J6">
        <v>156</v>
      </c>
      <c r="K6">
        <v>200</v>
      </c>
      <c r="N6">
        <v>120</v>
      </c>
      <c r="O6">
        <v>2</v>
      </c>
    </row>
    <row r="7" spans="1:19" x14ac:dyDescent="0.3">
      <c r="B7">
        <v>1369</v>
      </c>
      <c r="C7">
        <v>1.99</v>
      </c>
      <c r="J7">
        <v>162</v>
      </c>
      <c r="K7">
        <v>91</v>
      </c>
      <c r="N7">
        <v>30</v>
      </c>
      <c r="O7">
        <v>7</v>
      </c>
    </row>
    <row r="8" spans="1:19" x14ac:dyDescent="0.3">
      <c r="A8" t="s">
        <v>259</v>
      </c>
      <c r="B8" s="55">
        <f>CORREL(B3:B7,C3:C7)</f>
        <v>0.86003793983378041</v>
      </c>
      <c r="F8" s="55">
        <f>CORREL(F3:F6,G3:G6)</f>
        <v>0.99418823541491408</v>
      </c>
      <c r="J8">
        <v>163</v>
      </c>
      <c r="K8">
        <v>175</v>
      </c>
      <c r="N8">
        <v>25</v>
      </c>
      <c r="O8">
        <v>7</v>
      </c>
    </row>
    <row r="9" spans="1:19" x14ac:dyDescent="0.3">
      <c r="J9">
        <v>160</v>
      </c>
      <c r="K9">
        <v>88</v>
      </c>
      <c r="N9">
        <v>5</v>
      </c>
      <c r="O9">
        <v>9</v>
      </c>
    </row>
    <row r="10" spans="1:19" x14ac:dyDescent="0.3">
      <c r="B10" t="s">
        <v>255</v>
      </c>
      <c r="C10" t="s">
        <v>251</v>
      </c>
      <c r="D10">
        <v>1</v>
      </c>
      <c r="J10" s="55">
        <f>CORREL(J3:J9,K3:K9)</f>
        <v>0.2011101110427804</v>
      </c>
      <c r="N10" s="55">
        <f>CORREL(N3:N9,O3:O9)</f>
        <v>-0.9762238779023108</v>
      </c>
    </row>
    <row r="11" spans="1:19" x14ac:dyDescent="0.3">
      <c r="B11" t="s">
        <v>258</v>
      </c>
      <c r="C11" t="s">
        <v>252</v>
      </c>
      <c r="D11">
        <v>-1</v>
      </c>
    </row>
    <row r="12" spans="1:19" x14ac:dyDescent="0.3">
      <c r="C12" t="s">
        <v>256</v>
      </c>
      <c r="D12">
        <v>0</v>
      </c>
    </row>
    <row r="14" spans="1:19" x14ac:dyDescent="0.3">
      <c r="C14" s="54" t="s">
        <v>257</v>
      </c>
    </row>
  </sheetData>
  <mergeCells count="2">
    <mergeCell ref="R2:S2"/>
    <mergeCell ref="F1:G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3E91-876C-4922-B359-A6BDFA87D066}">
  <dimension ref="B1:J19"/>
  <sheetViews>
    <sheetView tabSelected="1" zoomScale="130" zoomScaleNormal="130" workbookViewId="0">
      <selection activeCell="K13" sqref="K13"/>
    </sheetView>
  </sheetViews>
  <sheetFormatPr defaultRowHeight="13.2" x14ac:dyDescent="0.25"/>
  <cols>
    <col min="1" max="1" width="3.109375" style="20" customWidth="1"/>
    <col min="2" max="2" width="10" style="20" customWidth="1"/>
    <col min="3" max="3" width="16.88671875" style="20" bestFit="1" customWidth="1"/>
    <col min="4" max="4" width="19.44140625" style="20" bestFit="1" customWidth="1"/>
    <col min="5" max="5" width="5.109375" style="20" customWidth="1"/>
    <col min="6" max="6" width="17.33203125" style="20" bestFit="1" customWidth="1"/>
    <col min="7" max="9" width="8.88671875" style="20"/>
    <col min="10" max="10" width="10" style="20" bestFit="1" customWidth="1"/>
    <col min="11" max="16384" width="8.88671875" style="20"/>
  </cols>
  <sheetData>
    <row r="1" spans="2:10" ht="21.6" customHeight="1" x14ac:dyDescent="0.25"/>
    <row r="2" spans="2:10" ht="71.400000000000006" customHeight="1" thickBot="1" x14ac:dyDescent="0.3">
      <c r="C2" s="21" t="s">
        <v>110</v>
      </c>
      <c r="D2" s="22" t="s">
        <v>111</v>
      </c>
    </row>
    <row r="3" spans="2:10" ht="13.8" x14ac:dyDescent="0.25">
      <c r="B3" s="23" t="s">
        <v>112</v>
      </c>
      <c r="C3" s="24" t="s">
        <v>113</v>
      </c>
      <c r="D3" s="25" t="s">
        <v>114</v>
      </c>
      <c r="F3" s="26" t="s">
        <v>115</v>
      </c>
      <c r="J3" s="57" t="s">
        <v>261</v>
      </c>
    </row>
    <row r="4" spans="2:10" ht="14.4" x14ac:dyDescent="0.3">
      <c r="B4" s="27">
        <v>1054</v>
      </c>
      <c r="C4" s="27" t="str">
        <f>INDEX('INDEX MATCH Master Emp List'!A1:I38,2,7)</f>
        <v>Building 1</v>
      </c>
      <c r="D4" s="27">
        <f>MATCH(B4,Table1[Emp ID],0)</f>
        <v>1</v>
      </c>
      <c r="F4" s="28"/>
      <c r="J4" s="57" t="s">
        <v>262</v>
      </c>
    </row>
    <row r="5" spans="2:10" ht="14.4" x14ac:dyDescent="0.3">
      <c r="B5" s="27">
        <v>1078</v>
      </c>
      <c r="C5" s="27" t="str">
        <f>INDEX('INDEX MATCH Master Emp List'!A1:I38,8,3)</f>
        <v>Katie</v>
      </c>
      <c r="D5" s="27">
        <f>MATCH(B5,Table1[Emp ID],0)</f>
        <v>5</v>
      </c>
      <c r="F5" s="28"/>
      <c r="J5" s="20" t="s">
        <v>263</v>
      </c>
    </row>
    <row r="6" spans="2:10" ht="14.4" x14ac:dyDescent="0.3">
      <c r="B6" s="27">
        <v>1284</v>
      </c>
      <c r="C6" s="27" t="str">
        <f>INDEX(Table1[],2,2)</f>
        <v>Gonzales</v>
      </c>
      <c r="D6" s="27">
        <f>MATCH(B6,Table1[Emp ID],0)</f>
        <v>8</v>
      </c>
      <c r="F6" s="28"/>
    </row>
    <row r="7" spans="2:10" ht="14.4" x14ac:dyDescent="0.3">
      <c r="B7" s="27">
        <v>1299</v>
      </c>
      <c r="C7" s="27"/>
      <c r="D7" s="27">
        <f>MATCH(B7,Table1[Emp ID],0)</f>
        <v>11</v>
      </c>
      <c r="F7" s="28"/>
    </row>
    <row r="8" spans="2:10" ht="14.4" x14ac:dyDescent="0.3">
      <c r="B8" s="27">
        <v>1329</v>
      </c>
      <c r="C8" s="27"/>
      <c r="D8" s="27">
        <f>MATCH(B8,Table1[Emp ID],0)</f>
        <v>14</v>
      </c>
      <c r="F8" s="28"/>
    </row>
    <row r="9" spans="2:10" ht="14.4" x14ac:dyDescent="0.3">
      <c r="B9" s="27">
        <v>1509</v>
      </c>
      <c r="C9" s="27"/>
      <c r="D9" s="27">
        <f>MATCH(B9,Table1[Emp ID],0)</f>
        <v>17</v>
      </c>
      <c r="F9" s="28"/>
    </row>
    <row r="10" spans="2:10" ht="14.4" x14ac:dyDescent="0.3">
      <c r="C10" s="27"/>
      <c r="D10" s="27"/>
      <c r="F10" s="28"/>
    </row>
    <row r="11" spans="2:10" ht="14.4" x14ac:dyDescent="0.3">
      <c r="C11" s="27"/>
      <c r="D11" s="27"/>
      <c r="F11" s="28"/>
    </row>
    <row r="12" spans="2:10" ht="14.4" x14ac:dyDescent="0.3">
      <c r="C12" s="27"/>
      <c r="D12" s="27"/>
      <c r="F12" s="28"/>
    </row>
    <row r="13" spans="2:10" ht="14.4" x14ac:dyDescent="0.3">
      <c r="C13" s="27"/>
      <c r="D13" s="27"/>
      <c r="F13" s="28"/>
    </row>
    <row r="14" spans="2:10" ht="14.4" x14ac:dyDescent="0.3">
      <c r="C14" s="27"/>
      <c r="D14" s="27"/>
      <c r="F14" s="28"/>
    </row>
    <row r="15" spans="2:10" ht="14.4" x14ac:dyDescent="0.3">
      <c r="C15" s="27"/>
      <c r="D15" s="27"/>
      <c r="F15" s="28"/>
    </row>
    <row r="16" spans="2:10" ht="14.4" x14ac:dyDescent="0.3">
      <c r="C16" s="27"/>
      <c r="D16" s="27"/>
      <c r="F16" s="28"/>
    </row>
    <row r="17" spans="3:6" ht="14.4" x14ac:dyDescent="0.3">
      <c r="C17" s="27"/>
      <c r="D17" s="27"/>
      <c r="F17" s="28"/>
    </row>
    <row r="18" spans="3:6" ht="14.4" x14ac:dyDescent="0.3">
      <c r="C18" s="27"/>
      <c r="D18" s="27"/>
      <c r="F18" s="28"/>
    </row>
    <row r="19" spans="3:6" ht="14.4" x14ac:dyDescent="0.3">
      <c r="C19" s="27"/>
      <c r="D19" s="27"/>
      <c r="F19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1E35-7FAE-4BC1-AE4F-7924DAB0F11F}">
  <dimension ref="A1:I38"/>
  <sheetViews>
    <sheetView zoomScale="115" zoomScaleNormal="115" workbookViewId="0">
      <selection activeCell="K16" sqref="K16"/>
    </sheetView>
  </sheetViews>
  <sheetFormatPr defaultRowHeight="14.25" customHeight="1" x14ac:dyDescent="0.25"/>
  <cols>
    <col min="1" max="8" width="14.109375" style="32" customWidth="1"/>
    <col min="9" max="9" width="14.109375" style="20" customWidth="1"/>
    <col min="10" max="16384" width="8.88671875" style="20"/>
  </cols>
  <sheetData>
    <row r="1" spans="1:9" ht="24.75" customHeight="1" x14ac:dyDescent="0.25">
      <c r="A1" s="56" t="s">
        <v>116</v>
      </c>
      <c r="B1" s="58" t="s">
        <v>117</v>
      </c>
      <c r="C1" s="56" t="s">
        <v>118</v>
      </c>
      <c r="D1" s="56" t="s">
        <v>119</v>
      </c>
      <c r="E1" s="58" t="s">
        <v>120</v>
      </c>
      <c r="F1" s="56" t="s">
        <v>121</v>
      </c>
      <c r="G1" s="56" t="s">
        <v>122</v>
      </c>
      <c r="H1" s="58" t="s">
        <v>123</v>
      </c>
      <c r="I1" s="58" t="s">
        <v>124</v>
      </c>
    </row>
    <row r="2" spans="1:9" ht="14.25" customHeight="1" x14ac:dyDescent="0.3">
      <c r="A2" s="29">
        <v>1054</v>
      </c>
      <c r="B2" s="29" t="s">
        <v>125</v>
      </c>
      <c r="C2" s="29" t="s">
        <v>126</v>
      </c>
      <c r="D2" s="29" t="s">
        <v>127</v>
      </c>
      <c r="E2" s="29" t="s">
        <v>128</v>
      </c>
      <c r="F2" s="29">
        <v>148</v>
      </c>
      <c r="G2" s="29" t="s">
        <v>129</v>
      </c>
      <c r="H2" s="30">
        <v>33344</v>
      </c>
      <c r="I2" s="31">
        <v>11.25</v>
      </c>
    </row>
    <row r="3" spans="1:9" ht="14.25" customHeight="1" x14ac:dyDescent="0.3">
      <c r="A3" s="29">
        <v>1056</v>
      </c>
      <c r="B3" s="29" t="s">
        <v>130</v>
      </c>
      <c r="C3" s="29" t="s">
        <v>131</v>
      </c>
      <c r="D3" s="29" t="s">
        <v>127</v>
      </c>
      <c r="E3" s="29" t="s">
        <v>132</v>
      </c>
      <c r="F3" s="29">
        <v>121</v>
      </c>
      <c r="G3" s="29" t="s">
        <v>129</v>
      </c>
      <c r="H3" s="30">
        <v>29153</v>
      </c>
      <c r="I3" s="31">
        <v>12.25</v>
      </c>
    </row>
    <row r="4" spans="1:9" ht="14.25" customHeight="1" x14ac:dyDescent="0.3">
      <c r="A4" s="29">
        <v>1067</v>
      </c>
      <c r="B4" s="29" t="s">
        <v>133</v>
      </c>
      <c r="C4" s="29" t="s">
        <v>134</v>
      </c>
      <c r="D4" s="29" t="s">
        <v>127</v>
      </c>
      <c r="E4" s="29" t="s">
        <v>135</v>
      </c>
      <c r="F4" s="29">
        <v>123</v>
      </c>
      <c r="G4" s="29" t="s">
        <v>129</v>
      </c>
      <c r="H4" s="30">
        <v>32040</v>
      </c>
      <c r="I4" s="31">
        <v>14.55</v>
      </c>
    </row>
    <row r="5" spans="1:9" ht="14.25" customHeight="1" x14ac:dyDescent="0.3">
      <c r="A5" s="29">
        <v>1075</v>
      </c>
      <c r="B5" s="29" t="s">
        <v>136</v>
      </c>
      <c r="C5" s="29" t="s">
        <v>137</v>
      </c>
      <c r="D5" s="29" t="s">
        <v>138</v>
      </c>
      <c r="E5" s="29" t="s">
        <v>139</v>
      </c>
      <c r="F5" s="29">
        <v>126</v>
      </c>
      <c r="G5" s="29" t="s">
        <v>140</v>
      </c>
      <c r="H5" s="30">
        <v>33823</v>
      </c>
      <c r="I5" s="31">
        <v>11.25</v>
      </c>
    </row>
    <row r="6" spans="1:9" ht="14.25" customHeight="1" x14ac:dyDescent="0.3">
      <c r="A6" s="29">
        <v>1078</v>
      </c>
      <c r="B6" s="29" t="s">
        <v>141</v>
      </c>
      <c r="C6" s="29" t="s">
        <v>142</v>
      </c>
      <c r="D6" s="29" t="s">
        <v>143</v>
      </c>
      <c r="E6" s="29" t="s">
        <v>144</v>
      </c>
      <c r="F6" s="29">
        <v>101</v>
      </c>
      <c r="G6" s="29" t="s">
        <v>140</v>
      </c>
      <c r="H6" s="30">
        <v>31503</v>
      </c>
      <c r="I6" s="31">
        <v>10.199999999999999</v>
      </c>
    </row>
    <row r="7" spans="1:9" ht="14.25" customHeight="1" x14ac:dyDescent="0.3">
      <c r="A7" s="29">
        <v>1152</v>
      </c>
      <c r="B7" s="29" t="s">
        <v>145</v>
      </c>
      <c r="C7" s="29" t="s">
        <v>146</v>
      </c>
      <c r="D7" s="29" t="s">
        <v>138</v>
      </c>
      <c r="E7" s="29" t="s">
        <v>147</v>
      </c>
      <c r="F7" s="29">
        <v>118</v>
      </c>
      <c r="G7" s="29" t="s">
        <v>140</v>
      </c>
      <c r="H7" s="30">
        <v>32894</v>
      </c>
      <c r="I7" s="31">
        <v>12.25</v>
      </c>
    </row>
    <row r="8" spans="1:9" ht="14.25" customHeight="1" x14ac:dyDescent="0.3">
      <c r="A8" s="29">
        <v>1196</v>
      </c>
      <c r="B8" s="29" t="s">
        <v>148</v>
      </c>
      <c r="C8" s="29" t="s">
        <v>149</v>
      </c>
      <c r="D8" s="29" t="s">
        <v>150</v>
      </c>
      <c r="E8" s="29" t="s">
        <v>151</v>
      </c>
      <c r="F8" s="29">
        <v>289</v>
      </c>
      <c r="G8" s="29" t="s">
        <v>152</v>
      </c>
      <c r="H8" s="30">
        <v>35886</v>
      </c>
      <c r="I8" s="31">
        <v>9.9499999999999993</v>
      </c>
    </row>
    <row r="9" spans="1:9" ht="14.25" customHeight="1" x14ac:dyDescent="0.3">
      <c r="A9" s="29">
        <v>1284</v>
      </c>
      <c r="B9" s="29" t="s">
        <v>153</v>
      </c>
      <c r="C9" s="29" t="s">
        <v>154</v>
      </c>
      <c r="D9" s="29" t="s">
        <v>155</v>
      </c>
      <c r="E9" s="29" t="s">
        <v>156</v>
      </c>
      <c r="F9" s="29">
        <v>124</v>
      </c>
      <c r="G9" s="29" t="s">
        <v>129</v>
      </c>
      <c r="H9" s="30">
        <v>31051</v>
      </c>
      <c r="I9" s="31">
        <v>12.3</v>
      </c>
    </row>
    <row r="10" spans="1:9" ht="14.25" customHeight="1" x14ac:dyDescent="0.3">
      <c r="A10" s="29">
        <v>1290</v>
      </c>
      <c r="B10" s="29" t="s">
        <v>157</v>
      </c>
      <c r="C10" s="29" t="s">
        <v>158</v>
      </c>
      <c r="D10" s="29" t="s">
        <v>138</v>
      </c>
      <c r="E10" s="29" t="s">
        <v>159</v>
      </c>
      <c r="F10" s="29">
        <v>113</v>
      </c>
      <c r="G10" s="29" t="s">
        <v>140</v>
      </c>
      <c r="H10" s="30">
        <v>31050</v>
      </c>
      <c r="I10" s="31">
        <v>13.25</v>
      </c>
    </row>
    <row r="11" spans="1:9" ht="14.25" customHeight="1" x14ac:dyDescent="0.3">
      <c r="A11" s="29">
        <v>1293</v>
      </c>
      <c r="B11" s="29" t="s">
        <v>160</v>
      </c>
      <c r="C11" s="29" t="s">
        <v>161</v>
      </c>
      <c r="D11" s="29" t="s">
        <v>150</v>
      </c>
      <c r="E11" s="29" t="s">
        <v>162</v>
      </c>
      <c r="F11" s="29">
        <v>205</v>
      </c>
      <c r="G11" s="29" t="s">
        <v>152</v>
      </c>
      <c r="H11" s="30">
        <v>30939</v>
      </c>
      <c r="I11" s="31">
        <v>10.199999999999999</v>
      </c>
    </row>
    <row r="12" spans="1:9" ht="14.25" customHeight="1" x14ac:dyDescent="0.3">
      <c r="A12" s="29">
        <v>1299</v>
      </c>
      <c r="B12" s="29" t="s">
        <v>163</v>
      </c>
      <c r="C12" s="29" t="s">
        <v>164</v>
      </c>
      <c r="D12" s="29" t="s">
        <v>165</v>
      </c>
      <c r="E12" s="29" t="s">
        <v>166</v>
      </c>
      <c r="F12" s="29">
        <v>127</v>
      </c>
      <c r="G12" s="29" t="s">
        <v>129</v>
      </c>
      <c r="H12" s="30">
        <v>32863</v>
      </c>
      <c r="I12" s="31">
        <v>12.2</v>
      </c>
    </row>
    <row r="13" spans="1:9" ht="14.25" customHeight="1" x14ac:dyDescent="0.3">
      <c r="A13" s="29">
        <v>1302</v>
      </c>
      <c r="B13" s="29" t="s">
        <v>167</v>
      </c>
      <c r="C13" s="29" t="s">
        <v>168</v>
      </c>
      <c r="D13" s="29" t="s">
        <v>155</v>
      </c>
      <c r="E13" s="29" t="s">
        <v>169</v>
      </c>
      <c r="F13" s="29">
        <v>139</v>
      </c>
      <c r="G13" s="29" t="s">
        <v>129</v>
      </c>
      <c r="H13" s="30">
        <v>30900</v>
      </c>
      <c r="I13" s="31">
        <v>14.25</v>
      </c>
    </row>
    <row r="14" spans="1:9" ht="14.25" customHeight="1" x14ac:dyDescent="0.3">
      <c r="A14" s="29">
        <v>1310</v>
      </c>
      <c r="B14" s="29" t="s">
        <v>125</v>
      </c>
      <c r="C14" s="29" t="s">
        <v>170</v>
      </c>
      <c r="D14" s="29" t="s">
        <v>165</v>
      </c>
      <c r="E14" s="29" t="s">
        <v>171</v>
      </c>
      <c r="F14" s="29">
        <v>137</v>
      </c>
      <c r="G14" s="29" t="s">
        <v>129</v>
      </c>
      <c r="H14" s="30">
        <v>31689</v>
      </c>
      <c r="I14" s="31">
        <v>11.5</v>
      </c>
    </row>
    <row r="15" spans="1:9" ht="14.25" customHeight="1" x14ac:dyDescent="0.3">
      <c r="A15" s="29">
        <v>1329</v>
      </c>
      <c r="B15" s="29" t="s">
        <v>172</v>
      </c>
      <c r="C15" s="29" t="s">
        <v>173</v>
      </c>
      <c r="D15" s="29" t="s">
        <v>143</v>
      </c>
      <c r="E15" s="29" t="s">
        <v>174</v>
      </c>
      <c r="F15" s="29">
        <v>151</v>
      </c>
      <c r="G15" s="29" t="s">
        <v>140</v>
      </c>
      <c r="H15" s="30">
        <v>32561</v>
      </c>
      <c r="I15" s="31">
        <v>10.35</v>
      </c>
    </row>
    <row r="16" spans="1:9" ht="14.25" customHeight="1" x14ac:dyDescent="0.3">
      <c r="A16" s="29">
        <v>1333</v>
      </c>
      <c r="B16" s="29" t="s">
        <v>175</v>
      </c>
      <c r="C16" s="29" t="s">
        <v>176</v>
      </c>
      <c r="D16" s="29" t="s">
        <v>150</v>
      </c>
      <c r="E16" s="29" t="s">
        <v>177</v>
      </c>
      <c r="F16" s="29">
        <v>122</v>
      </c>
      <c r="G16" s="29" t="s">
        <v>152</v>
      </c>
      <c r="H16" s="30">
        <v>32979</v>
      </c>
      <c r="I16" s="31">
        <v>10.15</v>
      </c>
    </row>
    <row r="17" spans="1:9" ht="14.25" customHeight="1" x14ac:dyDescent="0.3">
      <c r="A17" s="29">
        <v>1368</v>
      </c>
      <c r="B17" s="29" t="s">
        <v>178</v>
      </c>
      <c r="C17" s="29" t="s">
        <v>179</v>
      </c>
      <c r="D17" s="29" t="s">
        <v>138</v>
      </c>
      <c r="E17" s="29" t="s">
        <v>180</v>
      </c>
      <c r="F17" s="29">
        <v>132</v>
      </c>
      <c r="G17" s="29" t="s">
        <v>140</v>
      </c>
      <c r="H17" s="30">
        <v>30386</v>
      </c>
      <c r="I17" s="31">
        <v>12.25</v>
      </c>
    </row>
    <row r="18" spans="1:9" ht="14.25" customHeight="1" x14ac:dyDescent="0.3">
      <c r="A18" s="29">
        <v>1509</v>
      </c>
      <c r="B18" s="29" t="s">
        <v>181</v>
      </c>
      <c r="C18" s="29" t="s">
        <v>182</v>
      </c>
      <c r="D18" s="29" t="s">
        <v>127</v>
      </c>
      <c r="E18" s="29" t="s">
        <v>183</v>
      </c>
      <c r="F18" s="29">
        <v>135</v>
      </c>
      <c r="G18" s="29" t="s">
        <v>129</v>
      </c>
      <c r="H18" s="30">
        <v>31217</v>
      </c>
      <c r="I18" s="31">
        <v>13.25</v>
      </c>
    </row>
    <row r="19" spans="1:9" ht="14.25" customHeight="1" x14ac:dyDescent="0.3">
      <c r="A19" s="29">
        <v>1516</v>
      </c>
      <c r="B19" s="29" t="s">
        <v>184</v>
      </c>
      <c r="C19" s="29" t="s">
        <v>185</v>
      </c>
      <c r="D19" s="29" t="s">
        <v>143</v>
      </c>
      <c r="E19" s="29" t="s">
        <v>186</v>
      </c>
      <c r="F19" s="29">
        <v>105</v>
      </c>
      <c r="G19" s="29" t="s">
        <v>140</v>
      </c>
      <c r="H19" s="30">
        <v>31112</v>
      </c>
      <c r="I19" s="31">
        <v>9.5</v>
      </c>
    </row>
    <row r="20" spans="1:9" ht="14.25" customHeight="1" x14ac:dyDescent="0.3">
      <c r="A20" s="29">
        <v>1529</v>
      </c>
      <c r="B20" s="29" t="s">
        <v>187</v>
      </c>
      <c r="C20" s="29" t="s">
        <v>188</v>
      </c>
      <c r="D20" s="29" t="s">
        <v>155</v>
      </c>
      <c r="E20" s="29" t="s">
        <v>189</v>
      </c>
      <c r="F20" s="29">
        <v>129</v>
      </c>
      <c r="G20" s="29" t="s">
        <v>129</v>
      </c>
      <c r="H20" s="30">
        <v>31805</v>
      </c>
      <c r="I20" s="31">
        <v>11.3</v>
      </c>
    </row>
    <row r="21" spans="1:9" ht="14.25" customHeight="1" x14ac:dyDescent="0.3">
      <c r="A21" s="29">
        <v>1656</v>
      </c>
      <c r="B21" s="29" t="s">
        <v>190</v>
      </c>
      <c r="C21" s="29" t="s">
        <v>191</v>
      </c>
      <c r="D21" s="29" t="s">
        <v>165</v>
      </c>
      <c r="E21" s="29" t="s">
        <v>192</v>
      </c>
      <c r="F21" s="29">
        <v>149</v>
      </c>
      <c r="G21" s="29" t="s">
        <v>129</v>
      </c>
      <c r="H21" s="30">
        <v>32125</v>
      </c>
      <c r="I21" s="31">
        <v>12.35</v>
      </c>
    </row>
    <row r="22" spans="1:9" ht="14.25" customHeight="1" x14ac:dyDescent="0.3">
      <c r="A22" s="29">
        <v>1672</v>
      </c>
      <c r="B22" s="29" t="s">
        <v>193</v>
      </c>
      <c r="C22" s="29" t="s">
        <v>194</v>
      </c>
      <c r="D22" s="29" t="s">
        <v>165</v>
      </c>
      <c r="E22" s="29" t="s">
        <v>195</v>
      </c>
      <c r="F22" s="29">
        <v>114</v>
      </c>
      <c r="G22" s="29" t="s">
        <v>129</v>
      </c>
      <c r="H22" s="30">
        <v>32979</v>
      </c>
      <c r="I22" s="31">
        <v>11.9</v>
      </c>
    </row>
    <row r="23" spans="1:9" ht="14.25" customHeight="1" x14ac:dyDescent="0.3">
      <c r="A23" s="29">
        <v>1673</v>
      </c>
      <c r="B23" s="29" t="s">
        <v>196</v>
      </c>
      <c r="C23" s="29" t="s">
        <v>154</v>
      </c>
      <c r="D23" s="29" t="s">
        <v>138</v>
      </c>
      <c r="E23" s="29" t="s">
        <v>197</v>
      </c>
      <c r="F23" s="29">
        <v>112</v>
      </c>
      <c r="G23" s="29" t="s">
        <v>140</v>
      </c>
      <c r="H23" s="30">
        <v>33688</v>
      </c>
      <c r="I23" s="31">
        <v>11.85</v>
      </c>
    </row>
    <row r="24" spans="1:9" ht="14.25" customHeight="1" x14ac:dyDescent="0.3">
      <c r="A24" s="29">
        <v>1676</v>
      </c>
      <c r="B24" s="29" t="s">
        <v>198</v>
      </c>
      <c r="C24" s="29" t="s">
        <v>199</v>
      </c>
      <c r="D24" s="29" t="s">
        <v>155</v>
      </c>
      <c r="E24" s="29" t="s">
        <v>200</v>
      </c>
      <c r="F24" s="29">
        <v>115</v>
      </c>
      <c r="G24" s="29" t="s">
        <v>129</v>
      </c>
      <c r="H24" s="30">
        <v>29885</v>
      </c>
      <c r="I24" s="31">
        <v>10.75</v>
      </c>
    </row>
    <row r="25" spans="1:9" ht="14.25" customHeight="1" x14ac:dyDescent="0.3">
      <c r="A25" s="29">
        <v>1721</v>
      </c>
      <c r="B25" s="29" t="s">
        <v>201</v>
      </c>
      <c r="C25" s="29" t="s">
        <v>202</v>
      </c>
      <c r="D25" s="29" t="s">
        <v>150</v>
      </c>
      <c r="E25" s="29" t="s">
        <v>203</v>
      </c>
      <c r="F25" s="29">
        <v>102</v>
      </c>
      <c r="G25" s="29" t="s">
        <v>152</v>
      </c>
      <c r="H25" s="30">
        <v>33091</v>
      </c>
      <c r="I25" s="31">
        <v>9.75</v>
      </c>
    </row>
    <row r="26" spans="1:9" ht="14.25" customHeight="1" x14ac:dyDescent="0.3">
      <c r="A26" s="29">
        <v>1723</v>
      </c>
      <c r="B26" s="29" t="s">
        <v>204</v>
      </c>
      <c r="C26" s="29" t="s">
        <v>146</v>
      </c>
      <c r="D26" s="29" t="s">
        <v>155</v>
      </c>
      <c r="E26" s="29" t="s">
        <v>205</v>
      </c>
      <c r="F26" s="29">
        <v>145</v>
      </c>
      <c r="G26" s="29" t="s">
        <v>129</v>
      </c>
      <c r="H26" s="30">
        <v>28531</v>
      </c>
      <c r="I26" s="31">
        <v>13.95</v>
      </c>
    </row>
    <row r="27" spans="1:9" ht="14.25" customHeight="1" x14ac:dyDescent="0.3">
      <c r="A27" s="29">
        <v>1758</v>
      </c>
      <c r="B27" s="29" t="s">
        <v>206</v>
      </c>
      <c r="C27" s="29" t="s">
        <v>207</v>
      </c>
      <c r="D27" s="29" t="s">
        <v>143</v>
      </c>
      <c r="E27" s="29" t="s">
        <v>208</v>
      </c>
      <c r="F27" s="29">
        <v>107</v>
      </c>
      <c r="G27" s="29" t="s">
        <v>140</v>
      </c>
      <c r="H27" s="30">
        <v>30028</v>
      </c>
      <c r="I27" s="31">
        <v>11.2</v>
      </c>
    </row>
    <row r="28" spans="1:9" ht="14.25" customHeight="1" x14ac:dyDescent="0.3">
      <c r="A28" s="29">
        <v>1792</v>
      </c>
      <c r="B28" s="29" t="s">
        <v>209</v>
      </c>
      <c r="C28" s="29" t="s">
        <v>210</v>
      </c>
      <c r="D28" s="29" t="s">
        <v>127</v>
      </c>
      <c r="E28" s="29" t="s">
        <v>211</v>
      </c>
      <c r="F28" s="29">
        <v>111</v>
      </c>
      <c r="G28" s="29" t="s">
        <v>129</v>
      </c>
      <c r="H28" s="30">
        <v>33231</v>
      </c>
      <c r="I28" s="31">
        <v>10.3</v>
      </c>
    </row>
    <row r="29" spans="1:9" ht="14.25" customHeight="1" x14ac:dyDescent="0.3">
      <c r="A29" s="29">
        <v>1814</v>
      </c>
      <c r="B29" s="29" t="s">
        <v>212</v>
      </c>
      <c r="C29" s="29" t="s">
        <v>213</v>
      </c>
      <c r="D29" s="29" t="s">
        <v>150</v>
      </c>
      <c r="E29" s="29" t="s">
        <v>214</v>
      </c>
      <c r="F29" s="29">
        <v>103</v>
      </c>
      <c r="G29" s="29" t="s">
        <v>152</v>
      </c>
      <c r="H29" s="30">
        <v>32571</v>
      </c>
      <c r="I29" s="31">
        <v>12.25</v>
      </c>
    </row>
    <row r="30" spans="1:9" ht="14.25" customHeight="1" x14ac:dyDescent="0.3">
      <c r="A30" s="29">
        <v>1908</v>
      </c>
      <c r="B30" s="29" t="s">
        <v>215</v>
      </c>
      <c r="C30" s="29" t="s">
        <v>216</v>
      </c>
      <c r="D30" s="29" t="s">
        <v>127</v>
      </c>
      <c r="E30" s="29" t="s">
        <v>217</v>
      </c>
      <c r="F30" s="29">
        <v>152</v>
      </c>
      <c r="G30" s="29" t="s">
        <v>129</v>
      </c>
      <c r="H30" s="30">
        <v>30817</v>
      </c>
      <c r="I30" s="31">
        <v>10.25</v>
      </c>
    </row>
    <row r="31" spans="1:9" ht="14.25" customHeight="1" x14ac:dyDescent="0.3">
      <c r="A31" s="29">
        <v>1931</v>
      </c>
      <c r="B31" s="29" t="s">
        <v>218</v>
      </c>
      <c r="C31" s="29" t="s">
        <v>219</v>
      </c>
      <c r="D31" s="29" t="s">
        <v>143</v>
      </c>
      <c r="E31" s="29" t="s">
        <v>220</v>
      </c>
      <c r="F31" s="29">
        <v>110</v>
      </c>
      <c r="G31" s="29" t="s">
        <v>140</v>
      </c>
      <c r="H31" s="30">
        <v>32679</v>
      </c>
      <c r="I31" s="31">
        <v>9.85</v>
      </c>
    </row>
    <row r="32" spans="1:9" ht="14.25" customHeight="1" x14ac:dyDescent="0.3">
      <c r="A32" s="29">
        <v>1960</v>
      </c>
      <c r="B32" s="29" t="s">
        <v>221</v>
      </c>
      <c r="C32" s="29" t="s">
        <v>222</v>
      </c>
      <c r="D32" s="29" t="s">
        <v>165</v>
      </c>
      <c r="E32" s="29" t="s">
        <v>223</v>
      </c>
      <c r="F32" s="29">
        <v>150</v>
      </c>
      <c r="G32" s="29" t="s">
        <v>129</v>
      </c>
      <c r="H32" s="30">
        <v>31729</v>
      </c>
      <c r="I32" s="31">
        <v>11.65</v>
      </c>
    </row>
    <row r="33" spans="1:9" ht="14.25" customHeight="1" x14ac:dyDescent="0.3">
      <c r="A33" s="29">
        <v>1964</v>
      </c>
      <c r="B33" s="29" t="s">
        <v>224</v>
      </c>
      <c r="C33" s="29" t="s">
        <v>225</v>
      </c>
      <c r="D33" s="29" t="s">
        <v>143</v>
      </c>
      <c r="E33" s="29" t="s">
        <v>226</v>
      </c>
      <c r="F33" s="29">
        <v>108</v>
      </c>
      <c r="G33" s="29" t="s">
        <v>140</v>
      </c>
      <c r="H33" s="30">
        <v>33559</v>
      </c>
      <c r="I33" s="31">
        <v>9.25</v>
      </c>
    </row>
    <row r="34" spans="1:9" ht="14.25" customHeight="1" x14ac:dyDescent="0.3">
      <c r="A34" s="29">
        <v>1975</v>
      </c>
      <c r="B34" s="29" t="s">
        <v>227</v>
      </c>
      <c r="C34" s="29" t="s">
        <v>228</v>
      </c>
      <c r="D34" s="29" t="s">
        <v>143</v>
      </c>
      <c r="E34" s="29" t="s">
        <v>229</v>
      </c>
      <c r="F34" s="29">
        <v>125</v>
      </c>
      <c r="G34" s="29" t="s">
        <v>140</v>
      </c>
      <c r="H34" s="30">
        <v>35125</v>
      </c>
      <c r="I34" s="31">
        <v>9.25</v>
      </c>
    </row>
    <row r="35" spans="1:9" ht="14.25" customHeight="1" x14ac:dyDescent="0.3">
      <c r="A35" s="29">
        <v>1983</v>
      </c>
      <c r="B35" s="29" t="s">
        <v>224</v>
      </c>
      <c r="C35" s="29" t="s">
        <v>230</v>
      </c>
      <c r="D35" s="29" t="s">
        <v>127</v>
      </c>
      <c r="E35" s="29" t="s">
        <v>231</v>
      </c>
      <c r="F35" s="29">
        <v>154</v>
      </c>
      <c r="G35" s="29" t="s">
        <v>129</v>
      </c>
      <c r="H35" s="30">
        <v>35609</v>
      </c>
      <c r="I35" s="31">
        <v>11</v>
      </c>
    </row>
    <row r="36" spans="1:9" ht="14.25" customHeight="1" x14ac:dyDescent="0.3">
      <c r="A36" s="29">
        <v>1990</v>
      </c>
      <c r="B36" s="29" t="s">
        <v>232</v>
      </c>
      <c r="C36" s="29" t="s">
        <v>233</v>
      </c>
      <c r="D36" s="29" t="s">
        <v>165</v>
      </c>
      <c r="E36" s="29" t="s">
        <v>234</v>
      </c>
      <c r="F36" s="29">
        <v>198</v>
      </c>
      <c r="G36" s="29" t="s">
        <v>129</v>
      </c>
      <c r="H36" s="30">
        <v>35840</v>
      </c>
      <c r="I36" s="31">
        <v>10.95</v>
      </c>
    </row>
    <row r="37" spans="1:9" ht="14.25" customHeight="1" x14ac:dyDescent="0.3">
      <c r="A37" s="29">
        <v>1995</v>
      </c>
      <c r="B37" s="29" t="s">
        <v>235</v>
      </c>
      <c r="C37" s="29" t="s">
        <v>236</v>
      </c>
      <c r="D37" s="29" t="s">
        <v>127</v>
      </c>
      <c r="E37" s="29" t="s">
        <v>237</v>
      </c>
      <c r="F37" s="29">
        <v>198</v>
      </c>
      <c r="G37" s="29" t="s">
        <v>129</v>
      </c>
      <c r="H37" s="30">
        <v>35855</v>
      </c>
      <c r="I37" s="31">
        <v>11.75</v>
      </c>
    </row>
    <row r="38" spans="1:9" ht="14.25" customHeight="1" x14ac:dyDescent="0.3">
      <c r="A38" s="29">
        <v>1999</v>
      </c>
      <c r="B38" s="29" t="s">
        <v>238</v>
      </c>
      <c r="C38" s="29" t="s">
        <v>239</v>
      </c>
      <c r="D38" s="29" t="s">
        <v>150</v>
      </c>
      <c r="E38" s="29" t="s">
        <v>240</v>
      </c>
      <c r="F38" s="29">
        <v>428</v>
      </c>
      <c r="G38" s="29" t="s">
        <v>152</v>
      </c>
      <c r="H38" s="30">
        <v>35981</v>
      </c>
      <c r="I38" s="31">
        <v>10.15</v>
      </c>
    </row>
  </sheetData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movies</vt:lpstr>
      <vt:lpstr>financials</vt:lpstr>
      <vt:lpstr>actors</vt:lpstr>
      <vt:lpstr>movie_actor</vt:lpstr>
      <vt:lpstr>languages</vt:lpstr>
      <vt:lpstr>P&amp;L</vt:lpstr>
      <vt:lpstr>M3</vt:lpstr>
      <vt:lpstr>Variance</vt:lpstr>
      <vt:lpstr>Correlation</vt:lpstr>
      <vt:lpstr>INDEX MATCH Functions</vt:lpstr>
      <vt:lpstr>INDEX MATCH Master Emp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Negi</cp:lastModifiedBy>
  <dcterms:created xsi:type="dcterms:W3CDTF">2024-12-17T16:52:03Z</dcterms:created>
  <dcterms:modified xsi:type="dcterms:W3CDTF">2024-12-24T20:02:35Z</dcterms:modified>
</cp:coreProperties>
</file>