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8.xml.rels" ContentType="application/vnd.openxmlformats-package.relationships+xml"/>
  <Override PartName="/xl/tables/table23.xml" ContentType="application/vnd.openxmlformats-officedocument.spreadsheetml.table+xml"/>
  <Override PartName="/xl/tables/table2.xml" ContentType="application/vnd.openxmlformats-officedocument.spreadsheetml.table+xml"/>
  <Override PartName="/xl/tables/table67.xml" ContentType="application/vnd.openxmlformats-officedocument.spreadsheetml.table+xml"/>
  <Override PartName="/xl/tables/table10.xml" ContentType="application/vnd.openxmlformats-officedocument.spreadsheetml.table+xml"/>
  <Override PartName="/xl/tables/table24.xml" ContentType="application/vnd.openxmlformats-officedocument.spreadsheetml.table+xml"/>
  <Override PartName="/xl/tables/table3.xml" ContentType="application/vnd.openxmlformats-officedocument.spreadsheetml.table+xml"/>
  <Override PartName="/xl/tables/table25.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26.xml" ContentType="application/vnd.openxmlformats-officedocument.spreadsheetml.table+xml"/>
  <Override PartName="/xl/tables/table7.xml" ContentType="application/vnd.openxmlformats-officedocument.spreadsheetml.table+xml"/>
  <Override PartName="/xl/tables/table28.xml" ContentType="application/vnd.openxmlformats-officedocument.spreadsheetml.table+xml"/>
  <Override PartName="/xl/tables/table8.xml" ContentType="application/vnd.openxmlformats-officedocument.spreadsheetml.table+xml"/>
  <Override PartName="/xl/tables/table29.xml" ContentType="application/vnd.openxmlformats-officedocument.spreadsheetml.table+xml"/>
  <Override PartName="/xl/tables/table9.xml" ContentType="application/vnd.openxmlformats-officedocument.spreadsheetml.table+xml"/>
  <Override PartName="/xl/tables/table40.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78.xml" ContentType="application/vnd.openxmlformats-officedocument.spreadsheetml.table+xml"/>
  <Override PartName="/xl/tables/table22.xml" ContentType="application/vnd.openxmlformats-officedocument.spreadsheetml.table+xml"/>
  <Override PartName="/xl/tables/table1.xml" ContentType="application/vnd.openxmlformats-officedocument.spreadsheetml.table+xml"/>
  <Override PartName="/xl/tables/table27.xml" ContentType="application/vnd.openxmlformats-officedocument.spreadsheetml.table+xml"/>
  <Override PartName="/xl/tables/table6.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89.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heme/theme1.xml" ContentType="application/vnd.openxmlformats-officedocument.theme+xml"/>
  <Override PartName="/xl/externalLinks/_rels/externalLink1.xml.rels" ContentType="application/vnd.openxmlformats-package.relationships+xml"/>
  <Override PartName="/xl/externalLinks/_rels/externalLink2.xml.rels" ContentType="application/vnd.openxmlformats-package.relationship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comments9.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2.xml" ContentType="application/xml"/>
  <Override PartName="/customXml/itemProps1.xml" ContentType="application/vnd.openxmlformats-officedocument.customXmlProperties+xml"/>
  <Override PartName="/customXml/item3.xml" ContentType="application/xml"/>
  <Override PartName="/customXml/itemProps2.xml" ContentType="application/vnd.openxmlformats-officedocument.customXmlProperties+xml"/>
  <Override PartName="/customXml/item4.xml" ContentType="application/xml"/>
  <Override PartName="/customXml/itemProps3.xml" ContentType="application/vnd.openxmlformats-officedocument.customXmlProperties+xml"/>
  <Override PartName="/customXml/itemProps4.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UMR Brief" sheetId="1" state="visible" r:id="rId3"/>
    <sheet name="ILR Brief" sheetId="2" state="visible" r:id="rId4"/>
    <sheet name="MOR Brief" sheetId="3" state="visible" r:id="rId5"/>
    <sheet name="CART Data" sheetId="4" state="hidden" r:id="rId6"/>
    <sheet name="CART Watch" sheetId="5" state="visible" r:id="rId7"/>
    <sheet name="CART Action" sheetId="6" state="visible" r:id="rId8"/>
    <sheet name="CART Extreme Action" sheetId="7" state="visible" r:id="rId9"/>
    <sheet name="Observed_Data" sheetId="8" state="hidden" r:id="rId10"/>
    <sheet name="Forecasted_Data" sheetId="9" state="hidden" r:id="rId11"/>
  </sheets>
  <externalReferences>
    <externalReference r:id="rId12"/>
    <externalReference r:id="rId13"/>
  </externalReferences>
  <definedNames>
    <definedName function="false" hidden="false" localSheetId="1" name="_xlnm.Print_Area" vbProcedure="false">'ILR Brief'!$A$1:$P$17</definedName>
    <definedName function="false" hidden="false" localSheetId="2" name="_xlnm.Print_Area" vbProcedure="false">'MOR Brief'!$A$1:$N$50</definedName>
    <definedName function="false" hidden="false" localSheetId="0" name="_xlnm.Print_Area" vbProcedure="false">'UMR Brief'!$A$1:$N$66</definedName>
    <definedName function="false" hidden="false" name="ATCH_Current" vbProcedure="false">'MOR Brief'!$H$17</definedName>
    <definedName function="false" hidden="false" name="BOON_Current" vbProcedure="false">'MOR Brief'!$H$33</definedName>
    <definedName function="false" hidden="false" name="GLAS_Current" vbProcedure="false">'MOR Brief'!$H$31</definedName>
    <definedName function="false" hidden="false" name="HER_Current" vbProcedure="false">'MOR Brief'!$H$40</definedName>
    <definedName function="false" hidden="false" name="JEFF_Current" vbProcedure="false">'MOR Brief'!$H$38</definedName>
    <definedName function="false" hidden="false" name="KC_Current" vbProcedure="false">'MOR Brief'!$H$19</definedName>
    <definedName function="false" hidden="false" name="MIA_Current" vbProcedure="false">'MOR Brief'!$H$29</definedName>
    <definedName function="false" hidden="false" name="OMA_Current" vbProcedure="false">'MOR Brief'!$H$5</definedName>
    <definedName function="false" hidden="false" name="RUL_Current" vbProcedure="false">'MOR Brief'!$H$10</definedName>
    <definedName function="false" hidden="false" name="SC_Current" vbProcedure="false">'MOR Brief'!$H$3</definedName>
    <definedName function="false" hidden="false" name="STC_Current" vbProcedure="false">'MOR Brief'!$H$47</definedName>
    <definedName function="false" hidden="false" name="STJ_Current" vbProcedure="false">'MOR Brief'!$H$15</definedName>
    <definedName function="false" hidden="false" name="WASH_Current" vbProcedure="false">'MOR Brief'!$H$45</definedName>
    <definedName function="false" hidden="false" name="WAV_Current" vbProcedure="false">'MOR Brief'!$H$24</definedName>
  </definedNames>
  <calcPr iterateCount="100" refMode="A1" iterate="false" iterateDelta="0.0001"/>
  <extLst>
    <ext xmlns:loext="http://schemas.libreoffice.org/" uri="{7626C862-2A13-11E5-B345-FEFF819CDC9F}">
      <loext:extCalcPr stringRefSyntax="ExcelA1"/>
    </ext>
  </extLst>
</workbook>
</file>

<file path=xl/comments9.xml><?xml version="1.0" encoding="utf-8"?>
<comments xmlns="http://schemas.openxmlformats.org/spreadsheetml/2006/main" xmlns:xdr="http://schemas.openxmlformats.org/drawingml/2006/spreadsheetDrawing">
  <authors>
    <author>Unknown Author</author>
  </authors>
  <commentList>
    <comment ref="B88" authorId="0">
      <text>
        <r>
          <rPr>
            <sz val="10"/>
            <rFont val="Arial"/>
            <family val="2"/>
          </rPr>
          <t xml:space="preserve">Christian Barger:
</t>
        </r>
        <r>
          <rPr>
            <sz val="9"/>
            <color rgb="FF000000"/>
            <rFont val="Tahoma"/>
            <family val="2"/>
            <charset val="1"/>
          </rPr>
          <t xml:space="preserve">date dropping to high watch</t>
        </r>
      </text>
    </comment>
    <comment ref="B89" authorId="0">
      <text>
        <r>
          <rPr>
            <sz val="10"/>
            <rFont val="Arial"/>
            <family val="2"/>
          </rPr>
          <t xml:space="preserve">Christian Barger:
</t>
        </r>
        <r>
          <rPr>
            <sz val="9"/>
            <color rgb="FF000000"/>
            <rFont val="Tahoma"/>
            <family val="2"/>
            <charset val="1"/>
          </rPr>
          <t xml:space="preserve">date dropping to high normal</t>
        </r>
      </text>
    </comment>
    <comment ref="B90" authorId="0">
      <text>
        <r>
          <rPr>
            <sz val="10"/>
            <rFont val="Arial"/>
            <family val="2"/>
          </rPr>
          <t xml:space="preserve">Christian Barger:
</t>
        </r>
        <r>
          <rPr>
            <sz val="9"/>
            <color rgb="FF000000"/>
            <rFont val="Tahoma"/>
            <family val="2"/>
            <charset val="1"/>
          </rPr>
          <t xml:space="preserve">date rishing to low watch</t>
        </r>
      </text>
    </comment>
    <comment ref="B91" authorId="0">
      <text>
        <r>
          <rPr>
            <sz val="10"/>
            <rFont val="Arial"/>
            <family val="2"/>
          </rPr>
          <t xml:space="preserve">Christian Barger:
</t>
        </r>
        <r>
          <rPr>
            <sz val="9"/>
            <color rgb="FF000000"/>
            <rFont val="Tahoma"/>
            <family val="2"/>
            <charset val="1"/>
          </rPr>
          <t xml:space="preserve">date rising to low normal</t>
        </r>
      </text>
    </comment>
    <comment ref="B92" authorId="0">
      <text>
        <r>
          <rPr>
            <sz val="10"/>
            <rFont val="Arial"/>
            <family val="2"/>
          </rPr>
          <t xml:space="preserve">Christian Barger:
</t>
        </r>
        <r>
          <rPr>
            <sz val="9"/>
            <color rgb="FF000000"/>
            <rFont val="Tahoma"/>
            <family val="2"/>
            <charset val="1"/>
          </rPr>
          <t xml:space="preserve">date rising to high watch</t>
        </r>
      </text>
    </comment>
    <comment ref="B93" authorId="0">
      <text>
        <r>
          <rPr>
            <sz val="10"/>
            <rFont val="Arial"/>
            <family val="2"/>
          </rPr>
          <t xml:space="preserve">Christian Barger:
</t>
        </r>
        <r>
          <rPr>
            <sz val="9"/>
            <color rgb="FF000000"/>
            <rFont val="Tahoma"/>
            <family val="2"/>
            <charset val="1"/>
          </rPr>
          <t xml:space="preserve">date rising to high action</t>
        </r>
      </text>
    </comment>
    <comment ref="B94" authorId="0">
      <text>
        <r>
          <rPr>
            <sz val="10"/>
            <rFont val="Arial"/>
            <family val="2"/>
          </rPr>
          <t xml:space="preserve">Christian Barger:
</t>
        </r>
        <r>
          <rPr>
            <sz val="9"/>
            <color rgb="FF000000"/>
            <rFont val="Tahoma"/>
            <family val="2"/>
            <charset val="1"/>
          </rPr>
          <t xml:space="preserve">date falling to low watch</t>
        </r>
      </text>
    </comment>
    <comment ref="B95" authorId="0">
      <text>
        <r>
          <rPr>
            <sz val="10"/>
            <rFont val="Arial"/>
            <family val="2"/>
          </rPr>
          <t xml:space="preserve">Christian Barger:
</t>
        </r>
        <r>
          <rPr>
            <sz val="9"/>
            <color rgb="FF000000"/>
            <rFont val="Tahoma"/>
            <family val="2"/>
            <charset val="1"/>
          </rPr>
          <t xml:space="preserve">date falling to low action</t>
        </r>
      </text>
    </comment>
    <comment ref="B96" authorId="0">
      <text>
        <r>
          <rPr>
            <sz val="10"/>
            <rFont val="Arial"/>
            <family val="2"/>
          </rPr>
          <t xml:space="preserve">Christian Barger:
</t>
        </r>
        <r>
          <rPr>
            <sz val="9"/>
            <color rgb="FF000000"/>
            <rFont val="Tahoma"/>
            <family val="2"/>
            <charset val="1"/>
          </rPr>
          <t xml:space="preserve">Date rising above no wake</t>
        </r>
      </text>
    </comment>
    <comment ref="B97" authorId="0">
      <text>
        <r>
          <rPr>
            <sz val="10"/>
            <rFont val="Arial"/>
            <family val="2"/>
          </rPr>
          <t xml:space="preserve">Christian Barger:
</t>
        </r>
        <r>
          <rPr>
            <sz val="9"/>
            <color rgb="FF000000"/>
            <rFont val="Tahoma"/>
            <family val="2"/>
            <charset val="1"/>
          </rPr>
          <t xml:space="preserve">date rising above closure</t>
        </r>
      </text>
    </comment>
    <comment ref="B98" authorId="0">
      <text>
        <r>
          <rPr>
            <sz val="10"/>
            <rFont val="Arial"/>
            <family val="2"/>
          </rPr>
          <t xml:space="preserve">Christian Barger:
</t>
        </r>
        <r>
          <rPr>
            <sz val="9"/>
            <color rgb="FF000000"/>
            <rFont val="Tahoma"/>
            <family val="2"/>
            <charset val="1"/>
          </rPr>
          <t xml:space="preserve">Date falling below closure</t>
        </r>
      </text>
    </comment>
    <comment ref="B99" authorId="0">
      <text>
        <r>
          <rPr>
            <sz val="10"/>
            <rFont val="Arial"/>
            <family val="2"/>
          </rPr>
          <t xml:space="preserve">Christian Barger:
</t>
        </r>
        <r>
          <rPr>
            <sz val="9"/>
            <color rgb="FF000000"/>
            <rFont val="Tahoma"/>
            <family val="2"/>
            <charset val="1"/>
          </rPr>
          <t xml:space="preserve">date falling below no wake</t>
        </r>
      </text>
    </comment>
    <comment ref="F88" authorId="0">
      <text>
        <r>
          <rPr>
            <sz val="10"/>
            <rFont val="Arial"/>
            <family val="2"/>
          </rPr>
          <t xml:space="preserve">Christian Barger:
</t>
        </r>
        <r>
          <rPr>
            <sz val="9"/>
            <color rgb="FF000000"/>
            <rFont val="Tahoma"/>
            <family val="2"/>
            <charset val="1"/>
          </rPr>
          <t xml:space="preserve">date dropping to high watch</t>
        </r>
      </text>
    </comment>
    <comment ref="F89" authorId="0">
      <text>
        <r>
          <rPr>
            <sz val="10"/>
            <rFont val="Arial"/>
            <family val="2"/>
          </rPr>
          <t xml:space="preserve">Christian Barger:
</t>
        </r>
        <r>
          <rPr>
            <sz val="9"/>
            <color rgb="FF000000"/>
            <rFont val="Tahoma"/>
            <family val="2"/>
            <charset val="1"/>
          </rPr>
          <t xml:space="preserve">date dropping to high normal</t>
        </r>
      </text>
    </comment>
    <comment ref="F90" authorId="0">
      <text>
        <r>
          <rPr>
            <sz val="10"/>
            <rFont val="Arial"/>
            <family val="2"/>
          </rPr>
          <t xml:space="preserve">Christian Barger:
</t>
        </r>
        <r>
          <rPr>
            <sz val="9"/>
            <color rgb="FF000000"/>
            <rFont val="Tahoma"/>
            <family val="2"/>
            <charset val="1"/>
          </rPr>
          <t xml:space="preserve">date rising to low watch</t>
        </r>
      </text>
    </comment>
    <comment ref="F91" authorId="0">
      <text>
        <r>
          <rPr>
            <sz val="10"/>
            <rFont val="Arial"/>
            <family val="2"/>
          </rPr>
          <t xml:space="preserve">Christian Barger:
</t>
        </r>
        <r>
          <rPr>
            <sz val="9"/>
            <color rgb="FF000000"/>
            <rFont val="Tahoma"/>
            <family val="2"/>
            <charset val="1"/>
          </rPr>
          <t xml:space="preserve">date rising to low normal</t>
        </r>
      </text>
    </comment>
    <comment ref="F92" authorId="0">
      <text>
        <r>
          <rPr>
            <sz val="10"/>
            <rFont val="Arial"/>
            <family val="2"/>
          </rPr>
          <t xml:space="preserve">Christian Barger:
</t>
        </r>
        <r>
          <rPr>
            <sz val="9"/>
            <color rgb="FF000000"/>
            <rFont val="Tahoma"/>
            <family val="2"/>
            <charset val="1"/>
          </rPr>
          <t xml:space="preserve">date rising to high watch</t>
        </r>
      </text>
    </comment>
    <comment ref="F93" authorId="0">
      <text>
        <r>
          <rPr>
            <sz val="10"/>
            <rFont val="Arial"/>
            <family val="2"/>
          </rPr>
          <t xml:space="preserve">Christian Barger:
</t>
        </r>
        <r>
          <rPr>
            <sz val="9"/>
            <color rgb="FF000000"/>
            <rFont val="Tahoma"/>
            <family val="2"/>
            <charset val="1"/>
          </rPr>
          <t xml:space="preserve">date rising to high action</t>
        </r>
      </text>
    </comment>
    <comment ref="F94" authorId="0">
      <text>
        <r>
          <rPr>
            <sz val="10"/>
            <rFont val="Arial"/>
            <family val="2"/>
          </rPr>
          <t xml:space="preserve">Christian Barger:
</t>
        </r>
        <r>
          <rPr>
            <sz val="9"/>
            <color rgb="FF000000"/>
            <rFont val="Tahoma"/>
            <family val="2"/>
            <charset val="1"/>
          </rPr>
          <t xml:space="preserve">date falling to low watch</t>
        </r>
      </text>
    </comment>
    <comment ref="F95" authorId="0">
      <text>
        <r>
          <rPr>
            <sz val="10"/>
            <rFont val="Arial"/>
            <family val="2"/>
          </rPr>
          <t xml:space="preserve">Christian Barger:
</t>
        </r>
        <r>
          <rPr>
            <sz val="9"/>
            <color rgb="FF000000"/>
            <rFont val="Tahoma"/>
            <family val="2"/>
            <charset val="1"/>
          </rPr>
          <t xml:space="preserve">date falling to low action</t>
        </r>
      </text>
    </comment>
    <comment ref="F96" authorId="0">
      <text>
        <r>
          <rPr>
            <sz val="10"/>
            <rFont val="Arial"/>
            <family val="2"/>
          </rPr>
          <t xml:space="preserve">Christian Barger:
</t>
        </r>
        <r>
          <rPr>
            <sz val="9"/>
            <color rgb="FF000000"/>
            <rFont val="Tahoma"/>
            <family val="2"/>
            <charset val="1"/>
          </rPr>
          <t xml:space="preserve">Date rising above no wake</t>
        </r>
      </text>
    </comment>
    <comment ref="F97" authorId="0">
      <text>
        <r>
          <rPr>
            <sz val="10"/>
            <rFont val="Arial"/>
            <family val="2"/>
          </rPr>
          <t xml:space="preserve">Christian Barger:
</t>
        </r>
        <r>
          <rPr>
            <sz val="9"/>
            <color rgb="FF000000"/>
            <rFont val="Tahoma"/>
            <family val="2"/>
            <charset val="1"/>
          </rPr>
          <t xml:space="preserve">date rising above closure</t>
        </r>
      </text>
    </comment>
    <comment ref="F98" authorId="0">
      <text>
        <r>
          <rPr>
            <sz val="10"/>
            <rFont val="Arial"/>
            <family val="2"/>
          </rPr>
          <t xml:space="preserve">Christian Barger:
</t>
        </r>
        <r>
          <rPr>
            <sz val="9"/>
            <color rgb="FF000000"/>
            <rFont val="Tahoma"/>
            <family val="2"/>
            <charset val="1"/>
          </rPr>
          <t xml:space="preserve">Date falling below closure</t>
        </r>
      </text>
    </comment>
    <comment ref="F99" authorId="0">
      <text>
        <r>
          <rPr>
            <sz val="10"/>
            <rFont val="Arial"/>
            <family val="2"/>
          </rPr>
          <t xml:space="preserve">Christian Barger:
</t>
        </r>
        <r>
          <rPr>
            <sz val="9"/>
            <color rgb="FF000000"/>
            <rFont val="Tahoma"/>
            <family val="2"/>
            <charset val="1"/>
          </rPr>
          <t xml:space="preserve">date falling below no wake</t>
        </r>
      </text>
    </comment>
    <comment ref="H88" authorId="0">
      <text>
        <r>
          <rPr>
            <sz val="10"/>
            <rFont val="Arial"/>
            <family val="2"/>
          </rPr>
          <t xml:space="preserve">Christian Barger:
</t>
        </r>
        <r>
          <rPr>
            <sz val="9"/>
            <color rgb="FF000000"/>
            <rFont val="Tahoma"/>
            <family val="2"/>
            <charset val="1"/>
          </rPr>
          <t xml:space="preserve">date dropping to high watch</t>
        </r>
      </text>
    </comment>
    <comment ref="H89" authorId="0">
      <text>
        <r>
          <rPr>
            <sz val="10"/>
            <rFont val="Arial"/>
            <family val="2"/>
          </rPr>
          <t xml:space="preserve">Christian Barger:
</t>
        </r>
        <r>
          <rPr>
            <sz val="9"/>
            <color rgb="FF000000"/>
            <rFont val="Tahoma"/>
            <family val="2"/>
            <charset val="1"/>
          </rPr>
          <t xml:space="preserve">date dropping to high normal</t>
        </r>
      </text>
    </comment>
    <comment ref="H90" authorId="0">
      <text>
        <r>
          <rPr>
            <sz val="10"/>
            <rFont val="Arial"/>
            <family val="2"/>
          </rPr>
          <t xml:space="preserve">Christian Barger:
</t>
        </r>
        <r>
          <rPr>
            <sz val="9"/>
            <color rgb="FF000000"/>
            <rFont val="Tahoma"/>
            <family val="2"/>
            <charset val="1"/>
          </rPr>
          <t xml:space="preserve">date rising to low watch</t>
        </r>
      </text>
    </comment>
    <comment ref="H91" authorId="0">
      <text>
        <r>
          <rPr>
            <sz val="10"/>
            <rFont val="Arial"/>
            <family val="2"/>
          </rPr>
          <t xml:space="preserve">Christian Barger:
</t>
        </r>
        <r>
          <rPr>
            <sz val="9"/>
            <color rgb="FF000000"/>
            <rFont val="Tahoma"/>
            <family val="2"/>
            <charset val="1"/>
          </rPr>
          <t xml:space="preserve">date rising to low normal</t>
        </r>
      </text>
    </comment>
    <comment ref="H92" authorId="0">
      <text>
        <r>
          <rPr>
            <sz val="10"/>
            <rFont val="Arial"/>
            <family val="2"/>
          </rPr>
          <t xml:space="preserve">Christian Barger:
</t>
        </r>
        <r>
          <rPr>
            <sz val="9"/>
            <color rgb="FF000000"/>
            <rFont val="Tahoma"/>
            <family val="2"/>
            <charset val="1"/>
          </rPr>
          <t xml:space="preserve">date rising to high watch</t>
        </r>
      </text>
    </comment>
    <comment ref="H93" authorId="0">
      <text>
        <r>
          <rPr>
            <sz val="10"/>
            <rFont val="Arial"/>
            <family val="2"/>
          </rPr>
          <t xml:space="preserve">Christian Barger:
</t>
        </r>
        <r>
          <rPr>
            <sz val="9"/>
            <color rgb="FF000000"/>
            <rFont val="Tahoma"/>
            <family val="2"/>
            <charset val="1"/>
          </rPr>
          <t xml:space="preserve">date rising to high action</t>
        </r>
      </text>
    </comment>
    <comment ref="H94" authorId="0">
      <text>
        <r>
          <rPr>
            <sz val="10"/>
            <rFont val="Arial"/>
            <family val="2"/>
          </rPr>
          <t xml:space="preserve">Christian Barger:
</t>
        </r>
        <r>
          <rPr>
            <sz val="9"/>
            <color rgb="FF000000"/>
            <rFont val="Tahoma"/>
            <family val="2"/>
            <charset val="1"/>
          </rPr>
          <t xml:space="preserve">date dropping to low watch</t>
        </r>
      </text>
    </comment>
    <comment ref="H95" authorId="0">
      <text>
        <r>
          <rPr>
            <sz val="10"/>
            <rFont val="Arial"/>
            <family val="2"/>
          </rPr>
          <t xml:space="preserve">Christian Barger:
</t>
        </r>
        <r>
          <rPr>
            <sz val="9"/>
            <color rgb="FF000000"/>
            <rFont val="Tahoma"/>
            <family val="2"/>
            <charset val="1"/>
          </rPr>
          <t xml:space="preserve">date dropping to low action</t>
        </r>
      </text>
    </comment>
    <comment ref="H96" authorId="0">
      <text>
        <r>
          <rPr>
            <sz val="10"/>
            <rFont val="Arial"/>
            <family val="2"/>
          </rPr>
          <t xml:space="preserve">Christian Barger:
</t>
        </r>
        <r>
          <rPr>
            <sz val="9"/>
            <color rgb="FF000000"/>
            <rFont val="Tahoma"/>
            <family val="2"/>
            <charset val="1"/>
          </rPr>
          <t xml:space="preserve">Date rising above no wake</t>
        </r>
      </text>
    </comment>
    <comment ref="H97" authorId="0">
      <text>
        <r>
          <rPr>
            <sz val="10"/>
            <rFont val="Arial"/>
            <family val="2"/>
          </rPr>
          <t xml:space="preserve">Christian Barger:
</t>
        </r>
        <r>
          <rPr>
            <sz val="9"/>
            <color rgb="FF000000"/>
            <rFont val="Tahoma"/>
            <family val="2"/>
            <charset val="1"/>
          </rPr>
          <t xml:space="preserve">date rising above closure</t>
        </r>
      </text>
    </comment>
    <comment ref="H98" authorId="0">
      <text>
        <r>
          <rPr>
            <sz val="10"/>
            <rFont val="Arial"/>
            <family val="2"/>
          </rPr>
          <t xml:space="preserve">Christian Barger:
</t>
        </r>
        <r>
          <rPr>
            <sz val="9"/>
            <color rgb="FF000000"/>
            <rFont val="Tahoma"/>
            <family val="2"/>
            <charset val="1"/>
          </rPr>
          <t xml:space="preserve">Date falling below closure</t>
        </r>
      </text>
    </comment>
    <comment ref="H99" authorId="0">
      <text>
        <r>
          <rPr>
            <sz val="10"/>
            <rFont val="Arial"/>
            <family val="2"/>
          </rPr>
          <t xml:space="preserve">Christian Barger:
</t>
        </r>
        <r>
          <rPr>
            <sz val="9"/>
            <color rgb="FF000000"/>
            <rFont val="Tahoma"/>
            <family val="2"/>
            <charset val="1"/>
          </rPr>
          <t xml:space="preserve">date falling below no wake</t>
        </r>
      </text>
    </comment>
    <comment ref="J88" authorId="0">
      <text>
        <r>
          <rPr>
            <sz val="10"/>
            <rFont val="Arial"/>
            <family val="2"/>
          </rPr>
          <t xml:space="preserve">Christian Barger:
</t>
        </r>
        <r>
          <rPr>
            <sz val="9"/>
            <color rgb="FF000000"/>
            <rFont val="Tahoma"/>
            <family val="2"/>
            <charset val="1"/>
          </rPr>
          <t xml:space="preserve">date dropping to high watch</t>
        </r>
      </text>
    </comment>
    <comment ref="J89" authorId="0">
      <text>
        <r>
          <rPr>
            <sz val="10"/>
            <rFont val="Arial"/>
            <family val="2"/>
          </rPr>
          <t xml:space="preserve">Christian Barger:
</t>
        </r>
        <r>
          <rPr>
            <sz val="9"/>
            <color rgb="FF000000"/>
            <rFont val="Tahoma"/>
            <family val="2"/>
            <charset val="1"/>
          </rPr>
          <t xml:space="preserve">date dropping to high normal</t>
        </r>
      </text>
    </comment>
    <comment ref="J90" authorId="0">
      <text>
        <r>
          <rPr>
            <sz val="10"/>
            <rFont val="Arial"/>
            <family val="2"/>
          </rPr>
          <t xml:space="preserve">Christian Barger:
</t>
        </r>
        <r>
          <rPr>
            <sz val="9"/>
            <color rgb="FF000000"/>
            <rFont val="Tahoma"/>
            <family val="2"/>
            <charset val="1"/>
          </rPr>
          <t xml:space="preserve">date rising to low watch</t>
        </r>
      </text>
    </comment>
    <comment ref="J91" authorId="0">
      <text>
        <r>
          <rPr>
            <sz val="10"/>
            <rFont val="Arial"/>
            <family val="2"/>
          </rPr>
          <t xml:space="preserve">Christian Barger:
</t>
        </r>
        <r>
          <rPr>
            <sz val="9"/>
            <color rgb="FF000000"/>
            <rFont val="Tahoma"/>
            <family val="2"/>
            <charset val="1"/>
          </rPr>
          <t xml:space="preserve">date rishing to low normal</t>
        </r>
      </text>
    </comment>
    <comment ref="J92" authorId="0">
      <text>
        <r>
          <rPr>
            <sz val="10"/>
            <rFont val="Arial"/>
            <family val="2"/>
          </rPr>
          <t xml:space="preserve">Christian Barger:
</t>
        </r>
        <r>
          <rPr>
            <sz val="9"/>
            <color rgb="FF000000"/>
            <rFont val="Tahoma"/>
            <family val="2"/>
            <charset val="1"/>
          </rPr>
          <t xml:space="preserve">date rising to high watch</t>
        </r>
      </text>
    </comment>
    <comment ref="J93" authorId="0">
      <text>
        <r>
          <rPr>
            <sz val="10"/>
            <rFont val="Arial"/>
            <family val="2"/>
          </rPr>
          <t xml:space="preserve">Christian Barger:
</t>
        </r>
        <r>
          <rPr>
            <sz val="9"/>
            <color rgb="FF000000"/>
            <rFont val="Tahoma"/>
            <family val="2"/>
            <charset val="1"/>
          </rPr>
          <t xml:space="preserve">date rising to high action</t>
        </r>
      </text>
    </comment>
    <comment ref="J94" authorId="0">
      <text>
        <r>
          <rPr>
            <sz val="10"/>
            <rFont val="Arial"/>
            <family val="2"/>
          </rPr>
          <t xml:space="preserve">Christian Barger:
</t>
        </r>
        <r>
          <rPr>
            <sz val="9"/>
            <color rgb="FF000000"/>
            <rFont val="Tahoma"/>
            <family val="2"/>
            <charset val="1"/>
          </rPr>
          <t xml:space="preserve">date falling to low watch</t>
        </r>
      </text>
    </comment>
    <comment ref="J95" authorId="0">
      <text>
        <r>
          <rPr>
            <sz val="10"/>
            <rFont val="Arial"/>
            <family val="2"/>
          </rPr>
          <t xml:space="preserve">Christian Barger:
</t>
        </r>
        <r>
          <rPr>
            <sz val="9"/>
            <color rgb="FF000000"/>
            <rFont val="Tahoma"/>
            <family val="2"/>
            <charset val="1"/>
          </rPr>
          <t xml:space="preserve">date falling to low action</t>
        </r>
      </text>
    </comment>
    <comment ref="J96" authorId="0">
      <text>
        <r>
          <rPr>
            <sz val="10"/>
            <rFont val="Arial"/>
            <family val="2"/>
          </rPr>
          <t xml:space="preserve">Christian Barger:
</t>
        </r>
        <r>
          <rPr>
            <sz val="9"/>
            <color rgb="FF000000"/>
            <rFont val="Tahoma"/>
            <family val="2"/>
            <charset val="1"/>
          </rPr>
          <t xml:space="preserve">Date rising above no wake</t>
        </r>
      </text>
    </comment>
    <comment ref="J97" authorId="0">
      <text>
        <r>
          <rPr>
            <sz val="10"/>
            <rFont val="Arial"/>
            <family val="2"/>
          </rPr>
          <t xml:space="preserve">Christian Barger:
</t>
        </r>
        <r>
          <rPr>
            <sz val="9"/>
            <color rgb="FF000000"/>
            <rFont val="Tahoma"/>
            <family val="2"/>
            <charset val="1"/>
          </rPr>
          <t xml:space="preserve">date rising above closure</t>
        </r>
      </text>
    </comment>
    <comment ref="J98" authorId="0">
      <text>
        <r>
          <rPr>
            <sz val="10"/>
            <rFont val="Arial"/>
            <family val="2"/>
          </rPr>
          <t xml:space="preserve">Christian Barger:
</t>
        </r>
        <r>
          <rPr>
            <sz val="9"/>
            <color rgb="FF000000"/>
            <rFont val="Tahoma"/>
            <family val="2"/>
            <charset val="1"/>
          </rPr>
          <t xml:space="preserve">Date falling below closure</t>
        </r>
      </text>
    </comment>
    <comment ref="J99" authorId="0">
      <text>
        <r>
          <rPr>
            <sz val="10"/>
            <rFont val="Arial"/>
            <family val="2"/>
          </rPr>
          <t xml:space="preserve">Christian Barger:
</t>
        </r>
        <r>
          <rPr>
            <sz val="9"/>
            <color rgb="FF000000"/>
            <rFont val="Tahoma"/>
            <family val="2"/>
            <charset val="1"/>
          </rPr>
          <t xml:space="preserve">date falling below no wake</t>
        </r>
      </text>
    </comment>
    <comment ref="L88" authorId="0">
      <text>
        <r>
          <rPr>
            <sz val="10"/>
            <rFont val="Arial"/>
            <family val="2"/>
          </rPr>
          <t xml:space="preserve">Christian Barger:
</t>
        </r>
        <r>
          <rPr>
            <sz val="9"/>
            <color rgb="FF000000"/>
            <rFont val="Tahoma"/>
            <family val="2"/>
            <charset val="1"/>
          </rPr>
          <t xml:space="preserve">date dropping to high watch</t>
        </r>
      </text>
    </comment>
    <comment ref="L89" authorId="0">
      <text>
        <r>
          <rPr>
            <sz val="10"/>
            <rFont val="Arial"/>
            <family val="2"/>
          </rPr>
          <t xml:space="preserve">Christian Barger:
</t>
        </r>
        <r>
          <rPr>
            <sz val="9"/>
            <color rgb="FF000000"/>
            <rFont val="Tahoma"/>
            <family val="2"/>
            <charset val="1"/>
          </rPr>
          <t xml:space="preserve">date dropping to high normal</t>
        </r>
      </text>
    </comment>
    <comment ref="L90" authorId="0">
      <text>
        <r>
          <rPr>
            <sz val="10"/>
            <rFont val="Arial"/>
            <family val="2"/>
          </rPr>
          <t xml:space="preserve">Christian Barger:
</t>
        </r>
        <r>
          <rPr>
            <sz val="9"/>
            <color rgb="FF000000"/>
            <rFont val="Tahoma"/>
            <family val="2"/>
            <charset val="1"/>
          </rPr>
          <t xml:space="preserve">date rising to low watch</t>
        </r>
      </text>
    </comment>
    <comment ref="L91" authorId="0">
      <text>
        <r>
          <rPr>
            <sz val="10"/>
            <rFont val="Arial"/>
            <family val="2"/>
          </rPr>
          <t xml:space="preserve">Christian Barger:
</t>
        </r>
        <r>
          <rPr>
            <sz val="9"/>
            <color rgb="FF000000"/>
            <rFont val="Tahoma"/>
            <family val="2"/>
            <charset val="1"/>
          </rPr>
          <t xml:space="preserve">date rising to low normal</t>
        </r>
      </text>
    </comment>
    <comment ref="L92" authorId="0">
      <text>
        <r>
          <rPr>
            <sz val="10"/>
            <rFont val="Arial"/>
            <family val="2"/>
          </rPr>
          <t xml:space="preserve">Christian Barger:
</t>
        </r>
        <r>
          <rPr>
            <sz val="9"/>
            <color rgb="FF000000"/>
            <rFont val="Tahoma"/>
            <family val="2"/>
            <charset val="1"/>
          </rPr>
          <t xml:space="preserve">date rising to high watch</t>
        </r>
      </text>
    </comment>
    <comment ref="L93" authorId="0">
      <text>
        <r>
          <rPr>
            <sz val="10"/>
            <rFont val="Arial"/>
            <family val="2"/>
          </rPr>
          <t xml:space="preserve">Christian Barger:
</t>
        </r>
        <r>
          <rPr>
            <sz val="9"/>
            <color rgb="FF000000"/>
            <rFont val="Tahoma"/>
            <family val="2"/>
            <charset val="1"/>
          </rPr>
          <t xml:space="preserve">date rising to high action</t>
        </r>
      </text>
    </comment>
    <comment ref="L94" authorId="0">
      <text>
        <r>
          <rPr>
            <sz val="10"/>
            <rFont val="Arial"/>
            <family val="2"/>
          </rPr>
          <t xml:space="preserve">Christian Barger:
</t>
        </r>
        <r>
          <rPr>
            <sz val="9"/>
            <color rgb="FF000000"/>
            <rFont val="Tahoma"/>
            <family val="2"/>
            <charset val="1"/>
          </rPr>
          <t xml:space="preserve">date falling to low watch</t>
        </r>
      </text>
    </comment>
    <comment ref="L95" authorId="0">
      <text>
        <r>
          <rPr>
            <sz val="10"/>
            <rFont val="Arial"/>
            <family val="2"/>
          </rPr>
          <t xml:space="preserve">Christian Barger:
</t>
        </r>
        <r>
          <rPr>
            <sz val="9"/>
            <color rgb="FF000000"/>
            <rFont val="Tahoma"/>
            <family val="2"/>
            <charset val="1"/>
          </rPr>
          <t xml:space="preserve">date falling to low action</t>
        </r>
      </text>
    </comment>
    <comment ref="L96" authorId="0">
      <text>
        <r>
          <rPr>
            <sz val="10"/>
            <rFont val="Arial"/>
            <family val="2"/>
          </rPr>
          <t xml:space="preserve">Christian Barger:
</t>
        </r>
        <r>
          <rPr>
            <sz val="9"/>
            <color rgb="FF000000"/>
            <rFont val="Tahoma"/>
            <family val="2"/>
            <charset val="1"/>
          </rPr>
          <t xml:space="preserve">Date rising above no wake</t>
        </r>
      </text>
    </comment>
    <comment ref="L97" authorId="0">
      <text>
        <r>
          <rPr>
            <sz val="10"/>
            <rFont val="Arial"/>
            <family val="2"/>
          </rPr>
          <t xml:space="preserve">Christian Barger:
</t>
        </r>
        <r>
          <rPr>
            <sz val="9"/>
            <color rgb="FF000000"/>
            <rFont val="Tahoma"/>
            <family val="2"/>
            <charset val="1"/>
          </rPr>
          <t xml:space="preserve">date rising above closure</t>
        </r>
      </text>
    </comment>
    <comment ref="L98" authorId="0">
      <text>
        <r>
          <rPr>
            <sz val="10"/>
            <rFont val="Arial"/>
            <family val="2"/>
          </rPr>
          <t xml:space="preserve">Christian Barger:
</t>
        </r>
        <r>
          <rPr>
            <sz val="9"/>
            <color rgb="FF000000"/>
            <rFont val="Tahoma"/>
            <family val="2"/>
            <charset val="1"/>
          </rPr>
          <t xml:space="preserve">Date falling below closure</t>
        </r>
      </text>
    </comment>
    <comment ref="L99" authorId="0">
      <text>
        <r>
          <rPr>
            <sz val="10"/>
            <rFont val="Arial"/>
            <family val="2"/>
          </rPr>
          <t xml:space="preserve">Christian Barger:
</t>
        </r>
        <r>
          <rPr>
            <sz val="9"/>
            <color rgb="FF000000"/>
            <rFont val="Tahoma"/>
            <family val="2"/>
            <charset val="1"/>
          </rPr>
          <t xml:space="preserve">date falling below no wake</t>
        </r>
      </text>
    </comment>
    <comment ref="N88" authorId="0">
      <text>
        <r>
          <rPr>
            <sz val="10"/>
            <rFont val="Arial"/>
            <family val="2"/>
          </rPr>
          <t xml:space="preserve">Christian Barger:
</t>
        </r>
        <r>
          <rPr>
            <sz val="9"/>
            <color rgb="FF000000"/>
            <rFont val="Tahoma"/>
            <family val="2"/>
            <charset val="1"/>
          </rPr>
          <t xml:space="preserve">date dropping to high watch</t>
        </r>
      </text>
    </comment>
    <comment ref="N89" authorId="0">
      <text>
        <r>
          <rPr>
            <sz val="10"/>
            <rFont val="Arial"/>
            <family val="2"/>
          </rPr>
          <t xml:space="preserve">Christian Barger:
</t>
        </r>
        <r>
          <rPr>
            <sz val="9"/>
            <color rgb="FF000000"/>
            <rFont val="Tahoma"/>
            <family val="2"/>
            <charset val="1"/>
          </rPr>
          <t xml:space="preserve">date dropping to high normal</t>
        </r>
      </text>
    </comment>
    <comment ref="N90" authorId="0">
      <text>
        <r>
          <rPr>
            <sz val="10"/>
            <rFont val="Arial"/>
            <family val="2"/>
          </rPr>
          <t xml:space="preserve">Christian Barger:
</t>
        </r>
        <r>
          <rPr>
            <sz val="9"/>
            <color rgb="FF000000"/>
            <rFont val="Tahoma"/>
            <family val="2"/>
            <charset val="1"/>
          </rPr>
          <t xml:space="preserve">date rising to low watch</t>
        </r>
      </text>
    </comment>
    <comment ref="N91" authorId="0">
      <text>
        <r>
          <rPr>
            <sz val="10"/>
            <rFont val="Arial"/>
            <family val="2"/>
          </rPr>
          <t xml:space="preserve">Christian Barger:
</t>
        </r>
        <r>
          <rPr>
            <sz val="9"/>
            <color rgb="FF000000"/>
            <rFont val="Tahoma"/>
            <family val="2"/>
            <charset val="1"/>
          </rPr>
          <t xml:space="preserve">date rising to low normal</t>
        </r>
      </text>
    </comment>
    <comment ref="N92" authorId="0">
      <text>
        <r>
          <rPr>
            <sz val="10"/>
            <rFont val="Arial"/>
            <family val="2"/>
          </rPr>
          <t xml:space="preserve">Christian Barger:
</t>
        </r>
        <r>
          <rPr>
            <sz val="9"/>
            <color rgb="FF000000"/>
            <rFont val="Tahoma"/>
            <family val="2"/>
            <charset val="1"/>
          </rPr>
          <t xml:space="preserve">date rising to high watch</t>
        </r>
      </text>
    </comment>
    <comment ref="N93" authorId="0">
      <text>
        <r>
          <rPr>
            <sz val="10"/>
            <rFont val="Arial"/>
            <family val="2"/>
          </rPr>
          <t xml:space="preserve">Christian Barger:
</t>
        </r>
        <r>
          <rPr>
            <sz val="9"/>
            <color rgb="FF000000"/>
            <rFont val="Tahoma"/>
            <family val="2"/>
            <charset val="1"/>
          </rPr>
          <t xml:space="preserve">date rising to high action</t>
        </r>
      </text>
    </comment>
    <comment ref="N94" authorId="0">
      <text>
        <r>
          <rPr>
            <sz val="10"/>
            <rFont val="Arial"/>
            <family val="2"/>
          </rPr>
          <t xml:space="preserve">Christian Barger:
</t>
        </r>
        <r>
          <rPr>
            <sz val="9"/>
            <color rgb="FF000000"/>
            <rFont val="Tahoma"/>
            <family val="2"/>
            <charset val="1"/>
          </rPr>
          <t xml:space="preserve">date falling to low watch</t>
        </r>
      </text>
    </comment>
    <comment ref="N95" authorId="0">
      <text>
        <r>
          <rPr>
            <sz val="10"/>
            <rFont val="Arial"/>
            <family val="2"/>
          </rPr>
          <t xml:space="preserve">Christian Barger:
</t>
        </r>
        <r>
          <rPr>
            <sz val="9"/>
            <color rgb="FF000000"/>
            <rFont val="Tahoma"/>
            <family val="2"/>
            <charset val="1"/>
          </rPr>
          <t xml:space="preserve">date falling to low action</t>
        </r>
      </text>
    </comment>
    <comment ref="P113" authorId="0">
      <text>
        <r>
          <rPr>
            <sz val="10"/>
            <rFont val="Arial"/>
            <family val="2"/>
          </rPr>
          <t xml:space="preserve">Christian Barger:
</t>
        </r>
        <r>
          <rPr>
            <sz val="9"/>
            <color rgb="FF000000"/>
            <rFont val="Tahoma"/>
            <family val="2"/>
            <charset val="1"/>
          </rPr>
          <t xml:space="preserve">date dropping to high watch</t>
        </r>
      </text>
    </comment>
    <comment ref="P114" authorId="0">
      <text>
        <r>
          <rPr>
            <sz val="10"/>
            <rFont val="Arial"/>
            <family val="2"/>
          </rPr>
          <t xml:space="preserve">Christian Barger:
</t>
        </r>
        <r>
          <rPr>
            <sz val="9"/>
            <color rgb="FF000000"/>
            <rFont val="Tahoma"/>
            <family val="2"/>
            <charset val="1"/>
          </rPr>
          <t xml:space="preserve">date dropping to high normal</t>
        </r>
      </text>
    </comment>
    <comment ref="P115" authorId="0">
      <text>
        <r>
          <rPr>
            <sz val="10"/>
            <rFont val="Arial"/>
            <family val="2"/>
          </rPr>
          <t xml:space="preserve">Christian Barger:
</t>
        </r>
        <r>
          <rPr>
            <sz val="9"/>
            <color rgb="FF000000"/>
            <rFont val="Tahoma"/>
            <family val="2"/>
            <charset val="1"/>
          </rPr>
          <t xml:space="preserve">date rishing to low watch</t>
        </r>
      </text>
    </comment>
    <comment ref="P116" authorId="0">
      <text>
        <r>
          <rPr>
            <sz val="10"/>
            <rFont val="Arial"/>
            <family val="2"/>
          </rPr>
          <t xml:space="preserve">Christian Barger:
</t>
        </r>
        <r>
          <rPr>
            <sz val="9"/>
            <color rgb="FF000000"/>
            <rFont val="Tahoma"/>
            <family val="2"/>
            <charset val="1"/>
          </rPr>
          <t xml:space="preserve">date rising to low normal</t>
        </r>
      </text>
    </comment>
    <comment ref="P117" authorId="0">
      <text>
        <r>
          <rPr>
            <sz val="10"/>
            <rFont val="Arial"/>
            <family val="2"/>
          </rPr>
          <t xml:space="preserve">Christian Barger:
</t>
        </r>
        <r>
          <rPr>
            <sz val="9"/>
            <color rgb="FF000000"/>
            <rFont val="Tahoma"/>
            <family val="2"/>
            <charset val="1"/>
          </rPr>
          <t xml:space="preserve">date rising to high watch</t>
        </r>
      </text>
    </comment>
    <comment ref="P118" authorId="0">
      <text>
        <r>
          <rPr>
            <sz val="10"/>
            <rFont val="Arial"/>
            <family val="2"/>
          </rPr>
          <t xml:space="preserve">Christian Barger:
</t>
        </r>
        <r>
          <rPr>
            <sz val="9"/>
            <color rgb="FF000000"/>
            <rFont val="Tahoma"/>
            <family val="2"/>
            <charset val="1"/>
          </rPr>
          <t xml:space="preserve">date rising to high action</t>
        </r>
      </text>
    </comment>
    <comment ref="P119" authorId="0">
      <text>
        <r>
          <rPr>
            <sz val="10"/>
            <rFont val="Arial"/>
            <family val="2"/>
          </rPr>
          <t xml:space="preserve">Christian Barger:
</t>
        </r>
        <r>
          <rPr>
            <sz val="9"/>
            <color rgb="FF000000"/>
            <rFont val="Tahoma"/>
            <family val="2"/>
            <charset val="1"/>
          </rPr>
          <t xml:space="preserve">date falling to low watch</t>
        </r>
      </text>
    </comment>
    <comment ref="P120" authorId="0">
      <text>
        <r>
          <rPr>
            <sz val="10"/>
            <rFont val="Arial"/>
            <family val="2"/>
          </rPr>
          <t xml:space="preserve">Christian Barger:
</t>
        </r>
        <r>
          <rPr>
            <sz val="9"/>
            <color rgb="FF000000"/>
            <rFont val="Tahoma"/>
            <family val="2"/>
            <charset val="1"/>
          </rPr>
          <t xml:space="preserve">date falling to low action</t>
        </r>
      </text>
    </comment>
    <comment ref="R88" authorId="0">
      <text>
        <r>
          <rPr>
            <sz val="10"/>
            <rFont val="Arial"/>
            <family val="2"/>
          </rPr>
          <t xml:space="preserve">Christian Barger:
</t>
        </r>
        <r>
          <rPr>
            <sz val="9"/>
            <color rgb="FF000000"/>
            <rFont val="Tahoma"/>
            <family val="2"/>
            <charset val="1"/>
          </rPr>
          <t xml:space="preserve">date dropping to high watch</t>
        </r>
      </text>
    </comment>
    <comment ref="R89" authorId="0">
      <text>
        <r>
          <rPr>
            <sz val="10"/>
            <rFont val="Arial"/>
            <family val="2"/>
          </rPr>
          <t xml:space="preserve">Christian Barger:
</t>
        </r>
        <r>
          <rPr>
            <sz val="9"/>
            <color rgb="FF000000"/>
            <rFont val="Tahoma"/>
            <family val="2"/>
            <charset val="1"/>
          </rPr>
          <t xml:space="preserve">date dropping to high normal</t>
        </r>
      </text>
    </comment>
    <comment ref="R90" authorId="0">
      <text>
        <r>
          <rPr>
            <sz val="10"/>
            <rFont val="Arial"/>
            <family val="2"/>
          </rPr>
          <t xml:space="preserve">Christian Barger:
</t>
        </r>
        <r>
          <rPr>
            <sz val="9"/>
            <color rgb="FF000000"/>
            <rFont val="Tahoma"/>
            <family val="2"/>
            <charset val="1"/>
          </rPr>
          <t xml:space="preserve">date rishing to low watch</t>
        </r>
      </text>
    </comment>
    <comment ref="R91" authorId="0">
      <text>
        <r>
          <rPr>
            <sz val="10"/>
            <rFont val="Arial"/>
            <family val="2"/>
          </rPr>
          <t xml:space="preserve">Christian Barger:
</t>
        </r>
        <r>
          <rPr>
            <sz val="9"/>
            <color rgb="FF000000"/>
            <rFont val="Tahoma"/>
            <family val="2"/>
            <charset val="1"/>
          </rPr>
          <t xml:space="preserve">date rising to low normal</t>
        </r>
      </text>
    </comment>
    <comment ref="R92" authorId="0">
      <text>
        <r>
          <rPr>
            <sz val="10"/>
            <rFont val="Arial"/>
            <family val="2"/>
          </rPr>
          <t xml:space="preserve">Christian Barger:
</t>
        </r>
        <r>
          <rPr>
            <sz val="9"/>
            <color rgb="FF000000"/>
            <rFont val="Tahoma"/>
            <family val="2"/>
            <charset val="1"/>
          </rPr>
          <t xml:space="preserve">date rising to high watch</t>
        </r>
      </text>
    </comment>
    <comment ref="R93" authorId="0">
      <text>
        <r>
          <rPr>
            <sz val="10"/>
            <rFont val="Arial"/>
            <family val="2"/>
          </rPr>
          <t xml:space="preserve">Christian Barger:
</t>
        </r>
        <r>
          <rPr>
            <sz val="9"/>
            <color rgb="FF000000"/>
            <rFont val="Tahoma"/>
            <family val="2"/>
            <charset val="1"/>
          </rPr>
          <t xml:space="preserve">date rising to high action</t>
        </r>
      </text>
    </comment>
    <comment ref="R94" authorId="0">
      <text>
        <r>
          <rPr>
            <sz val="10"/>
            <rFont val="Arial"/>
            <family val="2"/>
          </rPr>
          <t xml:space="preserve">Christian Barger:
</t>
        </r>
        <r>
          <rPr>
            <sz val="9"/>
            <color rgb="FF000000"/>
            <rFont val="Tahoma"/>
            <family val="2"/>
            <charset val="1"/>
          </rPr>
          <t xml:space="preserve">date falling to low watch</t>
        </r>
      </text>
    </comment>
    <comment ref="R95" authorId="0">
      <text>
        <r>
          <rPr>
            <sz val="10"/>
            <rFont val="Arial"/>
            <family val="2"/>
          </rPr>
          <t xml:space="preserve">Christian Barger:
</t>
        </r>
        <r>
          <rPr>
            <sz val="9"/>
            <color rgb="FF000000"/>
            <rFont val="Tahoma"/>
            <family val="2"/>
            <charset val="1"/>
          </rPr>
          <t xml:space="preserve">date falling to low action</t>
        </r>
      </text>
    </comment>
    <comment ref="T113" authorId="0">
      <text>
        <r>
          <rPr>
            <sz val="10"/>
            <rFont val="Arial"/>
            <family val="2"/>
          </rPr>
          <t xml:space="preserve">Christian Barger:
</t>
        </r>
        <r>
          <rPr>
            <sz val="9"/>
            <color rgb="FF000000"/>
            <rFont val="Tahoma"/>
            <family val="2"/>
            <charset val="1"/>
          </rPr>
          <t xml:space="preserve">date dropping to high watch</t>
        </r>
      </text>
    </comment>
    <comment ref="T114" authorId="0">
      <text>
        <r>
          <rPr>
            <sz val="10"/>
            <rFont val="Arial"/>
            <family val="2"/>
          </rPr>
          <t xml:space="preserve">Christian Barger:
</t>
        </r>
        <r>
          <rPr>
            <sz val="9"/>
            <color rgb="FF000000"/>
            <rFont val="Tahoma"/>
            <family val="2"/>
            <charset val="1"/>
          </rPr>
          <t xml:space="preserve">date dropping to high normal</t>
        </r>
      </text>
    </comment>
    <comment ref="T115" authorId="0">
      <text>
        <r>
          <rPr>
            <sz val="10"/>
            <rFont val="Arial"/>
            <family val="2"/>
          </rPr>
          <t xml:space="preserve">Christian Barger:
</t>
        </r>
        <r>
          <rPr>
            <sz val="9"/>
            <color rgb="FF000000"/>
            <rFont val="Tahoma"/>
            <family val="2"/>
            <charset val="1"/>
          </rPr>
          <t xml:space="preserve">date rishing to low watch</t>
        </r>
      </text>
    </comment>
    <comment ref="T116" authorId="0">
      <text>
        <r>
          <rPr>
            <sz val="10"/>
            <rFont val="Arial"/>
            <family val="2"/>
          </rPr>
          <t xml:space="preserve">Christian Barger:
</t>
        </r>
        <r>
          <rPr>
            <sz val="9"/>
            <color rgb="FF000000"/>
            <rFont val="Tahoma"/>
            <family val="2"/>
            <charset val="1"/>
          </rPr>
          <t xml:space="preserve">date rising to low normal</t>
        </r>
      </text>
    </comment>
    <comment ref="T117" authorId="0">
      <text>
        <r>
          <rPr>
            <sz val="10"/>
            <rFont val="Arial"/>
            <family val="2"/>
          </rPr>
          <t xml:space="preserve">Christian Barger:
</t>
        </r>
        <r>
          <rPr>
            <sz val="9"/>
            <color rgb="FF000000"/>
            <rFont val="Tahoma"/>
            <family val="2"/>
            <charset val="1"/>
          </rPr>
          <t xml:space="preserve">date rising to high watch</t>
        </r>
      </text>
    </comment>
    <comment ref="T118" authorId="0">
      <text>
        <r>
          <rPr>
            <sz val="10"/>
            <rFont val="Arial"/>
            <family val="2"/>
          </rPr>
          <t xml:space="preserve">Christian Barger:
</t>
        </r>
        <r>
          <rPr>
            <sz val="9"/>
            <color rgb="FF000000"/>
            <rFont val="Tahoma"/>
            <family val="2"/>
            <charset val="1"/>
          </rPr>
          <t xml:space="preserve">date rising to high action</t>
        </r>
      </text>
    </comment>
    <comment ref="T119" authorId="0">
      <text>
        <r>
          <rPr>
            <sz val="10"/>
            <rFont val="Arial"/>
            <family val="2"/>
          </rPr>
          <t xml:space="preserve">Christian Barger:
</t>
        </r>
        <r>
          <rPr>
            <sz val="9"/>
            <color rgb="FF000000"/>
            <rFont val="Tahoma"/>
            <family val="2"/>
            <charset val="1"/>
          </rPr>
          <t xml:space="preserve">date falling to low watch</t>
        </r>
      </text>
    </comment>
    <comment ref="T120" authorId="0">
      <text>
        <r>
          <rPr>
            <sz val="10"/>
            <rFont val="Arial"/>
            <family val="2"/>
          </rPr>
          <t xml:space="preserve">Christian Barger:
</t>
        </r>
        <r>
          <rPr>
            <sz val="9"/>
            <color rgb="FF000000"/>
            <rFont val="Tahoma"/>
            <family val="2"/>
            <charset val="1"/>
          </rPr>
          <t xml:space="preserve">date falling to low action</t>
        </r>
      </text>
    </comment>
    <comment ref="V113" authorId="0">
      <text>
        <r>
          <rPr>
            <sz val="10"/>
            <rFont val="Arial"/>
            <family val="2"/>
          </rPr>
          <t xml:space="preserve">Christian Barger:
</t>
        </r>
        <r>
          <rPr>
            <sz val="9"/>
            <color rgb="FF000000"/>
            <rFont val="Tahoma"/>
            <family val="2"/>
            <charset val="1"/>
          </rPr>
          <t xml:space="preserve">date dropping to high watch</t>
        </r>
      </text>
    </comment>
    <comment ref="V114" authorId="0">
      <text>
        <r>
          <rPr>
            <sz val="10"/>
            <rFont val="Arial"/>
            <family val="2"/>
          </rPr>
          <t xml:space="preserve">Christian Barger:
</t>
        </r>
        <r>
          <rPr>
            <sz val="9"/>
            <color rgb="FF000000"/>
            <rFont val="Tahoma"/>
            <family val="2"/>
            <charset val="1"/>
          </rPr>
          <t xml:space="preserve">date dropping to high normal</t>
        </r>
      </text>
    </comment>
    <comment ref="V115" authorId="0">
      <text>
        <r>
          <rPr>
            <sz val="10"/>
            <rFont val="Arial"/>
            <family val="2"/>
          </rPr>
          <t xml:space="preserve">Christian Barger:
</t>
        </r>
        <r>
          <rPr>
            <sz val="9"/>
            <color rgb="FF000000"/>
            <rFont val="Tahoma"/>
            <family val="2"/>
            <charset val="1"/>
          </rPr>
          <t xml:space="preserve">date rishing to low watch</t>
        </r>
      </text>
    </comment>
    <comment ref="V116" authorId="0">
      <text>
        <r>
          <rPr>
            <sz val="10"/>
            <rFont val="Arial"/>
            <family val="2"/>
          </rPr>
          <t xml:space="preserve">Christian Barger:
</t>
        </r>
        <r>
          <rPr>
            <sz val="9"/>
            <color rgb="FF000000"/>
            <rFont val="Tahoma"/>
            <family val="2"/>
            <charset val="1"/>
          </rPr>
          <t xml:space="preserve">date rising to low normal</t>
        </r>
      </text>
    </comment>
    <comment ref="V117" authorId="0">
      <text>
        <r>
          <rPr>
            <sz val="10"/>
            <rFont val="Arial"/>
            <family val="2"/>
          </rPr>
          <t xml:space="preserve">Christian Barger:
</t>
        </r>
        <r>
          <rPr>
            <sz val="9"/>
            <color rgb="FF000000"/>
            <rFont val="Tahoma"/>
            <family val="2"/>
            <charset val="1"/>
          </rPr>
          <t xml:space="preserve">date rising to high watch</t>
        </r>
      </text>
    </comment>
    <comment ref="V118" authorId="0">
      <text>
        <r>
          <rPr>
            <sz val="10"/>
            <rFont val="Arial"/>
            <family val="2"/>
          </rPr>
          <t xml:space="preserve">Christian Barger:
</t>
        </r>
        <r>
          <rPr>
            <sz val="9"/>
            <color rgb="FF000000"/>
            <rFont val="Tahoma"/>
            <family val="2"/>
            <charset val="1"/>
          </rPr>
          <t xml:space="preserve">date rising to high action</t>
        </r>
      </text>
    </comment>
    <comment ref="V119" authorId="0">
      <text>
        <r>
          <rPr>
            <sz val="10"/>
            <rFont val="Arial"/>
            <family val="2"/>
          </rPr>
          <t xml:space="preserve">Christian Barger:
</t>
        </r>
        <r>
          <rPr>
            <sz val="9"/>
            <color rgb="FF000000"/>
            <rFont val="Tahoma"/>
            <family val="2"/>
            <charset val="1"/>
          </rPr>
          <t xml:space="preserve">date falling to low watch</t>
        </r>
      </text>
    </comment>
    <comment ref="V120" authorId="0">
      <text>
        <r>
          <rPr>
            <sz val="10"/>
            <rFont val="Arial"/>
            <family val="2"/>
          </rPr>
          <t xml:space="preserve">Christian Barger:
</t>
        </r>
        <r>
          <rPr>
            <sz val="9"/>
            <color rgb="FF000000"/>
            <rFont val="Tahoma"/>
            <family val="2"/>
            <charset val="1"/>
          </rPr>
          <t xml:space="preserve">date falling to low action</t>
        </r>
      </text>
    </comment>
    <comment ref="X113" authorId="0">
      <text>
        <r>
          <rPr>
            <sz val="10"/>
            <rFont val="Arial"/>
            <family val="2"/>
          </rPr>
          <t xml:space="preserve">Christian Barger:
</t>
        </r>
        <r>
          <rPr>
            <sz val="9"/>
            <color rgb="FF000000"/>
            <rFont val="Tahoma"/>
            <family val="2"/>
            <charset val="1"/>
          </rPr>
          <t xml:space="preserve">date dropping to high watch</t>
        </r>
      </text>
    </comment>
    <comment ref="X114" authorId="0">
      <text>
        <r>
          <rPr>
            <sz val="10"/>
            <rFont val="Arial"/>
            <family val="2"/>
          </rPr>
          <t xml:space="preserve">Christian Barger:
</t>
        </r>
        <r>
          <rPr>
            <sz val="9"/>
            <color rgb="FF000000"/>
            <rFont val="Tahoma"/>
            <family val="2"/>
            <charset val="1"/>
          </rPr>
          <t xml:space="preserve">date dropping to high normal</t>
        </r>
      </text>
    </comment>
    <comment ref="X115" authorId="0">
      <text>
        <r>
          <rPr>
            <sz val="10"/>
            <rFont val="Arial"/>
            <family val="2"/>
          </rPr>
          <t xml:space="preserve">Christian Barger:
</t>
        </r>
        <r>
          <rPr>
            <sz val="9"/>
            <color rgb="FF000000"/>
            <rFont val="Tahoma"/>
            <family val="2"/>
            <charset val="1"/>
          </rPr>
          <t xml:space="preserve">date rishing to low watch</t>
        </r>
      </text>
    </comment>
    <comment ref="X116" authorId="0">
      <text>
        <r>
          <rPr>
            <sz val="10"/>
            <rFont val="Arial"/>
            <family val="2"/>
          </rPr>
          <t xml:space="preserve">Christian Barger:
</t>
        </r>
        <r>
          <rPr>
            <sz val="9"/>
            <color rgb="FF000000"/>
            <rFont val="Tahoma"/>
            <family val="2"/>
            <charset val="1"/>
          </rPr>
          <t xml:space="preserve">date rising to low normal</t>
        </r>
      </text>
    </comment>
    <comment ref="X117" authorId="0">
      <text>
        <r>
          <rPr>
            <sz val="10"/>
            <rFont val="Arial"/>
            <family val="2"/>
          </rPr>
          <t xml:space="preserve">Christian Barger:
</t>
        </r>
        <r>
          <rPr>
            <sz val="9"/>
            <color rgb="FF000000"/>
            <rFont val="Tahoma"/>
            <family val="2"/>
            <charset val="1"/>
          </rPr>
          <t xml:space="preserve">date rising to high watch</t>
        </r>
      </text>
    </comment>
    <comment ref="X118" authorId="0">
      <text>
        <r>
          <rPr>
            <sz val="10"/>
            <rFont val="Arial"/>
            <family val="2"/>
          </rPr>
          <t xml:space="preserve">Christian Barger:
</t>
        </r>
        <r>
          <rPr>
            <sz val="9"/>
            <color rgb="FF000000"/>
            <rFont val="Tahoma"/>
            <family val="2"/>
            <charset val="1"/>
          </rPr>
          <t xml:space="preserve">date rising to high action</t>
        </r>
      </text>
    </comment>
    <comment ref="X119" authorId="0">
      <text>
        <r>
          <rPr>
            <sz val="10"/>
            <rFont val="Arial"/>
            <family val="2"/>
          </rPr>
          <t xml:space="preserve">Christian Barger:
</t>
        </r>
        <r>
          <rPr>
            <sz val="9"/>
            <color rgb="FF000000"/>
            <rFont val="Tahoma"/>
            <family val="2"/>
            <charset val="1"/>
          </rPr>
          <t xml:space="preserve">date falling to low watch</t>
        </r>
      </text>
    </comment>
    <comment ref="X120" authorId="0">
      <text>
        <r>
          <rPr>
            <sz val="10"/>
            <rFont val="Arial"/>
            <family val="2"/>
          </rPr>
          <t xml:space="preserve">Christian Barger:
</t>
        </r>
        <r>
          <rPr>
            <sz val="9"/>
            <color rgb="FF000000"/>
            <rFont val="Tahoma"/>
            <family val="2"/>
            <charset val="1"/>
          </rPr>
          <t xml:space="preserve">date falling to low action</t>
        </r>
      </text>
    </comment>
    <comment ref="Z113" authorId="0">
      <text>
        <r>
          <rPr>
            <sz val="10"/>
            <rFont val="Arial"/>
            <family val="2"/>
          </rPr>
          <t xml:space="preserve">Christian Barger:
</t>
        </r>
        <r>
          <rPr>
            <sz val="9"/>
            <color rgb="FF000000"/>
            <rFont val="Tahoma"/>
            <family val="2"/>
            <charset val="1"/>
          </rPr>
          <t xml:space="preserve">date dropping to high watch</t>
        </r>
      </text>
    </comment>
    <comment ref="Z114" authorId="0">
      <text>
        <r>
          <rPr>
            <sz val="10"/>
            <rFont val="Arial"/>
            <family val="2"/>
          </rPr>
          <t xml:space="preserve">Christian Barger:
</t>
        </r>
        <r>
          <rPr>
            <sz val="9"/>
            <color rgb="FF000000"/>
            <rFont val="Tahoma"/>
            <family val="2"/>
            <charset val="1"/>
          </rPr>
          <t xml:space="preserve">date dropping to high normal</t>
        </r>
      </text>
    </comment>
    <comment ref="Z115" authorId="0">
      <text>
        <r>
          <rPr>
            <sz val="10"/>
            <rFont val="Arial"/>
            <family val="2"/>
          </rPr>
          <t xml:space="preserve">Christian Barger:
</t>
        </r>
        <r>
          <rPr>
            <sz val="9"/>
            <color rgb="FF000000"/>
            <rFont val="Tahoma"/>
            <family val="2"/>
            <charset val="1"/>
          </rPr>
          <t xml:space="preserve">date rishing to low watch</t>
        </r>
      </text>
    </comment>
    <comment ref="Z116" authorId="0">
      <text>
        <r>
          <rPr>
            <sz val="10"/>
            <rFont val="Arial"/>
            <family val="2"/>
          </rPr>
          <t xml:space="preserve">Christian Barger:
</t>
        </r>
        <r>
          <rPr>
            <sz val="9"/>
            <color rgb="FF000000"/>
            <rFont val="Tahoma"/>
            <family val="2"/>
            <charset val="1"/>
          </rPr>
          <t xml:space="preserve">date rising to low normal</t>
        </r>
      </text>
    </comment>
    <comment ref="Z117" authorId="0">
      <text>
        <r>
          <rPr>
            <sz val="10"/>
            <rFont val="Arial"/>
            <family val="2"/>
          </rPr>
          <t xml:space="preserve">Christian Barger:
</t>
        </r>
        <r>
          <rPr>
            <sz val="9"/>
            <color rgb="FF000000"/>
            <rFont val="Tahoma"/>
            <family val="2"/>
            <charset val="1"/>
          </rPr>
          <t xml:space="preserve">date rising to high watch</t>
        </r>
      </text>
    </comment>
    <comment ref="Z118" authorId="0">
      <text>
        <r>
          <rPr>
            <sz val="10"/>
            <rFont val="Arial"/>
            <family val="2"/>
          </rPr>
          <t xml:space="preserve">Christian Barger:
</t>
        </r>
        <r>
          <rPr>
            <sz val="9"/>
            <color rgb="FF000000"/>
            <rFont val="Tahoma"/>
            <family val="2"/>
            <charset val="1"/>
          </rPr>
          <t xml:space="preserve">date rising to high action</t>
        </r>
      </text>
    </comment>
    <comment ref="Z119" authorId="0">
      <text>
        <r>
          <rPr>
            <sz val="10"/>
            <rFont val="Arial"/>
            <family val="2"/>
          </rPr>
          <t xml:space="preserve">Christian Barger:
</t>
        </r>
        <r>
          <rPr>
            <sz val="9"/>
            <color rgb="FF000000"/>
            <rFont val="Tahoma"/>
            <family val="2"/>
            <charset val="1"/>
          </rPr>
          <t xml:space="preserve">date falling to low watch</t>
        </r>
      </text>
    </comment>
    <comment ref="Z120" authorId="0">
      <text>
        <r>
          <rPr>
            <sz val="10"/>
            <rFont val="Arial"/>
            <family val="2"/>
          </rPr>
          <t xml:space="preserve">Christian Barger:
</t>
        </r>
        <r>
          <rPr>
            <sz val="9"/>
            <color rgb="FF000000"/>
            <rFont val="Tahoma"/>
            <family val="2"/>
            <charset val="1"/>
          </rPr>
          <t xml:space="preserve">date falling to low action</t>
        </r>
      </text>
    </comment>
    <comment ref="AB113" authorId="0">
      <text>
        <r>
          <rPr>
            <sz val="10"/>
            <rFont val="Arial"/>
            <family val="2"/>
          </rPr>
          <t xml:space="preserve">Christian Barger:
</t>
        </r>
        <r>
          <rPr>
            <sz val="9"/>
            <color rgb="FF000000"/>
            <rFont val="Tahoma"/>
            <family val="2"/>
            <charset val="1"/>
          </rPr>
          <t xml:space="preserve">date dropping to high watch</t>
        </r>
      </text>
    </comment>
    <comment ref="AB114" authorId="0">
      <text>
        <r>
          <rPr>
            <sz val="10"/>
            <rFont val="Arial"/>
            <family val="2"/>
          </rPr>
          <t xml:space="preserve">Christian Barger:
</t>
        </r>
        <r>
          <rPr>
            <sz val="9"/>
            <color rgb="FF000000"/>
            <rFont val="Tahoma"/>
            <family val="2"/>
            <charset val="1"/>
          </rPr>
          <t xml:space="preserve">date dropping to high normal</t>
        </r>
      </text>
    </comment>
    <comment ref="AB115" authorId="0">
      <text>
        <r>
          <rPr>
            <sz val="10"/>
            <rFont val="Arial"/>
            <family val="2"/>
          </rPr>
          <t xml:space="preserve">Christian Barger:
</t>
        </r>
        <r>
          <rPr>
            <sz val="9"/>
            <color rgb="FF000000"/>
            <rFont val="Tahoma"/>
            <family val="2"/>
            <charset val="1"/>
          </rPr>
          <t xml:space="preserve">date rishing to low watch</t>
        </r>
      </text>
    </comment>
    <comment ref="AB116" authorId="0">
      <text>
        <r>
          <rPr>
            <sz val="10"/>
            <rFont val="Arial"/>
            <family val="2"/>
          </rPr>
          <t xml:space="preserve">Christian Barger:
</t>
        </r>
        <r>
          <rPr>
            <sz val="9"/>
            <color rgb="FF000000"/>
            <rFont val="Tahoma"/>
            <family val="2"/>
            <charset val="1"/>
          </rPr>
          <t xml:space="preserve">date rising to low normal</t>
        </r>
      </text>
    </comment>
    <comment ref="AB117" authorId="0">
      <text>
        <r>
          <rPr>
            <sz val="10"/>
            <rFont val="Arial"/>
            <family val="2"/>
          </rPr>
          <t xml:space="preserve">Christian Barger:
</t>
        </r>
        <r>
          <rPr>
            <sz val="9"/>
            <color rgb="FF000000"/>
            <rFont val="Tahoma"/>
            <family val="2"/>
            <charset val="1"/>
          </rPr>
          <t xml:space="preserve">date rising to high watch</t>
        </r>
      </text>
    </comment>
    <comment ref="AB118" authorId="0">
      <text>
        <r>
          <rPr>
            <sz val="10"/>
            <rFont val="Arial"/>
            <family val="2"/>
          </rPr>
          <t xml:space="preserve">Christian Barger:
</t>
        </r>
        <r>
          <rPr>
            <sz val="9"/>
            <color rgb="FF000000"/>
            <rFont val="Tahoma"/>
            <family val="2"/>
            <charset val="1"/>
          </rPr>
          <t xml:space="preserve">date rising to high action</t>
        </r>
      </text>
    </comment>
    <comment ref="AB119" authorId="0">
      <text>
        <r>
          <rPr>
            <sz val="10"/>
            <rFont val="Arial"/>
            <family val="2"/>
          </rPr>
          <t xml:space="preserve">Christian Barger:
</t>
        </r>
        <r>
          <rPr>
            <sz val="9"/>
            <color rgb="FF000000"/>
            <rFont val="Tahoma"/>
            <family val="2"/>
            <charset val="1"/>
          </rPr>
          <t xml:space="preserve">date falling to low watch</t>
        </r>
      </text>
    </comment>
    <comment ref="AB120" authorId="0">
      <text>
        <r>
          <rPr>
            <sz val="10"/>
            <rFont val="Arial"/>
            <family val="2"/>
          </rPr>
          <t xml:space="preserve">Christian Barger:
</t>
        </r>
        <r>
          <rPr>
            <sz val="9"/>
            <color rgb="FF000000"/>
            <rFont val="Tahoma"/>
            <family val="2"/>
            <charset val="1"/>
          </rPr>
          <t xml:space="preserve">date falling to low action</t>
        </r>
      </text>
    </comment>
    <comment ref="AD113" authorId="0">
      <text>
        <r>
          <rPr>
            <sz val="10"/>
            <rFont val="Arial"/>
            <family val="2"/>
          </rPr>
          <t xml:space="preserve">Christian Barger:
</t>
        </r>
        <r>
          <rPr>
            <sz val="9"/>
            <color rgb="FF000000"/>
            <rFont val="Tahoma"/>
            <family val="2"/>
            <charset val="1"/>
          </rPr>
          <t xml:space="preserve">date dropping to high watch</t>
        </r>
      </text>
    </comment>
    <comment ref="AD114" authorId="0">
      <text>
        <r>
          <rPr>
            <sz val="10"/>
            <rFont val="Arial"/>
            <family val="2"/>
          </rPr>
          <t xml:space="preserve">Christian Barger:
</t>
        </r>
        <r>
          <rPr>
            <sz val="9"/>
            <color rgb="FF000000"/>
            <rFont val="Tahoma"/>
            <family val="2"/>
            <charset val="1"/>
          </rPr>
          <t xml:space="preserve">date dropping to high normal</t>
        </r>
      </text>
    </comment>
    <comment ref="AD115" authorId="0">
      <text>
        <r>
          <rPr>
            <sz val="10"/>
            <rFont val="Arial"/>
            <family val="2"/>
          </rPr>
          <t xml:space="preserve">Christian Barger:
</t>
        </r>
        <r>
          <rPr>
            <sz val="9"/>
            <color rgb="FF000000"/>
            <rFont val="Tahoma"/>
            <family val="2"/>
            <charset val="1"/>
          </rPr>
          <t xml:space="preserve">date rishing to low watch</t>
        </r>
      </text>
    </comment>
    <comment ref="AD116" authorId="0">
      <text>
        <r>
          <rPr>
            <sz val="10"/>
            <rFont val="Arial"/>
            <family val="2"/>
          </rPr>
          <t xml:space="preserve">Christian Barger:
</t>
        </r>
        <r>
          <rPr>
            <sz val="9"/>
            <color rgb="FF000000"/>
            <rFont val="Tahoma"/>
            <family val="2"/>
            <charset val="1"/>
          </rPr>
          <t xml:space="preserve">date rising to low normal</t>
        </r>
      </text>
    </comment>
    <comment ref="AD117" authorId="0">
      <text>
        <r>
          <rPr>
            <sz val="10"/>
            <rFont val="Arial"/>
            <family val="2"/>
          </rPr>
          <t xml:space="preserve">Christian Barger:
</t>
        </r>
        <r>
          <rPr>
            <sz val="9"/>
            <color rgb="FF000000"/>
            <rFont val="Tahoma"/>
            <family val="2"/>
            <charset val="1"/>
          </rPr>
          <t xml:space="preserve">date rising to high watch</t>
        </r>
      </text>
    </comment>
    <comment ref="AD118" authorId="0">
      <text>
        <r>
          <rPr>
            <sz val="10"/>
            <rFont val="Arial"/>
            <family val="2"/>
          </rPr>
          <t xml:space="preserve">Christian Barger:
</t>
        </r>
        <r>
          <rPr>
            <sz val="9"/>
            <color rgb="FF000000"/>
            <rFont val="Tahoma"/>
            <family val="2"/>
            <charset val="1"/>
          </rPr>
          <t xml:space="preserve">date rising to high action</t>
        </r>
      </text>
    </comment>
    <comment ref="AD119" authorId="0">
      <text>
        <r>
          <rPr>
            <sz val="10"/>
            <rFont val="Arial"/>
            <family val="2"/>
          </rPr>
          <t xml:space="preserve">Christian Barger:
</t>
        </r>
        <r>
          <rPr>
            <sz val="9"/>
            <color rgb="FF000000"/>
            <rFont val="Tahoma"/>
            <family val="2"/>
            <charset val="1"/>
          </rPr>
          <t xml:space="preserve">date falling to low watch</t>
        </r>
      </text>
    </comment>
    <comment ref="AD120" authorId="0">
      <text>
        <r>
          <rPr>
            <sz val="10"/>
            <rFont val="Arial"/>
            <family val="2"/>
          </rPr>
          <t xml:space="preserve">Christian Barger:
</t>
        </r>
        <r>
          <rPr>
            <sz val="9"/>
            <color rgb="FF000000"/>
            <rFont val="Tahoma"/>
            <family val="2"/>
            <charset val="1"/>
          </rPr>
          <t xml:space="preserve">date falling to low action</t>
        </r>
      </text>
    </comment>
    <comment ref="AF113" authorId="0">
      <text>
        <r>
          <rPr>
            <sz val="10"/>
            <rFont val="Arial"/>
            <family val="2"/>
          </rPr>
          <t xml:space="preserve">Christian Barger:
</t>
        </r>
        <r>
          <rPr>
            <sz val="9"/>
            <color rgb="FF000000"/>
            <rFont val="Tahoma"/>
            <family val="2"/>
            <charset val="1"/>
          </rPr>
          <t xml:space="preserve">date dropping to high watch</t>
        </r>
      </text>
    </comment>
    <comment ref="AF114" authorId="0">
      <text>
        <r>
          <rPr>
            <sz val="10"/>
            <rFont val="Arial"/>
            <family val="2"/>
          </rPr>
          <t xml:space="preserve">Christian Barger:
</t>
        </r>
        <r>
          <rPr>
            <sz val="9"/>
            <color rgb="FF000000"/>
            <rFont val="Tahoma"/>
            <family val="2"/>
            <charset val="1"/>
          </rPr>
          <t xml:space="preserve">date dropping to high normal</t>
        </r>
      </text>
    </comment>
    <comment ref="AF115" authorId="0">
      <text>
        <r>
          <rPr>
            <sz val="10"/>
            <rFont val="Arial"/>
            <family val="2"/>
          </rPr>
          <t xml:space="preserve">Christian Barger:
</t>
        </r>
        <r>
          <rPr>
            <sz val="9"/>
            <color rgb="FF000000"/>
            <rFont val="Tahoma"/>
            <family val="2"/>
            <charset val="1"/>
          </rPr>
          <t xml:space="preserve">date rishing to low watch</t>
        </r>
      </text>
    </comment>
    <comment ref="AF116" authorId="0">
      <text>
        <r>
          <rPr>
            <sz val="10"/>
            <rFont val="Arial"/>
            <family val="2"/>
          </rPr>
          <t xml:space="preserve">Christian Barger:
</t>
        </r>
        <r>
          <rPr>
            <sz val="9"/>
            <color rgb="FF000000"/>
            <rFont val="Tahoma"/>
            <family val="2"/>
            <charset val="1"/>
          </rPr>
          <t xml:space="preserve">date rising to low normal</t>
        </r>
      </text>
    </comment>
    <comment ref="AF117" authorId="0">
      <text>
        <r>
          <rPr>
            <sz val="10"/>
            <rFont val="Arial"/>
            <family val="2"/>
          </rPr>
          <t xml:space="preserve">Christian Barger:
</t>
        </r>
        <r>
          <rPr>
            <sz val="9"/>
            <color rgb="FF000000"/>
            <rFont val="Tahoma"/>
            <family val="2"/>
            <charset val="1"/>
          </rPr>
          <t xml:space="preserve">date rising to high watch</t>
        </r>
      </text>
    </comment>
    <comment ref="AF118" authorId="0">
      <text>
        <r>
          <rPr>
            <sz val="10"/>
            <rFont val="Arial"/>
            <family val="2"/>
          </rPr>
          <t xml:space="preserve">Christian Barger:
</t>
        </r>
        <r>
          <rPr>
            <sz val="9"/>
            <color rgb="FF000000"/>
            <rFont val="Tahoma"/>
            <family val="2"/>
            <charset val="1"/>
          </rPr>
          <t xml:space="preserve">date rising to high action</t>
        </r>
      </text>
    </comment>
    <comment ref="AF119" authorId="0">
      <text>
        <r>
          <rPr>
            <sz val="10"/>
            <rFont val="Arial"/>
            <family val="2"/>
          </rPr>
          <t xml:space="preserve">Christian Barger:
</t>
        </r>
        <r>
          <rPr>
            <sz val="9"/>
            <color rgb="FF000000"/>
            <rFont val="Tahoma"/>
            <family val="2"/>
            <charset val="1"/>
          </rPr>
          <t xml:space="preserve">date falling to low watch</t>
        </r>
      </text>
    </comment>
    <comment ref="AF120" authorId="0">
      <text>
        <r>
          <rPr>
            <sz val="10"/>
            <rFont val="Arial"/>
            <family val="2"/>
          </rPr>
          <t xml:space="preserve">Christian Barger:
</t>
        </r>
        <r>
          <rPr>
            <sz val="9"/>
            <color rgb="FF000000"/>
            <rFont val="Tahoma"/>
            <family val="2"/>
            <charset val="1"/>
          </rPr>
          <t xml:space="preserve">date falling to low action</t>
        </r>
      </text>
    </comment>
    <comment ref="AH113" authorId="0">
      <text>
        <r>
          <rPr>
            <sz val="10"/>
            <rFont val="Arial"/>
            <family val="2"/>
          </rPr>
          <t xml:space="preserve">Christian Barger:
</t>
        </r>
        <r>
          <rPr>
            <sz val="9"/>
            <color rgb="FF000000"/>
            <rFont val="Tahoma"/>
            <family val="2"/>
            <charset val="1"/>
          </rPr>
          <t xml:space="preserve">date dropping to high watch</t>
        </r>
      </text>
    </comment>
    <comment ref="AH114" authorId="0">
      <text>
        <r>
          <rPr>
            <sz val="10"/>
            <rFont val="Arial"/>
            <family val="2"/>
          </rPr>
          <t xml:space="preserve">Christian Barger:
</t>
        </r>
        <r>
          <rPr>
            <sz val="9"/>
            <color rgb="FF000000"/>
            <rFont val="Tahoma"/>
            <family val="2"/>
            <charset val="1"/>
          </rPr>
          <t xml:space="preserve">date dropping to high normal</t>
        </r>
      </text>
    </comment>
    <comment ref="AH115" authorId="0">
      <text>
        <r>
          <rPr>
            <sz val="10"/>
            <rFont val="Arial"/>
            <family val="2"/>
          </rPr>
          <t xml:space="preserve">Christian Barger:
</t>
        </r>
        <r>
          <rPr>
            <sz val="9"/>
            <color rgb="FF000000"/>
            <rFont val="Tahoma"/>
            <family val="2"/>
            <charset val="1"/>
          </rPr>
          <t xml:space="preserve">date rishing to low watch</t>
        </r>
      </text>
    </comment>
    <comment ref="AH116" authorId="0">
      <text>
        <r>
          <rPr>
            <sz val="10"/>
            <rFont val="Arial"/>
            <family val="2"/>
          </rPr>
          <t xml:space="preserve">Christian Barger:
</t>
        </r>
        <r>
          <rPr>
            <sz val="9"/>
            <color rgb="FF000000"/>
            <rFont val="Tahoma"/>
            <family val="2"/>
            <charset val="1"/>
          </rPr>
          <t xml:space="preserve">date rising to low normal</t>
        </r>
      </text>
    </comment>
    <comment ref="AH117" authorId="0">
      <text>
        <r>
          <rPr>
            <sz val="10"/>
            <rFont val="Arial"/>
            <family val="2"/>
          </rPr>
          <t xml:space="preserve">Christian Barger:
</t>
        </r>
        <r>
          <rPr>
            <sz val="9"/>
            <color rgb="FF000000"/>
            <rFont val="Tahoma"/>
            <family val="2"/>
            <charset val="1"/>
          </rPr>
          <t xml:space="preserve">date rising to high watch</t>
        </r>
      </text>
    </comment>
    <comment ref="AH118" authorId="0">
      <text>
        <r>
          <rPr>
            <sz val="10"/>
            <rFont val="Arial"/>
            <family val="2"/>
          </rPr>
          <t xml:space="preserve">Christian Barger:
</t>
        </r>
        <r>
          <rPr>
            <sz val="9"/>
            <color rgb="FF000000"/>
            <rFont val="Tahoma"/>
            <family val="2"/>
            <charset val="1"/>
          </rPr>
          <t xml:space="preserve">date rising to high action</t>
        </r>
      </text>
    </comment>
    <comment ref="AH119" authorId="0">
      <text>
        <r>
          <rPr>
            <sz val="10"/>
            <rFont val="Arial"/>
            <family val="2"/>
          </rPr>
          <t xml:space="preserve">Christian Barger:
</t>
        </r>
        <r>
          <rPr>
            <sz val="9"/>
            <color rgb="FF000000"/>
            <rFont val="Tahoma"/>
            <family val="2"/>
            <charset val="1"/>
          </rPr>
          <t xml:space="preserve">date falling to low watch</t>
        </r>
      </text>
    </comment>
    <comment ref="AH120" authorId="0">
      <text>
        <r>
          <rPr>
            <sz val="10"/>
            <rFont val="Arial"/>
            <family val="2"/>
          </rPr>
          <t xml:space="preserve">Christian Barger:
</t>
        </r>
        <r>
          <rPr>
            <sz val="9"/>
            <color rgb="FF000000"/>
            <rFont val="Tahoma"/>
            <family val="2"/>
            <charset val="1"/>
          </rPr>
          <t xml:space="preserve">date falling to low action</t>
        </r>
      </text>
    </comment>
    <comment ref="AJ88" authorId="0">
      <text>
        <r>
          <rPr>
            <sz val="10"/>
            <rFont val="Arial"/>
            <family val="2"/>
          </rPr>
          <t xml:space="preserve">Christian Barger:
</t>
        </r>
        <r>
          <rPr>
            <sz val="9"/>
            <color rgb="FF000000"/>
            <rFont val="Tahoma"/>
            <family val="2"/>
            <charset val="1"/>
          </rPr>
          <t xml:space="preserve">date dropping to high watch</t>
        </r>
      </text>
    </comment>
    <comment ref="AJ89" authorId="0">
      <text>
        <r>
          <rPr>
            <sz val="10"/>
            <rFont val="Arial"/>
            <family val="2"/>
          </rPr>
          <t xml:space="preserve">Christian Barger:
</t>
        </r>
        <r>
          <rPr>
            <sz val="9"/>
            <color rgb="FF000000"/>
            <rFont val="Tahoma"/>
            <family val="2"/>
            <charset val="1"/>
          </rPr>
          <t xml:space="preserve">date dropping to high normal</t>
        </r>
      </text>
    </comment>
    <comment ref="AJ90" authorId="0">
      <text>
        <r>
          <rPr>
            <sz val="10"/>
            <rFont val="Arial"/>
            <family val="2"/>
          </rPr>
          <t xml:space="preserve">Christian Barger:
</t>
        </r>
        <r>
          <rPr>
            <sz val="9"/>
            <color rgb="FF000000"/>
            <rFont val="Tahoma"/>
            <family val="2"/>
            <charset val="1"/>
          </rPr>
          <t xml:space="preserve">date rishing to low watch</t>
        </r>
      </text>
    </comment>
    <comment ref="AJ91" authorId="0">
      <text>
        <r>
          <rPr>
            <sz val="10"/>
            <rFont val="Arial"/>
            <family val="2"/>
          </rPr>
          <t xml:space="preserve">Christian Barger:
</t>
        </r>
        <r>
          <rPr>
            <sz val="9"/>
            <color rgb="FF000000"/>
            <rFont val="Tahoma"/>
            <family val="2"/>
            <charset val="1"/>
          </rPr>
          <t xml:space="preserve">date rising to low normal</t>
        </r>
      </text>
    </comment>
    <comment ref="AJ92" authorId="0">
      <text>
        <r>
          <rPr>
            <sz val="10"/>
            <rFont val="Arial"/>
            <family val="2"/>
          </rPr>
          <t xml:space="preserve">Christian Barger:
</t>
        </r>
        <r>
          <rPr>
            <sz val="9"/>
            <color rgb="FF000000"/>
            <rFont val="Tahoma"/>
            <family val="2"/>
            <charset val="1"/>
          </rPr>
          <t xml:space="preserve">date rising to high watch</t>
        </r>
      </text>
    </comment>
    <comment ref="AJ93" authorId="0">
      <text>
        <r>
          <rPr>
            <sz val="10"/>
            <rFont val="Arial"/>
            <family val="2"/>
          </rPr>
          <t xml:space="preserve">Christian Barger:
</t>
        </r>
        <r>
          <rPr>
            <sz val="9"/>
            <color rgb="FF000000"/>
            <rFont val="Tahoma"/>
            <family val="2"/>
            <charset val="1"/>
          </rPr>
          <t xml:space="preserve">date rising to high action</t>
        </r>
      </text>
    </comment>
    <comment ref="AJ94" authorId="0">
      <text>
        <r>
          <rPr>
            <sz val="10"/>
            <rFont val="Arial"/>
            <family val="2"/>
          </rPr>
          <t xml:space="preserve">Christian Barger:
</t>
        </r>
        <r>
          <rPr>
            <sz val="9"/>
            <color rgb="FF000000"/>
            <rFont val="Tahoma"/>
            <family val="2"/>
            <charset val="1"/>
          </rPr>
          <t xml:space="preserve">date falling to low watch</t>
        </r>
      </text>
    </comment>
    <comment ref="AJ95" authorId="0">
      <text>
        <r>
          <rPr>
            <sz val="10"/>
            <rFont val="Arial"/>
            <family val="2"/>
          </rPr>
          <t xml:space="preserve">Christian Barger:
</t>
        </r>
        <r>
          <rPr>
            <sz val="9"/>
            <color rgb="FF000000"/>
            <rFont val="Tahoma"/>
            <family val="2"/>
            <charset val="1"/>
          </rPr>
          <t xml:space="preserve">date falling to low action</t>
        </r>
      </text>
    </comment>
    <comment ref="AJ96" authorId="0">
      <text>
        <r>
          <rPr>
            <sz val="10"/>
            <rFont val="Arial"/>
            <family val="2"/>
          </rPr>
          <t xml:space="preserve">Christian Barger:
</t>
        </r>
        <r>
          <rPr>
            <sz val="9"/>
            <color rgb="FF000000"/>
            <rFont val="Tahoma"/>
            <family val="2"/>
            <charset val="1"/>
          </rPr>
          <t xml:space="preserve">Lock closure threshold</t>
        </r>
      </text>
    </comment>
    <comment ref="AJ97" authorId="0">
      <text>
        <r>
          <rPr>
            <sz val="10"/>
            <rFont val="Arial"/>
            <family val="2"/>
          </rPr>
          <t xml:space="preserve">Christian Barger:
</t>
        </r>
        <r>
          <rPr>
            <sz val="9"/>
            <color rgb="FF000000"/>
            <rFont val="Tahoma"/>
            <family val="0"/>
            <charset val="1"/>
          </rPr>
          <t xml:space="preserve">Lock reopen</t>
        </r>
      </text>
    </comment>
    <comment ref="AL88" authorId="0">
      <text>
        <r>
          <rPr>
            <sz val="10"/>
            <rFont val="Arial"/>
            <family val="2"/>
          </rPr>
          <t xml:space="preserve">Christian Barger:
</t>
        </r>
        <r>
          <rPr>
            <sz val="9"/>
            <color rgb="FF000000"/>
            <rFont val="Tahoma"/>
            <family val="2"/>
            <charset val="1"/>
          </rPr>
          <t xml:space="preserve">date dropping to high watch</t>
        </r>
      </text>
    </comment>
    <comment ref="AL89" authorId="0">
      <text>
        <r>
          <rPr>
            <sz val="10"/>
            <rFont val="Arial"/>
            <family val="2"/>
          </rPr>
          <t xml:space="preserve">Christian Barger:
</t>
        </r>
        <r>
          <rPr>
            <sz val="9"/>
            <color rgb="FF000000"/>
            <rFont val="Tahoma"/>
            <family val="2"/>
            <charset val="1"/>
          </rPr>
          <t xml:space="preserve">date dropping to high normal</t>
        </r>
      </text>
    </comment>
    <comment ref="AL90" authorId="0">
      <text>
        <r>
          <rPr>
            <sz val="10"/>
            <rFont val="Arial"/>
            <family val="2"/>
          </rPr>
          <t xml:space="preserve">Christian Barger:
</t>
        </r>
        <r>
          <rPr>
            <sz val="9"/>
            <color rgb="FF000000"/>
            <rFont val="Tahoma"/>
            <family val="2"/>
            <charset val="1"/>
          </rPr>
          <t xml:space="preserve">date rishing to low watch</t>
        </r>
      </text>
    </comment>
    <comment ref="AL91" authorId="0">
      <text>
        <r>
          <rPr>
            <sz val="10"/>
            <rFont val="Arial"/>
            <family val="2"/>
          </rPr>
          <t xml:space="preserve">Christian Barger:
</t>
        </r>
        <r>
          <rPr>
            <sz val="9"/>
            <color rgb="FF000000"/>
            <rFont val="Tahoma"/>
            <family val="2"/>
            <charset val="1"/>
          </rPr>
          <t xml:space="preserve">date rising to low normal</t>
        </r>
      </text>
    </comment>
    <comment ref="AL92" authorId="0">
      <text>
        <r>
          <rPr>
            <sz val="10"/>
            <rFont val="Arial"/>
            <family val="2"/>
          </rPr>
          <t xml:space="preserve">Christian Barger:
</t>
        </r>
        <r>
          <rPr>
            <sz val="9"/>
            <color rgb="FF000000"/>
            <rFont val="Tahoma"/>
            <family val="2"/>
            <charset val="1"/>
          </rPr>
          <t xml:space="preserve">date rising to high watch</t>
        </r>
      </text>
    </comment>
    <comment ref="AL93" authorId="0">
      <text>
        <r>
          <rPr>
            <sz val="10"/>
            <rFont val="Arial"/>
            <family val="2"/>
          </rPr>
          <t xml:space="preserve">Christian Barger:
</t>
        </r>
        <r>
          <rPr>
            <sz val="9"/>
            <color rgb="FF000000"/>
            <rFont val="Tahoma"/>
            <family val="2"/>
            <charset val="1"/>
          </rPr>
          <t xml:space="preserve">date rising to high action</t>
        </r>
      </text>
    </comment>
    <comment ref="AL94" authorId="0">
      <text>
        <r>
          <rPr>
            <sz val="10"/>
            <rFont val="Arial"/>
            <family val="2"/>
          </rPr>
          <t xml:space="preserve">Christian Barger:
</t>
        </r>
        <r>
          <rPr>
            <sz val="9"/>
            <color rgb="FF000000"/>
            <rFont val="Tahoma"/>
            <family val="2"/>
            <charset val="1"/>
          </rPr>
          <t xml:space="preserve">date falling to low watch</t>
        </r>
      </text>
    </comment>
    <comment ref="AL95" authorId="0">
      <text>
        <r>
          <rPr>
            <sz val="10"/>
            <rFont val="Arial"/>
            <family val="2"/>
          </rPr>
          <t xml:space="preserve">Christian Barger:
</t>
        </r>
        <r>
          <rPr>
            <sz val="9"/>
            <color rgb="FF000000"/>
            <rFont val="Tahoma"/>
            <family val="2"/>
            <charset val="1"/>
          </rPr>
          <t xml:space="preserve">date falling to low action</t>
        </r>
      </text>
    </comment>
    <comment ref="AL96" authorId="0">
      <text>
        <r>
          <rPr>
            <sz val="10"/>
            <rFont val="Arial"/>
            <family val="2"/>
          </rPr>
          <t xml:space="preserve">Christian Barger:
</t>
        </r>
        <r>
          <rPr>
            <sz val="9"/>
            <color rgb="FF000000"/>
            <rFont val="Tahoma"/>
            <family val="2"/>
            <charset val="1"/>
          </rPr>
          <t xml:space="preserve">Lock closure threshold</t>
        </r>
      </text>
    </comment>
    <comment ref="AL97" authorId="0">
      <text>
        <r>
          <rPr>
            <sz val="10"/>
            <rFont val="Arial"/>
            <family val="2"/>
          </rPr>
          <t xml:space="preserve">Christian Barger:
</t>
        </r>
        <r>
          <rPr>
            <sz val="9"/>
            <color rgb="FF000000"/>
            <rFont val="Tahoma"/>
            <family val="0"/>
            <charset val="1"/>
          </rPr>
          <t xml:space="preserve">Lock reopen</t>
        </r>
      </text>
    </comment>
    <comment ref="AN88" authorId="0">
      <text>
        <r>
          <rPr>
            <sz val="10"/>
            <rFont val="Arial"/>
            <family val="2"/>
          </rPr>
          <t xml:space="preserve">Christian Barger:
</t>
        </r>
        <r>
          <rPr>
            <sz val="9"/>
            <color rgb="FF000000"/>
            <rFont val="Tahoma"/>
            <family val="2"/>
            <charset val="1"/>
          </rPr>
          <t xml:space="preserve">date dropping to high watch</t>
        </r>
      </text>
    </comment>
    <comment ref="AN89" authorId="0">
      <text>
        <r>
          <rPr>
            <sz val="10"/>
            <rFont val="Arial"/>
            <family val="2"/>
          </rPr>
          <t xml:space="preserve">Christian Barger:
</t>
        </r>
        <r>
          <rPr>
            <sz val="9"/>
            <color rgb="FF000000"/>
            <rFont val="Tahoma"/>
            <family val="2"/>
            <charset val="1"/>
          </rPr>
          <t xml:space="preserve">date dropping to high normal</t>
        </r>
      </text>
    </comment>
    <comment ref="AN90" authorId="0">
      <text>
        <r>
          <rPr>
            <sz val="10"/>
            <rFont val="Arial"/>
            <family val="2"/>
          </rPr>
          <t xml:space="preserve">Christian Barger:
</t>
        </r>
        <r>
          <rPr>
            <sz val="9"/>
            <color rgb="FF000000"/>
            <rFont val="Tahoma"/>
            <family val="2"/>
            <charset val="1"/>
          </rPr>
          <t xml:space="preserve">date rishing to low watch</t>
        </r>
      </text>
    </comment>
    <comment ref="AN91" authorId="0">
      <text>
        <r>
          <rPr>
            <sz val="10"/>
            <rFont val="Arial"/>
            <family val="2"/>
          </rPr>
          <t xml:space="preserve">Christian Barger:
</t>
        </r>
        <r>
          <rPr>
            <sz val="9"/>
            <color rgb="FF000000"/>
            <rFont val="Tahoma"/>
            <family val="2"/>
            <charset val="1"/>
          </rPr>
          <t xml:space="preserve">date rising to low normal</t>
        </r>
      </text>
    </comment>
    <comment ref="AN92" authorId="0">
      <text>
        <r>
          <rPr>
            <sz val="10"/>
            <rFont val="Arial"/>
            <family val="2"/>
          </rPr>
          <t xml:space="preserve">Christian Barger:
</t>
        </r>
        <r>
          <rPr>
            <sz val="9"/>
            <color rgb="FF000000"/>
            <rFont val="Tahoma"/>
            <family val="2"/>
            <charset val="1"/>
          </rPr>
          <t xml:space="preserve">date rising to high watch</t>
        </r>
      </text>
    </comment>
    <comment ref="AN93" authorId="0">
      <text>
        <r>
          <rPr>
            <sz val="10"/>
            <rFont val="Arial"/>
            <family val="2"/>
          </rPr>
          <t xml:space="preserve">Christian Barger:
</t>
        </r>
        <r>
          <rPr>
            <sz val="9"/>
            <color rgb="FF000000"/>
            <rFont val="Tahoma"/>
            <family val="2"/>
            <charset val="1"/>
          </rPr>
          <t xml:space="preserve">date rising to high action</t>
        </r>
      </text>
    </comment>
    <comment ref="AN94" authorId="0">
      <text>
        <r>
          <rPr>
            <sz val="10"/>
            <rFont val="Arial"/>
            <family val="2"/>
          </rPr>
          <t xml:space="preserve">Christian Barger:
</t>
        </r>
        <r>
          <rPr>
            <sz val="9"/>
            <color rgb="FF000000"/>
            <rFont val="Tahoma"/>
            <family val="2"/>
            <charset val="1"/>
          </rPr>
          <t xml:space="preserve">date falling to low watch</t>
        </r>
      </text>
    </comment>
    <comment ref="AN95" authorId="0">
      <text>
        <r>
          <rPr>
            <sz val="10"/>
            <rFont val="Arial"/>
            <family val="2"/>
          </rPr>
          <t xml:space="preserve">Christian Barger:
</t>
        </r>
        <r>
          <rPr>
            <sz val="9"/>
            <color rgb="FF000000"/>
            <rFont val="Tahoma"/>
            <family val="2"/>
            <charset val="1"/>
          </rPr>
          <t xml:space="preserve">date falling to low action</t>
        </r>
      </text>
    </comment>
    <comment ref="AN96" authorId="0">
      <text>
        <r>
          <rPr>
            <sz val="10"/>
            <rFont val="Arial"/>
            <family val="2"/>
          </rPr>
          <t xml:space="preserve">Christian Barger:
</t>
        </r>
        <r>
          <rPr>
            <sz val="9"/>
            <color rgb="FF000000"/>
            <rFont val="Tahoma"/>
            <family val="2"/>
            <charset val="1"/>
          </rPr>
          <t xml:space="preserve">Lock closure threshold</t>
        </r>
      </text>
    </comment>
    <comment ref="AN97" authorId="0">
      <text>
        <r>
          <rPr>
            <sz val="10"/>
            <rFont val="Arial"/>
            <family val="2"/>
          </rPr>
          <t xml:space="preserve">Christian Barger:
</t>
        </r>
        <r>
          <rPr>
            <sz val="9"/>
            <color rgb="FF000000"/>
            <rFont val="Tahoma"/>
            <family val="0"/>
            <charset val="1"/>
          </rPr>
          <t xml:space="preserve">Lock reopen</t>
        </r>
      </text>
    </comment>
    <comment ref="AP88" authorId="0">
      <text>
        <r>
          <rPr>
            <sz val="10"/>
            <rFont val="Arial"/>
            <family val="2"/>
          </rPr>
          <t xml:space="preserve">Christian Barger:
</t>
        </r>
        <r>
          <rPr>
            <sz val="9"/>
            <color rgb="FF000000"/>
            <rFont val="Tahoma"/>
            <family val="2"/>
            <charset val="1"/>
          </rPr>
          <t xml:space="preserve">date dropping to high watch</t>
        </r>
      </text>
    </comment>
    <comment ref="AP89" authorId="0">
      <text>
        <r>
          <rPr>
            <sz val="10"/>
            <rFont val="Arial"/>
            <family val="2"/>
          </rPr>
          <t xml:space="preserve">Christian Barger:
</t>
        </r>
        <r>
          <rPr>
            <sz val="9"/>
            <color rgb="FF000000"/>
            <rFont val="Tahoma"/>
            <family val="2"/>
            <charset val="1"/>
          </rPr>
          <t xml:space="preserve">date dropping to high normal</t>
        </r>
      </text>
    </comment>
    <comment ref="AP90" authorId="0">
      <text>
        <r>
          <rPr>
            <sz val="10"/>
            <rFont val="Arial"/>
            <family val="2"/>
          </rPr>
          <t xml:space="preserve">Christian Barger:
</t>
        </r>
        <r>
          <rPr>
            <sz val="9"/>
            <color rgb="FF000000"/>
            <rFont val="Tahoma"/>
            <family val="2"/>
            <charset val="1"/>
          </rPr>
          <t xml:space="preserve">date rishing to low watch</t>
        </r>
      </text>
    </comment>
    <comment ref="AP91" authorId="0">
      <text>
        <r>
          <rPr>
            <sz val="10"/>
            <rFont val="Arial"/>
            <family val="2"/>
          </rPr>
          <t xml:space="preserve">Christian Barger:
</t>
        </r>
        <r>
          <rPr>
            <sz val="9"/>
            <color rgb="FF000000"/>
            <rFont val="Tahoma"/>
            <family val="2"/>
            <charset val="1"/>
          </rPr>
          <t xml:space="preserve">date rising to low normal</t>
        </r>
      </text>
    </comment>
    <comment ref="AP92" authorId="0">
      <text>
        <r>
          <rPr>
            <sz val="10"/>
            <rFont val="Arial"/>
            <family val="2"/>
          </rPr>
          <t xml:space="preserve">Christian Barger:
</t>
        </r>
        <r>
          <rPr>
            <sz val="9"/>
            <color rgb="FF000000"/>
            <rFont val="Tahoma"/>
            <family val="2"/>
            <charset val="1"/>
          </rPr>
          <t xml:space="preserve">date rising to high watch</t>
        </r>
      </text>
    </comment>
    <comment ref="AP93" authorId="0">
      <text>
        <r>
          <rPr>
            <sz val="10"/>
            <rFont val="Arial"/>
            <family val="2"/>
          </rPr>
          <t xml:space="preserve">Christian Barger:
</t>
        </r>
        <r>
          <rPr>
            <sz val="9"/>
            <color rgb="FF000000"/>
            <rFont val="Tahoma"/>
            <family val="2"/>
            <charset val="1"/>
          </rPr>
          <t xml:space="preserve">date rising to high action</t>
        </r>
      </text>
    </comment>
    <comment ref="AP94" authorId="0">
      <text>
        <r>
          <rPr>
            <sz val="10"/>
            <rFont val="Arial"/>
            <family val="2"/>
          </rPr>
          <t xml:space="preserve">Christian Barger:
</t>
        </r>
        <r>
          <rPr>
            <sz val="9"/>
            <color rgb="FF000000"/>
            <rFont val="Tahoma"/>
            <family val="2"/>
            <charset val="1"/>
          </rPr>
          <t xml:space="preserve">date falling to low watch</t>
        </r>
      </text>
    </comment>
    <comment ref="AP95" authorId="0">
      <text>
        <r>
          <rPr>
            <sz val="10"/>
            <rFont val="Arial"/>
            <family val="2"/>
          </rPr>
          <t xml:space="preserve">Christian Barger:
</t>
        </r>
        <r>
          <rPr>
            <sz val="9"/>
            <color rgb="FF000000"/>
            <rFont val="Tahoma"/>
            <family val="2"/>
            <charset val="1"/>
          </rPr>
          <t xml:space="preserve">date falling to low action</t>
        </r>
      </text>
    </comment>
    <comment ref="AP96" authorId="0">
      <text>
        <r>
          <rPr>
            <sz val="10"/>
            <rFont val="Arial"/>
            <family val="2"/>
          </rPr>
          <t xml:space="preserve">Christian Barger:
</t>
        </r>
        <r>
          <rPr>
            <sz val="9"/>
            <color rgb="FF000000"/>
            <rFont val="Tahoma"/>
            <family val="2"/>
            <charset val="1"/>
          </rPr>
          <t xml:space="preserve">Lock closure threshold</t>
        </r>
      </text>
    </comment>
    <comment ref="AP97" authorId="0">
      <text>
        <r>
          <rPr>
            <sz val="10"/>
            <rFont val="Arial"/>
            <family val="2"/>
          </rPr>
          <t xml:space="preserve">Christian Barger:
</t>
        </r>
        <r>
          <rPr>
            <sz val="9"/>
            <color rgb="FF000000"/>
            <rFont val="Tahoma"/>
            <family val="0"/>
            <charset val="1"/>
          </rPr>
          <t xml:space="preserve">Lock reopen</t>
        </r>
      </text>
    </comment>
    <comment ref="AR88" authorId="0">
      <text>
        <r>
          <rPr>
            <sz val="10"/>
            <rFont val="Arial"/>
            <family val="2"/>
          </rPr>
          <t xml:space="preserve">Christian Barger:
</t>
        </r>
        <r>
          <rPr>
            <sz val="9"/>
            <color rgb="FF000000"/>
            <rFont val="Tahoma"/>
            <family val="2"/>
            <charset val="1"/>
          </rPr>
          <t xml:space="preserve">date dropping to high watch</t>
        </r>
      </text>
    </comment>
    <comment ref="AR89" authorId="0">
      <text>
        <r>
          <rPr>
            <sz val="10"/>
            <rFont val="Arial"/>
            <family val="2"/>
          </rPr>
          <t xml:space="preserve">Christian Barger:
</t>
        </r>
        <r>
          <rPr>
            <sz val="9"/>
            <color rgb="FF000000"/>
            <rFont val="Tahoma"/>
            <family val="2"/>
            <charset val="1"/>
          </rPr>
          <t xml:space="preserve">date dropping to high normal</t>
        </r>
      </text>
    </comment>
    <comment ref="AR90" authorId="0">
      <text>
        <r>
          <rPr>
            <sz val="10"/>
            <rFont val="Arial"/>
            <family val="2"/>
          </rPr>
          <t xml:space="preserve">Christian Barger:
</t>
        </r>
        <r>
          <rPr>
            <sz val="9"/>
            <color rgb="FF000000"/>
            <rFont val="Tahoma"/>
            <family val="2"/>
            <charset val="1"/>
          </rPr>
          <t xml:space="preserve">date rishing to low watch</t>
        </r>
      </text>
    </comment>
    <comment ref="AR91" authorId="0">
      <text>
        <r>
          <rPr>
            <sz val="10"/>
            <rFont val="Arial"/>
            <family val="2"/>
          </rPr>
          <t xml:space="preserve">Christian Barger:
</t>
        </r>
        <r>
          <rPr>
            <sz val="9"/>
            <color rgb="FF000000"/>
            <rFont val="Tahoma"/>
            <family val="2"/>
            <charset val="1"/>
          </rPr>
          <t xml:space="preserve">date rising to low normal</t>
        </r>
      </text>
    </comment>
    <comment ref="AR92" authorId="0">
      <text>
        <r>
          <rPr>
            <sz val="10"/>
            <rFont val="Arial"/>
            <family val="2"/>
          </rPr>
          <t xml:space="preserve">Christian Barger:
</t>
        </r>
        <r>
          <rPr>
            <sz val="9"/>
            <color rgb="FF000000"/>
            <rFont val="Tahoma"/>
            <family val="2"/>
            <charset val="1"/>
          </rPr>
          <t xml:space="preserve">date rising to high watch</t>
        </r>
      </text>
    </comment>
    <comment ref="AR93" authorId="0">
      <text>
        <r>
          <rPr>
            <sz val="10"/>
            <rFont val="Arial"/>
            <family val="2"/>
          </rPr>
          <t xml:space="preserve">Christian Barger:
</t>
        </r>
        <r>
          <rPr>
            <sz val="9"/>
            <color rgb="FF000000"/>
            <rFont val="Tahoma"/>
            <family val="2"/>
            <charset val="1"/>
          </rPr>
          <t xml:space="preserve">date rising to high action</t>
        </r>
      </text>
    </comment>
    <comment ref="AR94" authorId="0">
      <text>
        <r>
          <rPr>
            <sz val="10"/>
            <rFont val="Arial"/>
            <family val="2"/>
          </rPr>
          <t xml:space="preserve">Christian Barger:
</t>
        </r>
        <r>
          <rPr>
            <sz val="9"/>
            <color rgb="FF000000"/>
            <rFont val="Tahoma"/>
            <family val="2"/>
            <charset val="1"/>
          </rPr>
          <t xml:space="preserve">date falling to low watch</t>
        </r>
      </text>
    </comment>
    <comment ref="AR95" authorId="0">
      <text>
        <r>
          <rPr>
            <sz val="10"/>
            <rFont val="Arial"/>
            <family val="2"/>
          </rPr>
          <t xml:space="preserve">Christian Barger:
</t>
        </r>
        <r>
          <rPr>
            <sz val="9"/>
            <color rgb="FF000000"/>
            <rFont val="Tahoma"/>
            <family val="2"/>
            <charset val="1"/>
          </rPr>
          <t xml:space="preserve">date falling to low action</t>
        </r>
      </text>
    </comment>
    <comment ref="AR96" authorId="0">
      <text>
        <r>
          <rPr>
            <sz val="10"/>
            <rFont val="Arial"/>
            <family val="2"/>
          </rPr>
          <t xml:space="preserve">Christian Barger:
</t>
        </r>
        <r>
          <rPr>
            <sz val="9"/>
            <color rgb="FF000000"/>
            <rFont val="Tahoma"/>
            <family val="2"/>
            <charset val="1"/>
          </rPr>
          <t xml:space="preserve">Lock closure threshold</t>
        </r>
      </text>
    </comment>
    <comment ref="AR97" authorId="0">
      <text>
        <r>
          <rPr>
            <sz val="10"/>
            <rFont val="Arial"/>
            <family val="2"/>
          </rPr>
          <t xml:space="preserve">Christian Barger:
</t>
        </r>
        <r>
          <rPr>
            <sz val="9"/>
            <color rgb="FF000000"/>
            <rFont val="Tahoma"/>
            <family val="0"/>
            <charset val="1"/>
          </rPr>
          <t xml:space="preserve">Lock reopen</t>
        </r>
      </text>
    </comment>
    <comment ref="AT88" authorId="0">
      <text>
        <r>
          <rPr>
            <sz val="10"/>
            <rFont val="Arial"/>
            <family val="2"/>
          </rPr>
          <t xml:space="preserve">Christian Barger:
</t>
        </r>
        <r>
          <rPr>
            <sz val="9"/>
            <color rgb="FF000000"/>
            <rFont val="Tahoma"/>
            <family val="2"/>
            <charset val="1"/>
          </rPr>
          <t xml:space="preserve">date dropping to high watch</t>
        </r>
      </text>
    </comment>
    <comment ref="AT89" authorId="0">
      <text>
        <r>
          <rPr>
            <sz val="10"/>
            <rFont val="Arial"/>
            <family val="2"/>
          </rPr>
          <t xml:space="preserve">Christian Barger:
</t>
        </r>
        <r>
          <rPr>
            <sz val="9"/>
            <color rgb="FF000000"/>
            <rFont val="Tahoma"/>
            <family val="2"/>
            <charset val="1"/>
          </rPr>
          <t xml:space="preserve">date dropping to high normal</t>
        </r>
      </text>
    </comment>
    <comment ref="AT90" authorId="0">
      <text>
        <r>
          <rPr>
            <sz val="10"/>
            <rFont val="Arial"/>
            <family val="2"/>
          </rPr>
          <t xml:space="preserve">Christian Barger:
</t>
        </r>
        <r>
          <rPr>
            <sz val="9"/>
            <color rgb="FF000000"/>
            <rFont val="Tahoma"/>
            <family val="2"/>
            <charset val="1"/>
          </rPr>
          <t xml:space="preserve">date rishing to low watch</t>
        </r>
      </text>
    </comment>
    <comment ref="AT91" authorId="0">
      <text>
        <r>
          <rPr>
            <sz val="10"/>
            <rFont val="Arial"/>
            <family val="2"/>
          </rPr>
          <t xml:space="preserve">Christian Barger:
</t>
        </r>
        <r>
          <rPr>
            <sz val="9"/>
            <color rgb="FF000000"/>
            <rFont val="Tahoma"/>
            <family val="2"/>
            <charset val="1"/>
          </rPr>
          <t xml:space="preserve">date rising to low normal</t>
        </r>
      </text>
    </comment>
    <comment ref="AT92" authorId="0">
      <text>
        <r>
          <rPr>
            <sz val="10"/>
            <rFont val="Arial"/>
            <family val="2"/>
          </rPr>
          <t xml:space="preserve">Christian Barger:
</t>
        </r>
        <r>
          <rPr>
            <sz val="9"/>
            <color rgb="FF000000"/>
            <rFont val="Tahoma"/>
            <family val="2"/>
            <charset val="1"/>
          </rPr>
          <t xml:space="preserve">date rising to high watch</t>
        </r>
      </text>
    </comment>
    <comment ref="AT93" authorId="0">
      <text>
        <r>
          <rPr>
            <sz val="10"/>
            <rFont val="Arial"/>
            <family val="2"/>
          </rPr>
          <t xml:space="preserve">Christian Barger:
</t>
        </r>
        <r>
          <rPr>
            <sz val="9"/>
            <color rgb="FF000000"/>
            <rFont val="Tahoma"/>
            <family val="2"/>
            <charset val="1"/>
          </rPr>
          <t xml:space="preserve">date rising to high action</t>
        </r>
      </text>
    </comment>
    <comment ref="AT94" authorId="0">
      <text>
        <r>
          <rPr>
            <sz val="10"/>
            <rFont val="Arial"/>
            <family val="2"/>
          </rPr>
          <t xml:space="preserve">Christian Barger:
</t>
        </r>
        <r>
          <rPr>
            <sz val="9"/>
            <color rgb="FF000000"/>
            <rFont val="Tahoma"/>
            <family val="2"/>
            <charset val="1"/>
          </rPr>
          <t xml:space="preserve">date falling to low watch</t>
        </r>
      </text>
    </comment>
    <comment ref="AT95" authorId="0">
      <text>
        <r>
          <rPr>
            <sz val="10"/>
            <rFont val="Arial"/>
            <family val="2"/>
          </rPr>
          <t xml:space="preserve">Christian Barger:
</t>
        </r>
        <r>
          <rPr>
            <sz val="9"/>
            <color rgb="FF000000"/>
            <rFont val="Tahoma"/>
            <family val="2"/>
            <charset val="1"/>
          </rPr>
          <t xml:space="preserve">date falling to low action</t>
        </r>
      </text>
    </comment>
    <comment ref="AV88" authorId="0">
      <text>
        <r>
          <rPr>
            <sz val="10"/>
            <rFont val="Arial"/>
            <family val="2"/>
          </rPr>
          <t xml:space="preserve">Christian Barger:
</t>
        </r>
        <r>
          <rPr>
            <sz val="9"/>
            <color rgb="FF000000"/>
            <rFont val="Tahoma"/>
            <family val="2"/>
            <charset val="1"/>
          </rPr>
          <t xml:space="preserve">date dropping to high watch</t>
        </r>
      </text>
    </comment>
    <comment ref="AV89" authorId="0">
      <text>
        <r>
          <rPr>
            <sz val="10"/>
            <rFont val="Arial"/>
            <family val="2"/>
          </rPr>
          <t xml:space="preserve">Christian Barger:
</t>
        </r>
        <r>
          <rPr>
            <sz val="9"/>
            <color rgb="FF000000"/>
            <rFont val="Tahoma"/>
            <family val="2"/>
            <charset val="1"/>
          </rPr>
          <t xml:space="preserve">date dropping to high normal</t>
        </r>
      </text>
    </comment>
    <comment ref="AV90" authorId="0">
      <text>
        <r>
          <rPr>
            <sz val="10"/>
            <rFont val="Arial"/>
            <family val="2"/>
          </rPr>
          <t xml:space="preserve">Christian Barger:
</t>
        </r>
        <r>
          <rPr>
            <sz val="9"/>
            <color rgb="FF000000"/>
            <rFont val="Tahoma"/>
            <family val="2"/>
            <charset val="1"/>
          </rPr>
          <t xml:space="preserve">date rishing to low watch</t>
        </r>
      </text>
    </comment>
    <comment ref="AV91" authorId="0">
      <text>
        <r>
          <rPr>
            <sz val="10"/>
            <rFont val="Arial"/>
            <family val="2"/>
          </rPr>
          <t xml:space="preserve">Christian Barger:
</t>
        </r>
        <r>
          <rPr>
            <sz val="9"/>
            <color rgb="FF000000"/>
            <rFont val="Tahoma"/>
            <family val="2"/>
            <charset val="1"/>
          </rPr>
          <t xml:space="preserve">date rising to low normal</t>
        </r>
      </text>
    </comment>
    <comment ref="AV92" authorId="0">
      <text>
        <r>
          <rPr>
            <sz val="10"/>
            <rFont val="Arial"/>
            <family val="2"/>
          </rPr>
          <t xml:space="preserve">Christian Barger:
</t>
        </r>
        <r>
          <rPr>
            <sz val="9"/>
            <color rgb="FF000000"/>
            <rFont val="Tahoma"/>
            <family val="2"/>
            <charset val="1"/>
          </rPr>
          <t xml:space="preserve">date rising to high watch</t>
        </r>
      </text>
    </comment>
    <comment ref="AV93" authorId="0">
      <text>
        <r>
          <rPr>
            <sz val="10"/>
            <rFont val="Arial"/>
            <family val="2"/>
          </rPr>
          <t xml:space="preserve">Christian Barger:
</t>
        </r>
        <r>
          <rPr>
            <sz val="9"/>
            <color rgb="FF000000"/>
            <rFont val="Tahoma"/>
            <family val="2"/>
            <charset val="1"/>
          </rPr>
          <t xml:space="preserve">date rising to high action</t>
        </r>
      </text>
    </comment>
    <comment ref="AV94" authorId="0">
      <text>
        <r>
          <rPr>
            <sz val="10"/>
            <rFont val="Arial"/>
            <family val="2"/>
          </rPr>
          <t xml:space="preserve">Christian Barger:
</t>
        </r>
        <r>
          <rPr>
            <sz val="9"/>
            <color rgb="FF000000"/>
            <rFont val="Tahoma"/>
            <family val="2"/>
            <charset val="1"/>
          </rPr>
          <t xml:space="preserve">date falling to low watch</t>
        </r>
      </text>
    </comment>
    <comment ref="AV95" authorId="0">
      <text>
        <r>
          <rPr>
            <sz val="10"/>
            <rFont val="Arial"/>
            <family val="2"/>
          </rPr>
          <t xml:space="preserve">Christian Barger:
</t>
        </r>
        <r>
          <rPr>
            <sz val="9"/>
            <color rgb="FF000000"/>
            <rFont val="Tahoma"/>
            <family val="2"/>
            <charset val="1"/>
          </rPr>
          <t xml:space="preserve">date falling to low action</t>
        </r>
      </text>
    </comment>
    <comment ref="AV96" authorId="0">
      <text>
        <r>
          <rPr>
            <sz val="10"/>
            <rFont val="Arial"/>
            <family val="2"/>
          </rPr>
          <t xml:space="preserve">Christian Barger:
</t>
        </r>
        <r>
          <rPr>
            <sz val="9"/>
            <color rgb="FF000000"/>
            <rFont val="Tahoma"/>
            <family val="2"/>
            <charset val="1"/>
          </rPr>
          <t xml:space="preserve">Lock closure threshold</t>
        </r>
      </text>
    </comment>
    <comment ref="AV97" authorId="0">
      <text>
        <r>
          <rPr>
            <sz val="10"/>
            <rFont val="Arial"/>
            <family val="2"/>
          </rPr>
          <t xml:space="preserve">Christian Barger:
</t>
        </r>
        <r>
          <rPr>
            <sz val="9"/>
            <color rgb="FF000000"/>
            <rFont val="Tahoma"/>
            <family val="0"/>
            <charset val="1"/>
          </rPr>
          <t xml:space="preserve">Lock reopen</t>
        </r>
      </text>
    </comment>
    <comment ref="AX88" authorId="0">
      <text>
        <r>
          <rPr>
            <sz val="10"/>
            <rFont val="Arial"/>
            <family val="2"/>
          </rPr>
          <t xml:space="preserve">Christian Barger:
</t>
        </r>
        <r>
          <rPr>
            <sz val="9"/>
            <color rgb="FF000000"/>
            <rFont val="Tahoma"/>
            <family val="2"/>
            <charset val="1"/>
          </rPr>
          <t xml:space="preserve">date dropping to high watch</t>
        </r>
      </text>
    </comment>
    <comment ref="AX89" authorId="0">
      <text>
        <r>
          <rPr>
            <sz val="10"/>
            <rFont val="Arial"/>
            <family val="2"/>
          </rPr>
          <t xml:space="preserve">Christian Barger:
</t>
        </r>
        <r>
          <rPr>
            <sz val="9"/>
            <color rgb="FF000000"/>
            <rFont val="Tahoma"/>
            <family val="2"/>
            <charset val="1"/>
          </rPr>
          <t xml:space="preserve">date dropping to high normal</t>
        </r>
      </text>
    </comment>
    <comment ref="AX90" authorId="0">
      <text>
        <r>
          <rPr>
            <sz val="10"/>
            <rFont val="Arial"/>
            <family val="2"/>
          </rPr>
          <t xml:space="preserve">Christian Barger:
</t>
        </r>
        <r>
          <rPr>
            <sz val="9"/>
            <color rgb="FF000000"/>
            <rFont val="Tahoma"/>
            <family val="2"/>
            <charset val="1"/>
          </rPr>
          <t xml:space="preserve">date rishing to low watch</t>
        </r>
      </text>
    </comment>
    <comment ref="AX91" authorId="0">
      <text>
        <r>
          <rPr>
            <sz val="10"/>
            <rFont val="Arial"/>
            <family val="2"/>
          </rPr>
          <t xml:space="preserve">Christian Barger:
</t>
        </r>
        <r>
          <rPr>
            <sz val="9"/>
            <color rgb="FF000000"/>
            <rFont val="Tahoma"/>
            <family val="2"/>
            <charset val="1"/>
          </rPr>
          <t xml:space="preserve">date rising to low normal</t>
        </r>
      </text>
    </comment>
    <comment ref="AX92" authorId="0">
      <text>
        <r>
          <rPr>
            <sz val="10"/>
            <rFont val="Arial"/>
            <family val="2"/>
          </rPr>
          <t xml:space="preserve">Christian Barger:
</t>
        </r>
        <r>
          <rPr>
            <sz val="9"/>
            <color rgb="FF000000"/>
            <rFont val="Tahoma"/>
            <family val="2"/>
            <charset val="1"/>
          </rPr>
          <t xml:space="preserve">date rising to high watch</t>
        </r>
      </text>
    </comment>
    <comment ref="AX93" authorId="0">
      <text>
        <r>
          <rPr>
            <sz val="10"/>
            <rFont val="Arial"/>
            <family val="2"/>
          </rPr>
          <t xml:space="preserve">Christian Barger:
</t>
        </r>
        <r>
          <rPr>
            <sz val="9"/>
            <color rgb="FF000000"/>
            <rFont val="Tahoma"/>
            <family val="2"/>
            <charset val="1"/>
          </rPr>
          <t xml:space="preserve">date rising to high action</t>
        </r>
      </text>
    </comment>
    <comment ref="AX94" authorId="0">
      <text>
        <r>
          <rPr>
            <sz val="10"/>
            <rFont val="Arial"/>
            <family val="2"/>
          </rPr>
          <t xml:space="preserve">Christian Barger:
</t>
        </r>
        <r>
          <rPr>
            <sz val="9"/>
            <color rgb="FF000000"/>
            <rFont val="Tahoma"/>
            <family val="2"/>
            <charset val="1"/>
          </rPr>
          <t xml:space="preserve">date falling to low watch</t>
        </r>
      </text>
    </comment>
    <comment ref="AX95" authorId="0">
      <text>
        <r>
          <rPr>
            <sz val="10"/>
            <rFont val="Arial"/>
            <family val="2"/>
          </rPr>
          <t xml:space="preserve">Christian Barger:
</t>
        </r>
        <r>
          <rPr>
            <sz val="9"/>
            <color rgb="FF000000"/>
            <rFont val="Tahoma"/>
            <family val="2"/>
            <charset val="1"/>
          </rPr>
          <t xml:space="preserve">date falling to low action</t>
        </r>
      </text>
    </comment>
    <comment ref="AX96" authorId="0">
      <text>
        <r>
          <rPr>
            <sz val="10"/>
            <rFont val="Arial"/>
            <family val="2"/>
          </rPr>
          <t xml:space="preserve">Christian Barger:
</t>
        </r>
        <r>
          <rPr>
            <sz val="9"/>
            <color rgb="FF000000"/>
            <rFont val="Tahoma"/>
            <family val="2"/>
            <charset val="1"/>
          </rPr>
          <t xml:space="preserve">Lock closure threshold</t>
        </r>
      </text>
    </comment>
    <comment ref="AX97" authorId="0">
      <text>
        <r>
          <rPr>
            <sz val="10"/>
            <rFont val="Arial"/>
            <family val="2"/>
          </rPr>
          <t xml:space="preserve">Christian Barger:
</t>
        </r>
        <r>
          <rPr>
            <sz val="9"/>
            <color rgb="FF000000"/>
            <rFont val="Tahoma"/>
            <family val="0"/>
            <charset val="1"/>
          </rPr>
          <t xml:space="preserve">Lock reopen</t>
        </r>
      </text>
    </comment>
    <comment ref="AZ88" authorId="0">
      <text>
        <r>
          <rPr>
            <sz val="10"/>
            <rFont val="Arial"/>
            <family val="2"/>
          </rPr>
          <t xml:space="preserve">Christian Barger:
</t>
        </r>
        <r>
          <rPr>
            <sz val="9"/>
            <color rgb="FF000000"/>
            <rFont val="Tahoma"/>
            <family val="2"/>
            <charset val="1"/>
          </rPr>
          <t xml:space="preserve">date dropping to high watch</t>
        </r>
      </text>
    </comment>
    <comment ref="AZ89" authorId="0">
      <text>
        <r>
          <rPr>
            <sz val="10"/>
            <rFont val="Arial"/>
            <family val="2"/>
          </rPr>
          <t xml:space="preserve">Christian Barger:
</t>
        </r>
        <r>
          <rPr>
            <sz val="9"/>
            <color rgb="FF000000"/>
            <rFont val="Tahoma"/>
            <family val="2"/>
            <charset val="1"/>
          </rPr>
          <t xml:space="preserve">date dropping to high normal</t>
        </r>
      </text>
    </comment>
    <comment ref="AZ90" authorId="0">
      <text>
        <r>
          <rPr>
            <sz val="10"/>
            <rFont val="Arial"/>
            <family val="2"/>
          </rPr>
          <t xml:space="preserve">Christian Barger:
</t>
        </r>
        <r>
          <rPr>
            <sz val="9"/>
            <color rgb="FF000000"/>
            <rFont val="Tahoma"/>
            <family val="2"/>
            <charset val="1"/>
          </rPr>
          <t xml:space="preserve">date rishing to low watch</t>
        </r>
      </text>
    </comment>
    <comment ref="AZ91" authorId="0">
      <text>
        <r>
          <rPr>
            <sz val="10"/>
            <rFont val="Arial"/>
            <family val="2"/>
          </rPr>
          <t xml:space="preserve">Christian Barger:
</t>
        </r>
        <r>
          <rPr>
            <sz val="9"/>
            <color rgb="FF000000"/>
            <rFont val="Tahoma"/>
            <family val="2"/>
            <charset val="1"/>
          </rPr>
          <t xml:space="preserve">date rising to low normal</t>
        </r>
      </text>
    </comment>
    <comment ref="AZ92" authorId="0">
      <text>
        <r>
          <rPr>
            <sz val="10"/>
            <rFont val="Arial"/>
            <family val="2"/>
          </rPr>
          <t xml:space="preserve">Christian Barger:
</t>
        </r>
        <r>
          <rPr>
            <sz val="9"/>
            <color rgb="FF000000"/>
            <rFont val="Tahoma"/>
            <family val="2"/>
            <charset val="1"/>
          </rPr>
          <t xml:space="preserve">date rising to high watch</t>
        </r>
      </text>
    </comment>
    <comment ref="AZ93" authorId="0">
      <text>
        <r>
          <rPr>
            <sz val="10"/>
            <rFont val="Arial"/>
            <family val="2"/>
          </rPr>
          <t xml:space="preserve">Christian Barger:
</t>
        </r>
        <r>
          <rPr>
            <sz val="9"/>
            <color rgb="FF000000"/>
            <rFont val="Tahoma"/>
            <family val="2"/>
            <charset val="1"/>
          </rPr>
          <t xml:space="preserve">date rising to high action</t>
        </r>
      </text>
    </comment>
    <comment ref="AZ94" authorId="0">
      <text>
        <r>
          <rPr>
            <sz val="10"/>
            <rFont val="Arial"/>
            <family val="2"/>
          </rPr>
          <t xml:space="preserve">Christian Barger:
</t>
        </r>
        <r>
          <rPr>
            <sz val="9"/>
            <color rgb="FF000000"/>
            <rFont val="Tahoma"/>
            <family val="2"/>
            <charset val="1"/>
          </rPr>
          <t xml:space="preserve">date falling to low watch</t>
        </r>
      </text>
    </comment>
    <comment ref="AZ95" authorId="0">
      <text>
        <r>
          <rPr>
            <sz val="10"/>
            <rFont val="Arial"/>
            <family val="2"/>
          </rPr>
          <t xml:space="preserve">Christian Barger:
</t>
        </r>
        <r>
          <rPr>
            <sz val="9"/>
            <color rgb="FF000000"/>
            <rFont val="Tahoma"/>
            <family val="2"/>
            <charset val="1"/>
          </rPr>
          <t xml:space="preserve">date falling to low action</t>
        </r>
      </text>
    </comment>
    <comment ref="AZ96" authorId="0">
      <text>
        <r>
          <rPr>
            <sz val="10"/>
            <rFont val="Arial"/>
            <family val="2"/>
          </rPr>
          <t xml:space="preserve">Christian Barger:
</t>
        </r>
        <r>
          <rPr>
            <sz val="9"/>
            <color rgb="FF000000"/>
            <rFont val="Tahoma"/>
            <family val="2"/>
            <charset val="1"/>
          </rPr>
          <t xml:space="preserve">Lock closure threshold</t>
        </r>
      </text>
    </comment>
    <comment ref="AZ97" authorId="0">
      <text>
        <r>
          <rPr>
            <sz val="10"/>
            <rFont val="Arial"/>
            <family val="2"/>
          </rPr>
          <t xml:space="preserve">Christian Barger:
</t>
        </r>
        <r>
          <rPr>
            <sz val="9"/>
            <color rgb="FF000000"/>
            <rFont val="Tahoma"/>
            <family val="0"/>
            <charset val="1"/>
          </rPr>
          <t xml:space="preserve">Lock reopen</t>
        </r>
      </text>
    </comment>
    <comment ref="BB88" authorId="0">
      <text>
        <r>
          <rPr>
            <sz val="10"/>
            <rFont val="Arial"/>
            <family val="2"/>
          </rPr>
          <t xml:space="preserve">Christian Barger:
</t>
        </r>
        <r>
          <rPr>
            <sz val="9"/>
            <color rgb="FF000000"/>
            <rFont val="Tahoma"/>
            <family val="2"/>
            <charset val="1"/>
          </rPr>
          <t xml:space="preserve">date dropping to high watch</t>
        </r>
      </text>
    </comment>
    <comment ref="BB89" authorId="0">
      <text>
        <r>
          <rPr>
            <sz val="10"/>
            <rFont val="Arial"/>
            <family val="2"/>
          </rPr>
          <t xml:space="preserve">Christian Barger:
</t>
        </r>
        <r>
          <rPr>
            <sz val="9"/>
            <color rgb="FF000000"/>
            <rFont val="Tahoma"/>
            <family val="2"/>
            <charset val="1"/>
          </rPr>
          <t xml:space="preserve">date dropping to high normal</t>
        </r>
      </text>
    </comment>
    <comment ref="BB90" authorId="0">
      <text>
        <r>
          <rPr>
            <sz val="10"/>
            <rFont val="Arial"/>
            <family val="2"/>
          </rPr>
          <t xml:space="preserve">Christian Barger:
</t>
        </r>
        <r>
          <rPr>
            <sz val="9"/>
            <color rgb="FF000000"/>
            <rFont val="Tahoma"/>
            <family val="2"/>
            <charset val="1"/>
          </rPr>
          <t xml:space="preserve">date rishing to low watch</t>
        </r>
      </text>
    </comment>
    <comment ref="BB91" authorId="0">
      <text>
        <r>
          <rPr>
            <sz val="10"/>
            <rFont val="Arial"/>
            <family val="2"/>
          </rPr>
          <t xml:space="preserve">Christian Barger:
</t>
        </r>
        <r>
          <rPr>
            <sz val="9"/>
            <color rgb="FF000000"/>
            <rFont val="Tahoma"/>
            <family val="2"/>
            <charset val="1"/>
          </rPr>
          <t xml:space="preserve">date rising to low normal</t>
        </r>
      </text>
    </comment>
    <comment ref="BB92" authorId="0">
      <text>
        <r>
          <rPr>
            <sz val="10"/>
            <rFont val="Arial"/>
            <family val="2"/>
          </rPr>
          <t xml:space="preserve">Christian Barger:
</t>
        </r>
        <r>
          <rPr>
            <sz val="9"/>
            <color rgb="FF000000"/>
            <rFont val="Tahoma"/>
            <family val="2"/>
            <charset val="1"/>
          </rPr>
          <t xml:space="preserve">date rising to high watch</t>
        </r>
      </text>
    </comment>
    <comment ref="BB93" authorId="0">
      <text>
        <r>
          <rPr>
            <sz val="10"/>
            <rFont val="Arial"/>
            <family val="2"/>
          </rPr>
          <t xml:space="preserve">Christian Barger:
</t>
        </r>
        <r>
          <rPr>
            <sz val="9"/>
            <color rgb="FF000000"/>
            <rFont val="Tahoma"/>
            <family val="2"/>
            <charset val="1"/>
          </rPr>
          <t xml:space="preserve">date rising to high action</t>
        </r>
      </text>
    </comment>
    <comment ref="BB94" authorId="0">
      <text>
        <r>
          <rPr>
            <sz val="10"/>
            <rFont val="Arial"/>
            <family val="2"/>
          </rPr>
          <t xml:space="preserve">Christian Barger:
</t>
        </r>
        <r>
          <rPr>
            <sz val="9"/>
            <color rgb="FF000000"/>
            <rFont val="Tahoma"/>
            <family val="2"/>
            <charset val="1"/>
          </rPr>
          <t xml:space="preserve">date falling to low watch</t>
        </r>
      </text>
    </comment>
    <comment ref="BB95" authorId="0">
      <text>
        <r>
          <rPr>
            <sz val="10"/>
            <rFont val="Arial"/>
            <family val="2"/>
          </rPr>
          <t xml:space="preserve">Christian Barger:
</t>
        </r>
        <r>
          <rPr>
            <sz val="9"/>
            <color rgb="FF000000"/>
            <rFont val="Tahoma"/>
            <family val="2"/>
            <charset val="1"/>
          </rPr>
          <t xml:space="preserve">date falling to low action</t>
        </r>
      </text>
    </comment>
    <comment ref="BB96" authorId="0">
      <text>
        <r>
          <rPr>
            <sz val="10"/>
            <rFont val="Arial"/>
            <family val="2"/>
          </rPr>
          <t xml:space="preserve">Christian Barger:
</t>
        </r>
        <r>
          <rPr>
            <sz val="9"/>
            <color rgb="FF000000"/>
            <rFont val="Tahoma"/>
            <family val="2"/>
            <charset val="1"/>
          </rPr>
          <t xml:space="preserve">Lock closure threshold</t>
        </r>
      </text>
    </comment>
    <comment ref="BB97" authorId="0">
      <text>
        <r>
          <rPr>
            <sz val="10"/>
            <rFont val="Arial"/>
            <family val="2"/>
          </rPr>
          <t xml:space="preserve">Christian Barger:
</t>
        </r>
        <r>
          <rPr>
            <sz val="9"/>
            <color rgb="FF000000"/>
            <rFont val="Tahoma"/>
            <family val="0"/>
            <charset val="1"/>
          </rPr>
          <t xml:space="preserve">Lock reopen</t>
        </r>
      </text>
    </comment>
    <comment ref="BD88" authorId="0">
      <text>
        <r>
          <rPr>
            <sz val="10"/>
            <rFont val="Arial"/>
            <family val="2"/>
          </rPr>
          <t xml:space="preserve">Christian Barger:
</t>
        </r>
        <r>
          <rPr>
            <sz val="9"/>
            <color rgb="FF000000"/>
            <rFont val="Tahoma"/>
            <family val="2"/>
            <charset val="1"/>
          </rPr>
          <t xml:space="preserve">date dropping to high watch</t>
        </r>
      </text>
    </comment>
    <comment ref="BD89" authorId="0">
      <text>
        <r>
          <rPr>
            <sz val="10"/>
            <rFont val="Arial"/>
            <family val="2"/>
          </rPr>
          <t xml:space="preserve">Christian Barger:
</t>
        </r>
        <r>
          <rPr>
            <sz val="9"/>
            <color rgb="FF000000"/>
            <rFont val="Tahoma"/>
            <family val="2"/>
            <charset val="1"/>
          </rPr>
          <t xml:space="preserve">date dropping to high normal</t>
        </r>
      </text>
    </comment>
    <comment ref="BD90" authorId="0">
      <text>
        <r>
          <rPr>
            <sz val="10"/>
            <rFont val="Arial"/>
            <family val="2"/>
          </rPr>
          <t xml:space="preserve">Christian Barger:
</t>
        </r>
        <r>
          <rPr>
            <sz val="9"/>
            <color rgb="FF000000"/>
            <rFont val="Tahoma"/>
            <family val="2"/>
            <charset val="1"/>
          </rPr>
          <t xml:space="preserve">date rishing to low watch</t>
        </r>
      </text>
    </comment>
    <comment ref="BD91" authorId="0">
      <text>
        <r>
          <rPr>
            <sz val="10"/>
            <rFont val="Arial"/>
            <family val="2"/>
          </rPr>
          <t xml:space="preserve">Christian Barger:
</t>
        </r>
        <r>
          <rPr>
            <sz val="9"/>
            <color rgb="FF000000"/>
            <rFont val="Tahoma"/>
            <family val="2"/>
            <charset val="1"/>
          </rPr>
          <t xml:space="preserve">date rising to low normal</t>
        </r>
      </text>
    </comment>
    <comment ref="BD92" authorId="0">
      <text>
        <r>
          <rPr>
            <sz val="10"/>
            <rFont val="Arial"/>
            <family val="2"/>
          </rPr>
          <t xml:space="preserve">Christian Barger:
</t>
        </r>
        <r>
          <rPr>
            <sz val="9"/>
            <color rgb="FF000000"/>
            <rFont val="Tahoma"/>
            <family val="2"/>
            <charset val="1"/>
          </rPr>
          <t xml:space="preserve">date rising to high watch</t>
        </r>
      </text>
    </comment>
    <comment ref="BD93" authorId="0">
      <text>
        <r>
          <rPr>
            <sz val="10"/>
            <rFont val="Arial"/>
            <family val="2"/>
          </rPr>
          <t xml:space="preserve">Christian Barger:
</t>
        </r>
        <r>
          <rPr>
            <sz val="9"/>
            <color rgb="FF000000"/>
            <rFont val="Tahoma"/>
            <family val="2"/>
            <charset val="1"/>
          </rPr>
          <t xml:space="preserve">date rising to high action</t>
        </r>
      </text>
    </comment>
    <comment ref="BD94" authorId="0">
      <text>
        <r>
          <rPr>
            <sz val="10"/>
            <rFont val="Arial"/>
            <family val="2"/>
          </rPr>
          <t xml:space="preserve">Christian Barger:
</t>
        </r>
        <r>
          <rPr>
            <sz val="9"/>
            <color rgb="FF000000"/>
            <rFont val="Tahoma"/>
            <family val="2"/>
            <charset val="1"/>
          </rPr>
          <t xml:space="preserve">date falling to low watch</t>
        </r>
      </text>
    </comment>
    <comment ref="BD95" authorId="0">
      <text>
        <r>
          <rPr>
            <sz val="10"/>
            <rFont val="Arial"/>
            <family val="2"/>
          </rPr>
          <t xml:space="preserve">Christian Barger:
</t>
        </r>
        <r>
          <rPr>
            <sz val="9"/>
            <color rgb="FF000000"/>
            <rFont val="Tahoma"/>
            <family val="2"/>
            <charset val="1"/>
          </rPr>
          <t xml:space="preserve">date falling to low action</t>
        </r>
      </text>
    </comment>
    <comment ref="BF88" authorId="0">
      <text>
        <r>
          <rPr>
            <sz val="10"/>
            <rFont val="Arial"/>
            <family val="2"/>
          </rPr>
          <t xml:space="preserve">Christian Barger:
</t>
        </r>
        <r>
          <rPr>
            <sz val="9"/>
            <color rgb="FF000000"/>
            <rFont val="Tahoma"/>
            <family val="2"/>
            <charset val="1"/>
          </rPr>
          <t xml:space="preserve">date dropping to high watch</t>
        </r>
      </text>
    </comment>
    <comment ref="BF89" authorId="0">
      <text>
        <r>
          <rPr>
            <sz val="10"/>
            <rFont val="Arial"/>
            <family val="2"/>
          </rPr>
          <t xml:space="preserve">Christian Barger:
</t>
        </r>
        <r>
          <rPr>
            <sz val="9"/>
            <color rgb="FF000000"/>
            <rFont val="Tahoma"/>
            <family val="2"/>
            <charset val="1"/>
          </rPr>
          <t xml:space="preserve">date dropping to high normal</t>
        </r>
      </text>
    </comment>
    <comment ref="BF90" authorId="0">
      <text>
        <r>
          <rPr>
            <sz val="10"/>
            <rFont val="Arial"/>
            <family val="2"/>
          </rPr>
          <t xml:space="preserve">Christian Barger:
</t>
        </r>
        <r>
          <rPr>
            <sz val="9"/>
            <color rgb="FF000000"/>
            <rFont val="Tahoma"/>
            <family val="2"/>
            <charset val="1"/>
          </rPr>
          <t xml:space="preserve">date rishing to low watch</t>
        </r>
      </text>
    </comment>
    <comment ref="BF91" authorId="0">
      <text>
        <r>
          <rPr>
            <sz val="10"/>
            <rFont val="Arial"/>
            <family val="2"/>
          </rPr>
          <t xml:space="preserve">Christian Barger:
</t>
        </r>
        <r>
          <rPr>
            <sz val="9"/>
            <color rgb="FF000000"/>
            <rFont val="Tahoma"/>
            <family val="2"/>
            <charset val="1"/>
          </rPr>
          <t xml:space="preserve">date rising to low normal</t>
        </r>
      </text>
    </comment>
    <comment ref="BF92" authorId="0">
      <text>
        <r>
          <rPr>
            <sz val="10"/>
            <rFont val="Arial"/>
            <family val="2"/>
          </rPr>
          <t xml:space="preserve">Christian Barger:
</t>
        </r>
        <r>
          <rPr>
            <sz val="9"/>
            <color rgb="FF000000"/>
            <rFont val="Tahoma"/>
            <family val="2"/>
            <charset val="1"/>
          </rPr>
          <t xml:space="preserve">date rising to high watch</t>
        </r>
      </text>
    </comment>
    <comment ref="BF93" authorId="0">
      <text>
        <r>
          <rPr>
            <sz val="10"/>
            <rFont val="Arial"/>
            <family val="2"/>
          </rPr>
          <t xml:space="preserve">Christian Barger:
</t>
        </r>
        <r>
          <rPr>
            <sz val="9"/>
            <color rgb="FF000000"/>
            <rFont val="Tahoma"/>
            <family val="2"/>
            <charset val="1"/>
          </rPr>
          <t xml:space="preserve">date rising to high action</t>
        </r>
      </text>
    </comment>
    <comment ref="BF94" authorId="0">
      <text>
        <r>
          <rPr>
            <sz val="10"/>
            <rFont val="Arial"/>
            <family val="2"/>
          </rPr>
          <t xml:space="preserve">Christian Barger:
</t>
        </r>
        <r>
          <rPr>
            <sz val="9"/>
            <color rgb="FF000000"/>
            <rFont val="Tahoma"/>
            <family val="2"/>
            <charset val="1"/>
          </rPr>
          <t xml:space="preserve">date falling to low watch</t>
        </r>
      </text>
    </comment>
    <comment ref="BF95" authorId="0">
      <text>
        <r>
          <rPr>
            <sz val="10"/>
            <rFont val="Arial"/>
            <family val="2"/>
          </rPr>
          <t xml:space="preserve">Christian Barger:
</t>
        </r>
        <r>
          <rPr>
            <sz val="9"/>
            <color rgb="FF000000"/>
            <rFont val="Tahoma"/>
            <family val="2"/>
            <charset val="1"/>
          </rPr>
          <t xml:space="preserve">date falling to low action</t>
        </r>
      </text>
    </comment>
    <comment ref="BH88" authorId="0">
      <text>
        <r>
          <rPr>
            <sz val="10"/>
            <rFont val="Arial"/>
            <family val="2"/>
          </rPr>
          <t xml:space="preserve">Christian Barger:
</t>
        </r>
        <r>
          <rPr>
            <sz val="9"/>
            <color rgb="FF000000"/>
            <rFont val="Tahoma"/>
            <family val="2"/>
            <charset val="1"/>
          </rPr>
          <t xml:space="preserve">date dropping to high watch</t>
        </r>
      </text>
    </comment>
    <comment ref="BH89" authorId="0">
      <text>
        <r>
          <rPr>
            <sz val="10"/>
            <rFont val="Arial"/>
            <family val="2"/>
          </rPr>
          <t xml:space="preserve">Christian Barger:
</t>
        </r>
        <r>
          <rPr>
            <sz val="9"/>
            <color rgb="FF000000"/>
            <rFont val="Tahoma"/>
            <family val="2"/>
            <charset val="1"/>
          </rPr>
          <t xml:space="preserve">date dropping to high normal</t>
        </r>
      </text>
    </comment>
    <comment ref="BH90" authorId="0">
      <text>
        <r>
          <rPr>
            <sz val="10"/>
            <rFont val="Arial"/>
            <family val="2"/>
          </rPr>
          <t xml:space="preserve">Christian Barger:
</t>
        </r>
        <r>
          <rPr>
            <sz val="9"/>
            <color rgb="FF000000"/>
            <rFont val="Tahoma"/>
            <family val="2"/>
            <charset val="1"/>
          </rPr>
          <t xml:space="preserve">date rishing to low watch</t>
        </r>
      </text>
    </comment>
    <comment ref="BH91" authorId="0">
      <text>
        <r>
          <rPr>
            <sz val="10"/>
            <rFont val="Arial"/>
            <family val="2"/>
          </rPr>
          <t xml:space="preserve">Christian Barger:
</t>
        </r>
        <r>
          <rPr>
            <sz val="9"/>
            <color rgb="FF000000"/>
            <rFont val="Tahoma"/>
            <family val="2"/>
            <charset val="1"/>
          </rPr>
          <t xml:space="preserve">date rising to low normal</t>
        </r>
      </text>
    </comment>
    <comment ref="BH92" authorId="0">
      <text>
        <r>
          <rPr>
            <sz val="10"/>
            <rFont val="Arial"/>
            <family val="2"/>
          </rPr>
          <t xml:space="preserve">Christian Barger:
</t>
        </r>
        <r>
          <rPr>
            <sz val="9"/>
            <color rgb="FF000000"/>
            <rFont val="Tahoma"/>
            <family val="2"/>
            <charset val="1"/>
          </rPr>
          <t xml:space="preserve">date rising to high watch</t>
        </r>
      </text>
    </comment>
    <comment ref="BH93" authorId="0">
      <text>
        <r>
          <rPr>
            <sz val="10"/>
            <rFont val="Arial"/>
            <family val="2"/>
          </rPr>
          <t xml:space="preserve">Christian Barger:
</t>
        </r>
        <r>
          <rPr>
            <sz val="9"/>
            <color rgb="FF000000"/>
            <rFont val="Tahoma"/>
            <family val="2"/>
            <charset val="1"/>
          </rPr>
          <t xml:space="preserve">date rising to high action</t>
        </r>
      </text>
    </comment>
    <comment ref="BH94" authorId="0">
      <text>
        <r>
          <rPr>
            <sz val="10"/>
            <rFont val="Arial"/>
            <family val="2"/>
          </rPr>
          <t xml:space="preserve">Christian Barger:
</t>
        </r>
        <r>
          <rPr>
            <sz val="9"/>
            <color rgb="FF000000"/>
            <rFont val="Tahoma"/>
            <family val="2"/>
            <charset val="1"/>
          </rPr>
          <t xml:space="preserve">date falling to low watch</t>
        </r>
      </text>
    </comment>
    <comment ref="BH95" authorId="0">
      <text>
        <r>
          <rPr>
            <sz val="10"/>
            <rFont val="Arial"/>
            <family val="2"/>
          </rPr>
          <t xml:space="preserve">Christian Barger:
</t>
        </r>
        <r>
          <rPr>
            <sz val="9"/>
            <color rgb="FF000000"/>
            <rFont val="Tahoma"/>
            <family val="2"/>
            <charset val="1"/>
          </rPr>
          <t xml:space="preserve">date falling to low action</t>
        </r>
      </text>
    </comment>
    <comment ref="BH96" authorId="0">
      <text>
        <r>
          <rPr>
            <sz val="10"/>
            <rFont val="Arial"/>
            <family val="2"/>
          </rPr>
          <t xml:space="preserve">Christian Barger:
</t>
        </r>
        <r>
          <rPr>
            <sz val="9"/>
            <color rgb="FF000000"/>
            <rFont val="Tahoma"/>
            <family val="2"/>
            <charset val="1"/>
          </rPr>
          <t xml:space="preserve">Lock closure threshold</t>
        </r>
      </text>
    </comment>
    <comment ref="BH97" authorId="0">
      <text>
        <r>
          <rPr>
            <sz val="10"/>
            <rFont val="Arial"/>
            <family val="2"/>
          </rPr>
          <t xml:space="preserve">Christian Barger:
</t>
        </r>
        <r>
          <rPr>
            <sz val="9"/>
            <color rgb="FF000000"/>
            <rFont val="Tahoma"/>
            <family val="0"/>
            <charset val="1"/>
          </rPr>
          <t xml:space="preserve">Lock reopen</t>
        </r>
      </text>
    </comment>
    <comment ref="BJ88" authorId="0">
      <text>
        <r>
          <rPr>
            <sz val="10"/>
            <rFont val="Arial"/>
            <family val="2"/>
          </rPr>
          <t xml:space="preserve">Christian Barger:
</t>
        </r>
        <r>
          <rPr>
            <sz val="9"/>
            <color rgb="FF000000"/>
            <rFont val="Tahoma"/>
            <family val="2"/>
            <charset val="1"/>
          </rPr>
          <t xml:space="preserve">date dropping to high watch</t>
        </r>
      </text>
    </comment>
    <comment ref="BJ89" authorId="0">
      <text>
        <r>
          <rPr>
            <sz val="10"/>
            <rFont val="Arial"/>
            <family val="2"/>
          </rPr>
          <t xml:space="preserve">Christian Barger:
</t>
        </r>
        <r>
          <rPr>
            <sz val="9"/>
            <color rgb="FF000000"/>
            <rFont val="Tahoma"/>
            <family val="2"/>
            <charset val="1"/>
          </rPr>
          <t xml:space="preserve">date dropping to high normal</t>
        </r>
      </text>
    </comment>
    <comment ref="BJ90" authorId="0">
      <text>
        <r>
          <rPr>
            <sz val="10"/>
            <rFont val="Arial"/>
            <family val="2"/>
          </rPr>
          <t xml:space="preserve">Christian Barger:
</t>
        </r>
        <r>
          <rPr>
            <sz val="9"/>
            <color rgb="FF000000"/>
            <rFont val="Tahoma"/>
            <family val="2"/>
            <charset val="1"/>
          </rPr>
          <t xml:space="preserve">date rishing to low watch</t>
        </r>
      </text>
    </comment>
    <comment ref="BJ91" authorId="0">
      <text>
        <r>
          <rPr>
            <sz val="10"/>
            <rFont val="Arial"/>
            <family val="2"/>
          </rPr>
          <t xml:space="preserve">Christian Barger:
</t>
        </r>
        <r>
          <rPr>
            <sz val="9"/>
            <color rgb="FF000000"/>
            <rFont val="Tahoma"/>
            <family val="2"/>
            <charset val="1"/>
          </rPr>
          <t xml:space="preserve">date rising to low normal</t>
        </r>
      </text>
    </comment>
    <comment ref="BJ92" authorId="0">
      <text>
        <r>
          <rPr>
            <sz val="10"/>
            <rFont val="Arial"/>
            <family val="2"/>
          </rPr>
          <t xml:space="preserve">Christian Barger:
</t>
        </r>
        <r>
          <rPr>
            <sz val="9"/>
            <color rgb="FF000000"/>
            <rFont val="Tahoma"/>
            <family val="2"/>
            <charset val="1"/>
          </rPr>
          <t xml:space="preserve">date rising to high watch</t>
        </r>
      </text>
    </comment>
    <comment ref="BJ93" authorId="0">
      <text>
        <r>
          <rPr>
            <sz val="10"/>
            <rFont val="Arial"/>
            <family val="2"/>
          </rPr>
          <t xml:space="preserve">Christian Barger:
</t>
        </r>
        <r>
          <rPr>
            <sz val="9"/>
            <color rgb="FF000000"/>
            <rFont val="Tahoma"/>
            <family val="2"/>
            <charset val="1"/>
          </rPr>
          <t xml:space="preserve">date rising to high action</t>
        </r>
      </text>
    </comment>
    <comment ref="BJ94" authorId="0">
      <text>
        <r>
          <rPr>
            <sz val="10"/>
            <rFont val="Arial"/>
            <family val="2"/>
          </rPr>
          <t xml:space="preserve">Christian Barger:
</t>
        </r>
        <r>
          <rPr>
            <sz val="9"/>
            <color rgb="FF000000"/>
            <rFont val="Tahoma"/>
            <family val="2"/>
            <charset val="1"/>
          </rPr>
          <t xml:space="preserve">date falling to low watch</t>
        </r>
      </text>
    </comment>
    <comment ref="BJ95" authorId="0">
      <text>
        <r>
          <rPr>
            <sz val="10"/>
            <rFont val="Arial"/>
            <family val="2"/>
          </rPr>
          <t xml:space="preserve">Christian Barger:
</t>
        </r>
        <r>
          <rPr>
            <sz val="9"/>
            <color rgb="FF000000"/>
            <rFont val="Tahoma"/>
            <family val="2"/>
            <charset val="1"/>
          </rPr>
          <t xml:space="preserve">date falling to low action</t>
        </r>
      </text>
    </comment>
    <comment ref="BJ96" authorId="0">
      <text>
        <r>
          <rPr>
            <sz val="10"/>
            <rFont val="Arial"/>
            <family val="2"/>
          </rPr>
          <t xml:space="preserve">Christian Barger:
</t>
        </r>
        <r>
          <rPr>
            <sz val="9"/>
            <color rgb="FF000000"/>
            <rFont val="Tahoma"/>
            <family val="2"/>
            <charset val="1"/>
          </rPr>
          <t xml:space="preserve">Lock closure threshold</t>
        </r>
      </text>
    </comment>
    <comment ref="BJ97" authorId="0">
      <text>
        <r>
          <rPr>
            <sz val="10"/>
            <rFont val="Arial"/>
            <family val="2"/>
          </rPr>
          <t xml:space="preserve">Christian Barger:
</t>
        </r>
        <r>
          <rPr>
            <sz val="9"/>
            <color rgb="FF000000"/>
            <rFont val="Tahoma"/>
            <family val="0"/>
            <charset val="1"/>
          </rPr>
          <t xml:space="preserve">Lock reopen</t>
        </r>
      </text>
    </comment>
    <comment ref="BL88" authorId="0">
      <text>
        <r>
          <rPr>
            <sz val="10"/>
            <rFont val="Arial"/>
            <family val="2"/>
          </rPr>
          <t xml:space="preserve">Christian Barger:
</t>
        </r>
        <r>
          <rPr>
            <sz val="9"/>
            <color rgb="FF000000"/>
            <rFont val="Tahoma"/>
            <family val="2"/>
            <charset val="1"/>
          </rPr>
          <t xml:space="preserve">date dropping to high watch</t>
        </r>
      </text>
    </comment>
    <comment ref="BL89" authorId="0">
      <text>
        <r>
          <rPr>
            <sz val="10"/>
            <rFont val="Arial"/>
            <family val="2"/>
          </rPr>
          <t xml:space="preserve">Christian Barger:
</t>
        </r>
        <r>
          <rPr>
            <sz val="9"/>
            <color rgb="FF000000"/>
            <rFont val="Tahoma"/>
            <family val="2"/>
            <charset val="1"/>
          </rPr>
          <t xml:space="preserve">date dropping to high normal</t>
        </r>
      </text>
    </comment>
    <comment ref="BL90" authorId="0">
      <text>
        <r>
          <rPr>
            <sz val="10"/>
            <rFont val="Arial"/>
            <family val="2"/>
          </rPr>
          <t xml:space="preserve">Christian Barger:
</t>
        </r>
        <r>
          <rPr>
            <sz val="9"/>
            <color rgb="FF000000"/>
            <rFont val="Tahoma"/>
            <family val="2"/>
            <charset val="1"/>
          </rPr>
          <t xml:space="preserve">date rishing to low watch</t>
        </r>
      </text>
    </comment>
    <comment ref="BL91" authorId="0">
      <text>
        <r>
          <rPr>
            <sz val="10"/>
            <rFont val="Arial"/>
            <family val="2"/>
          </rPr>
          <t xml:space="preserve">Christian Barger:
</t>
        </r>
        <r>
          <rPr>
            <sz val="9"/>
            <color rgb="FF000000"/>
            <rFont val="Tahoma"/>
            <family val="2"/>
            <charset val="1"/>
          </rPr>
          <t xml:space="preserve">date rising to low normal</t>
        </r>
      </text>
    </comment>
    <comment ref="BL92" authorId="0">
      <text>
        <r>
          <rPr>
            <sz val="10"/>
            <rFont val="Arial"/>
            <family val="2"/>
          </rPr>
          <t xml:space="preserve">Christian Barger:
</t>
        </r>
        <r>
          <rPr>
            <sz val="9"/>
            <color rgb="FF000000"/>
            <rFont val="Tahoma"/>
            <family val="2"/>
            <charset val="1"/>
          </rPr>
          <t xml:space="preserve">date rising to high watch</t>
        </r>
      </text>
    </comment>
    <comment ref="BL93" authorId="0">
      <text>
        <r>
          <rPr>
            <sz val="10"/>
            <rFont val="Arial"/>
            <family val="2"/>
          </rPr>
          <t xml:space="preserve">Christian Barger:
</t>
        </r>
        <r>
          <rPr>
            <sz val="9"/>
            <color rgb="FF000000"/>
            <rFont val="Tahoma"/>
            <family val="2"/>
            <charset val="1"/>
          </rPr>
          <t xml:space="preserve">date rising to high action</t>
        </r>
      </text>
    </comment>
    <comment ref="BL94" authorId="0">
      <text>
        <r>
          <rPr>
            <sz val="10"/>
            <rFont val="Arial"/>
            <family val="2"/>
          </rPr>
          <t xml:space="preserve">Christian Barger:
</t>
        </r>
        <r>
          <rPr>
            <sz val="9"/>
            <color rgb="FF000000"/>
            <rFont val="Tahoma"/>
            <family val="2"/>
            <charset val="1"/>
          </rPr>
          <t xml:space="preserve">date falling to low watch</t>
        </r>
      </text>
    </comment>
    <comment ref="BL95" authorId="0">
      <text>
        <r>
          <rPr>
            <sz val="10"/>
            <rFont val="Arial"/>
            <family val="2"/>
          </rPr>
          <t xml:space="preserve">Christian Barger:
</t>
        </r>
        <r>
          <rPr>
            <sz val="9"/>
            <color rgb="FF000000"/>
            <rFont val="Tahoma"/>
            <family val="2"/>
            <charset val="1"/>
          </rPr>
          <t xml:space="preserve">date falling to low action</t>
        </r>
      </text>
    </comment>
    <comment ref="BL96" authorId="0">
      <text>
        <r>
          <rPr>
            <sz val="10"/>
            <rFont val="Arial"/>
            <family val="2"/>
          </rPr>
          <t xml:space="preserve">Christian Barger:
</t>
        </r>
        <r>
          <rPr>
            <sz val="9"/>
            <color rgb="FF000000"/>
            <rFont val="Tahoma"/>
            <family val="2"/>
            <charset val="1"/>
          </rPr>
          <t xml:space="preserve">Lock closure threshold</t>
        </r>
      </text>
    </comment>
    <comment ref="BL97" authorId="0">
      <text>
        <r>
          <rPr>
            <sz val="10"/>
            <rFont val="Arial"/>
            <family val="2"/>
          </rPr>
          <t xml:space="preserve">Christian Barger:
</t>
        </r>
        <r>
          <rPr>
            <sz val="9"/>
            <color rgb="FF000000"/>
            <rFont val="Tahoma"/>
            <family val="0"/>
            <charset val="1"/>
          </rPr>
          <t xml:space="preserve">Lock reopen</t>
        </r>
      </text>
    </comment>
    <comment ref="BN151" authorId="0">
      <text>
        <r>
          <rPr>
            <sz val="10"/>
            <rFont val="Arial"/>
            <family val="2"/>
          </rPr>
          <t xml:space="preserve">Christian Barger:
</t>
        </r>
        <r>
          <rPr>
            <sz val="9"/>
            <color rgb="FF000000"/>
            <rFont val="Tahoma"/>
            <family val="2"/>
            <charset val="1"/>
          </rPr>
          <t xml:space="preserve">ZONE 28: date below 38 ft</t>
        </r>
      </text>
    </comment>
    <comment ref="BN152" authorId="0">
      <text>
        <r>
          <rPr>
            <sz val="10"/>
            <rFont val="Arial"/>
            <family val="2"/>
          </rPr>
          <t xml:space="preserve">Christian Barger:
</t>
        </r>
        <r>
          <rPr>
            <sz val="9"/>
            <color rgb="FF000000"/>
            <rFont val="Tahoma"/>
            <family val="2"/>
            <charset val="1"/>
          </rPr>
          <t xml:space="preserve">ZONE 28: Date above 38 ft</t>
        </r>
      </text>
    </comment>
    <comment ref="BN153" authorId="0">
      <text>
        <r>
          <rPr>
            <sz val="10"/>
            <rFont val="Arial"/>
            <family val="2"/>
          </rPr>
          <t xml:space="preserve">Christian Barger:
</t>
        </r>
        <r>
          <rPr>
            <sz val="9"/>
            <color rgb="FF000000"/>
            <rFont val="Tahoma"/>
            <family val="2"/>
            <charset val="1"/>
          </rPr>
          <t xml:space="preserve">ZONE 28: Date above 45 ft</t>
        </r>
      </text>
    </comment>
    <comment ref="BN154" authorId="0">
      <text>
        <r>
          <rPr>
            <sz val="10"/>
            <rFont val="Arial"/>
            <family val="2"/>
          </rPr>
          <t xml:space="preserve">Christian Barger:
</t>
        </r>
        <r>
          <rPr>
            <sz val="9"/>
            <color rgb="FF000000"/>
            <rFont val="Tahoma"/>
            <family val="2"/>
            <charset val="1"/>
          </rPr>
          <t xml:space="preserve">ZONE 28: date below 45 ft</t>
        </r>
      </text>
    </comment>
    <comment ref="BN155" authorId="0">
      <text>
        <r>
          <rPr>
            <sz val="10"/>
            <rFont val="Arial"/>
            <family val="2"/>
          </rPr>
          <t xml:space="preserve">Christian Barger:
</t>
        </r>
        <r>
          <rPr>
            <sz val="9"/>
            <color rgb="FF000000"/>
            <rFont val="Tahoma"/>
            <family val="2"/>
            <charset val="1"/>
          </rPr>
          <t xml:space="preserve">ZONE 28: date dropping to high action</t>
        </r>
      </text>
    </comment>
    <comment ref="BN156" authorId="0">
      <text>
        <r>
          <rPr>
            <sz val="10"/>
            <rFont val="Arial"/>
            <family val="2"/>
          </rPr>
          <t xml:space="preserve">Christian Barger:
</t>
        </r>
        <r>
          <rPr>
            <sz val="9"/>
            <color rgb="FF000000"/>
            <rFont val="Tahoma"/>
            <family val="2"/>
            <charset val="1"/>
          </rPr>
          <t xml:space="preserve">ZONE 28: date dropping to high watch</t>
        </r>
      </text>
    </comment>
    <comment ref="BN157" authorId="0">
      <text>
        <r>
          <rPr>
            <sz val="10"/>
            <rFont val="Arial"/>
            <family val="2"/>
          </rPr>
          <t xml:space="preserve">Christian Barger:
</t>
        </r>
        <r>
          <rPr>
            <sz val="9"/>
            <color rgb="FF000000"/>
            <rFont val="Tahoma"/>
            <family val="2"/>
            <charset val="1"/>
          </rPr>
          <t xml:space="preserve">ZONE 28: date dropping to high normal</t>
        </r>
      </text>
    </comment>
    <comment ref="BN158" authorId="0">
      <text>
        <r>
          <rPr>
            <sz val="10"/>
            <rFont val="Arial"/>
            <family val="2"/>
          </rPr>
          <t xml:space="preserve">Christian Barger:
</t>
        </r>
        <r>
          <rPr>
            <sz val="9"/>
            <color rgb="FF000000"/>
            <rFont val="Tahoma"/>
            <family val="2"/>
            <charset val="1"/>
          </rPr>
          <t xml:space="preserve">ZONE 28: date rising to low watch</t>
        </r>
      </text>
    </comment>
    <comment ref="BN159" authorId="0">
      <text>
        <r>
          <rPr>
            <sz val="10"/>
            <rFont val="Arial"/>
            <family val="2"/>
          </rPr>
          <t xml:space="preserve">Christian Barger:
</t>
        </r>
        <r>
          <rPr>
            <sz val="9"/>
            <color rgb="FF000000"/>
            <rFont val="Tahoma"/>
            <family val="2"/>
            <charset val="1"/>
          </rPr>
          <t xml:space="preserve">ZONE 28: date rising to low normal</t>
        </r>
      </text>
    </comment>
    <comment ref="BN160" authorId="0">
      <text>
        <r>
          <rPr>
            <sz val="10"/>
            <rFont val="Arial"/>
            <family val="2"/>
          </rPr>
          <t xml:space="preserve">Christian Barger:
</t>
        </r>
        <r>
          <rPr>
            <sz val="9"/>
            <color rgb="FF000000"/>
            <rFont val="Tahoma"/>
            <family val="2"/>
            <charset val="1"/>
          </rPr>
          <t xml:space="preserve">ZONE 28: date rising to high watch</t>
        </r>
      </text>
    </comment>
    <comment ref="BN161" authorId="0">
      <text>
        <r>
          <rPr>
            <sz val="10"/>
            <rFont val="Arial"/>
            <family val="2"/>
          </rPr>
          <t xml:space="preserve">Christian Barger:
</t>
        </r>
        <r>
          <rPr>
            <sz val="9"/>
            <color rgb="FF000000"/>
            <rFont val="Tahoma"/>
            <family val="2"/>
            <charset val="1"/>
          </rPr>
          <t xml:space="preserve">ZONE 28: date rising to high action</t>
        </r>
      </text>
    </comment>
    <comment ref="BN162" authorId="0">
      <text>
        <r>
          <rPr>
            <sz val="10"/>
            <rFont val="Arial"/>
            <family val="2"/>
          </rPr>
          <t xml:space="preserve">Christian Barger:
</t>
        </r>
        <r>
          <rPr>
            <sz val="9"/>
            <color rgb="FF000000"/>
            <rFont val="Tahoma"/>
            <family val="2"/>
            <charset val="1"/>
          </rPr>
          <t xml:space="preserve">ZONE 28: date rising to high extreme action</t>
        </r>
      </text>
    </comment>
    <comment ref="BN163" authorId="0">
      <text>
        <r>
          <rPr>
            <sz val="10"/>
            <rFont val="Arial"/>
            <family val="2"/>
          </rPr>
          <t xml:space="preserve">Christian Barger:
</t>
        </r>
        <r>
          <rPr>
            <sz val="9"/>
            <color rgb="FF000000"/>
            <rFont val="Tahoma"/>
            <family val="2"/>
            <charset val="1"/>
          </rPr>
          <t xml:space="preserve">ZONE 28: date falling to low watch</t>
        </r>
      </text>
    </comment>
    <comment ref="BN164" authorId="0">
      <text>
        <r>
          <rPr>
            <sz val="10"/>
            <rFont val="Arial"/>
            <family val="2"/>
          </rPr>
          <t xml:space="preserve">Christian Barger:
</t>
        </r>
        <r>
          <rPr>
            <sz val="9"/>
            <color rgb="FF000000"/>
            <rFont val="Tahoma"/>
            <family val="2"/>
            <charset val="1"/>
          </rPr>
          <t xml:space="preserve">ZONE 28: date falling to low action</t>
        </r>
      </text>
    </comment>
    <comment ref="BN165" authorId="0">
      <text>
        <r>
          <rPr>
            <sz val="10"/>
            <rFont val="Arial"/>
            <family val="2"/>
          </rPr>
          <t xml:space="preserve">Christian Barger:
</t>
        </r>
        <r>
          <rPr>
            <sz val="9"/>
            <color rgb="FF000000"/>
            <rFont val="Tahoma"/>
            <family val="2"/>
            <charset val="1"/>
          </rPr>
          <t xml:space="preserve">ZONE 27: date dropping to high watch</t>
        </r>
      </text>
    </comment>
    <comment ref="BN166" authorId="0">
      <text>
        <r>
          <rPr>
            <sz val="10"/>
            <rFont val="Arial"/>
            <family val="2"/>
          </rPr>
          <t xml:space="preserve">Christian Barger:
</t>
        </r>
        <r>
          <rPr>
            <sz val="9"/>
            <color rgb="FF000000"/>
            <rFont val="Tahoma"/>
            <family val="2"/>
            <charset val="1"/>
          </rPr>
          <t xml:space="preserve">ZONE 27: date dropping to high normal</t>
        </r>
      </text>
    </comment>
    <comment ref="BN167" authorId="0">
      <text>
        <r>
          <rPr>
            <sz val="10"/>
            <rFont val="Arial"/>
            <family val="2"/>
          </rPr>
          <t xml:space="preserve">Christian Barger:
</t>
        </r>
        <r>
          <rPr>
            <sz val="9"/>
            <color rgb="FF000000"/>
            <rFont val="Tahoma"/>
            <family val="2"/>
            <charset val="1"/>
          </rPr>
          <t xml:space="preserve">ZONE 27: date rising to low watch</t>
        </r>
      </text>
    </comment>
    <comment ref="BN168" authorId="0">
      <text>
        <r>
          <rPr>
            <sz val="10"/>
            <rFont val="Arial"/>
            <family val="2"/>
          </rPr>
          <t xml:space="preserve">Christian Barger:
</t>
        </r>
        <r>
          <rPr>
            <sz val="9"/>
            <color rgb="FF000000"/>
            <rFont val="Tahoma"/>
            <family val="2"/>
            <charset val="1"/>
          </rPr>
          <t xml:space="preserve">ZONE 27: date rising to low normal</t>
        </r>
      </text>
    </comment>
    <comment ref="BN169" authorId="0">
      <text>
        <r>
          <rPr>
            <sz val="10"/>
            <rFont val="Arial"/>
            <family val="2"/>
          </rPr>
          <t xml:space="preserve">Christian Barger:
</t>
        </r>
        <r>
          <rPr>
            <sz val="9"/>
            <color rgb="FF000000"/>
            <rFont val="Tahoma"/>
            <family val="2"/>
            <charset val="1"/>
          </rPr>
          <t xml:space="preserve">ZONE 27: date rising to high watch</t>
        </r>
      </text>
    </comment>
    <comment ref="BN170" authorId="0">
      <text>
        <r>
          <rPr>
            <sz val="10"/>
            <rFont val="Arial"/>
            <family val="2"/>
          </rPr>
          <t xml:space="preserve">Christian Barger:
</t>
        </r>
        <r>
          <rPr>
            <sz val="9"/>
            <color rgb="FF000000"/>
            <rFont val="Tahoma"/>
            <family val="2"/>
            <charset val="1"/>
          </rPr>
          <t xml:space="preserve">ZONE 27: date rising to high action</t>
        </r>
      </text>
    </comment>
    <comment ref="BN171" authorId="0">
      <text>
        <r>
          <rPr>
            <sz val="10"/>
            <rFont val="Arial"/>
            <family val="2"/>
          </rPr>
          <t xml:space="preserve">Christian Barger:
</t>
        </r>
        <r>
          <rPr>
            <sz val="9"/>
            <color rgb="FF000000"/>
            <rFont val="Tahoma"/>
            <family val="2"/>
            <charset val="1"/>
          </rPr>
          <t xml:space="preserve">ZONE 27: date falling to low watch</t>
        </r>
      </text>
    </comment>
    <comment ref="BN172" authorId="0">
      <text>
        <r>
          <rPr>
            <sz val="10"/>
            <rFont val="Arial"/>
            <family val="2"/>
          </rPr>
          <t xml:space="preserve">Christian Barger:
</t>
        </r>
        <r>
          <rPr>
            <sz val="9"/>
            <color rgb="FF000000"/>
            <rFont val="Tahoma"/>
            <family val="2"/>
            <charset val="1"/>
          </rPr>
          <t xml:space="preserve">ZONE 27: date falling to low action</t>
        </r>
      </text>
    </comment>
    <comment ref="BN173" authorId="0">
      <text>
        <r>
          <rPr>
            <sz val="10"/>
            <rFont val="Arial"/>
            <family val="2"/>
          </rPr>
          <t xml:space="preserve">Christian Barger:
</t>
        </r>
        <r>
          <rPr>
            <sz val="9"/>
            <color rgb="FF000000"/>
            <rFont val="Tahoma"/>
            <family val="2"/>
            <charset val="1"/>
          </rPr>
          <t xml:space="preserve">Lock 27 closure</t>
        </r>
      </text>
    </comment>
    <comment ref="BN174" authorId="0">
      <text>
        <r>
          <rPr>
            <sz val="10"/>
            <rFont val="Arial"/>
            <family val="2"/>
          </rPr>
          <t xml:space="preserve">Christian Barger:
</t>
        </r>
        <r>
          <rPr>
            <sz val="9"/>
            <color rgb="FF000000"/>
            <rFont val="Tahoma"/>
            <family val="2"/>
            <charset val="1"/>
          </rPr>
          <t xml:space="preserve">Lock 27 reopen</t>
        </r>
      </text>
    </comment>
    <comment ref="BP117" authorId="0">
      <text>
        <r>
          <rPr>
            <sz val="10"/>
            <rFont val="Arial"/>
            <family val="2"/>
          </rPr>
          <t xml:space="preserve">Christian Barger:
</t>
        </r>
        <r>
          <rPr>
            <sz val="9"/>
            <color rgb="FF000000"/>
            <rFont val="Tahoma"/>
            <family val="2"/>
            <charset val="1"/>
          </rPr>
          <t xml:space="preserve">date dropping to high watch</t>
        </r>
      </text>
    </comment>
    <comment ref="BP118" authorId="0">
      <text>
        <r>
          <rPr>
            <sz val="10"/>
            <rFont val="Arial"/>
            <family val="2"/>
          </rPr>
          <t xml:space="preserve">Christian Barger:
</t>
        </r>
        <r>
          <rPr>
            <sz val="9"/>
            <color rgb="FF000000"/>
            <rFont val="Tahoma"/>
            <family val="2"/>
            <charset val="1"/>
          </rPr>
          <t xml:space="preserve">date dropping to high normal</t>
        </r>
      </text>
    </comment>
    <comment ref="BP119" authorId="0">
      <text>
        <r>
          <rPr>
            <sz val="10"/>
            <rFont val="Arial"/>
            <family val="2"/>
          </rPr>
          <t xml:space="preserve">Christian Barger:
</t>
        </r>
        <r>
          <rPr>
            <sz val="9"/>
            <color rgb="FF000000"/>
            <rFont val="Tahoma"/>
            <family val="2"/>
            <charset val="1"/>
          </rPr>
          <t xml:space="preserve">date rishing to low watch</t>
        </r>
      </text>
    </comment>
    <comment ref="BP120" authorId="0">
      <text>
        <r>
          <rPr>
            <sz val="10"/>
            <rFont val="Arial"/>
            <family val="2"/>
          </rPr>
          <t xml:space="preserve">Christian Barger:
</t>
        </r>
        <r>
          <rPr>
            <sz val="9"/>
            <color rgb="FF000000"/>
            <rFont val="Tahoma"/>
            <family val="2"/>
            <charset val="1"/>
          </rPr>
          <t xml:space="preserve">date rising to low normal</t>
        </r>
      </text>
    </comment>
    <comment ref="BP121" authorId="0">
      <text>
        <r>
          <rPr>
            <sz val="10"/>
            <rFont val="Arial"/>
            <family val="2"/>
          </rPr>
          <t xml:space="preserve">Christian Barger:
</t>
        </r>
        <r>
          <rPr>
            <sz val="9"/>
            <color rgb="FF000000"/>
            <rFont val="Tahoma"/>
            <family val="2"/>
            <charset val="1"/>
          </rPr>
          <t xml:space="preserve">date rising to high watch</t>
        </r>
      </text>
    </comment>
    <comment ref="BP122" authorId="0">
      <text>
        <r>
          <rPr>
            <sz val="10"/>
            <rFont val="Arial"/>
            <family val="2"/>
          </rPr>
          <t xml:space="preserve">Christian Barger:
</t>
        </r>
        <r>
          <rPr>
            <sz val="9"/>
            <color rgb="FF000000"/>
            <rFont val="Tahoma"/>
            <family val="2"/>
            <charset val="1"/>
          </rPr>
          <t xml:space="preserve">date rising to high action</t>
        </r>
      </text>
    </comment>
    <comment ref="BP123" authorId="0">
      <text>
        <r>
          <rPr>
            <sz val="10"/>
            <rFont val="Arial"/>
            <family val="2"/>
          </rPr>
          <t xml:space="preserve">Christian Barger:
</t>
        </r>
        <r>
          <rPr>
            <sz val="9"/>
            <color rgb="FF000000"/>
            <rFont val="Tahoma"/>
            <family val="2"/>
            <charset val="1"/>
          </rPr>
          <t xml:space="preserve">date falling to low watch</t>
        </r>
      </text>
    </comment>
    <comment ref="BP124" authorId="0">
      <text>
        <r>
          <rPr>
            <sz val="10"/>
            <rFont val="Arial"/>
            <family val="2"/>
          </rPr>
          <t xml:space="preserve">Christian Barger:
</t>
        </r>
        <r>
          <rPr>
            <sz val="9"/>
            <color rgb="FF000000"/>
            <rFont val="Tahoma"/>
            <family val="2"/>
            <charset val="1"/>
          </rPr>
          <t xml:space="preserve">date falling to low action</t>
        </r>
      </text>
    </comment>
    <comment ref="BR114" authorId="0">
      <text>
        <r>
          <rPr>
            <sz val="10"/>
            <rFont val="Arial"/>
            <family val="2"/>
          </rPr>
          <t xml:space="preserve">Christian Barger:
</t>
        </r>
        <r>
          <rPr>
            <sz val="9"/>
            <color rgb="FF000000"/>
            <rFont val="Tahoma"/>
            <family val="2"/>
            <charset val="1"/>
          </rPr>
          <t xml:space="preserve">date dropping to high watch</t>
        </r>
      </text>
    </comment>
    <comment ref="BR115" authorId="0">
      <text>
        <r>
          <rPr>
            <sz val="10"/>
            <rFont val="Arial"/>
            <family val="2"/>
          </rPr>
          <t xml:space="preserve">Christian Barger:
</t>
        </r>
        <r>
          <rPr>
            <sz val="9"/>
            <color rgb="FF000000"/>
            <rFont val="Tahoma"/>
            <family val="2"/>
            <charset val="1"/>
          </rPr>
          <t xml:space="preserve">date dropping to high normal</t>
        </r>
      </text>
    </comment>
    <comment ref="BR116" authorId="0">
      <text>
        <r>
          <rPr>
            <sz val="10"/>
            <rFont val="Arial"/>
            <family val="2"/>
          </rPr>
          <t xml:space="preserve">Christian Barger:
</t>
        </r>
        <r>
          <rPr>
            <sz val="9"/>
            <color rgb="FF000000"/>
            <rFont val="Tahoma"/>
            <family val="2"/>
            <charset val="1"/>
          </rPr>
          <t xml:space="preserve">date rishing to low watch</t>
        </r>
      </text>
    </comment>
    <comment ref="BR117" authorId="0">
      <text>
        <r>
          <rPr>
            <sz val="10"/>
            <rFont val="Arial"/>
            <family val="2"/>
          </rPr>
          <t xml:space="preserve">Christian Barger:
</t>
        </r>
        <r>
          <rPr>
            <sz val="9"/>
            <color rgb="FF000000"/>
            <rFont val="Tahoma"/>
            <family val="2"/>
            <charset val="1"/>
          </rPr>
          <t xml:space="preserve">date rising to low normal</t>
        </r>
      </text>
    </comment>
    <comment ref="BR118" authorId="0">
      <text>
        <r>
          <rPr>
            <sz val="10"/>
            <rFont val="Arial"/>
            <family val="2"/>
          </rPr>
          <t xml:space="preserve">Christian Barger:
</t>
        </r>
        <r>
          <rPr>
            <sz val="9"/>
            <color rgb="FF000000"/>
            <rFont val="Tahoma"/>
            <family val="2"/>
            <charset val="1"/>
          </rPr>
          <t xml:space="preserve">date rising to high watch</t>
        </r>
      </text>
    </comment>
    <comment ref="BR119" authorId="0">
      <text>
        <r>
          <rPr>
            <sz val="10"/>
            <rFont val="Arial"/>
            <family val="2"/>
          </rPr>
          <t xml:space="preserve">Christian Barger:
</t>
        </r>
        <r>
          <rPr>
            <sz val="9"/>
            <color rgb="FF000000"/>
            <rFont val="Tahoma"/>
            <family val="2"/>
            <charset val="1"/>
          </rPr>
          <t xml:space="preserve">date rising to high action</t>
        </r>
      </text>
    </comment>
    <comment ref="BR120" authorId="0">
      <text>
        <r>
          <rPr>
            <sz val="10"/>
            <rFont val="Arial"/>
            <family val="2"/>
          </rPr>
          <t xml:space="preserve">Christian Barger:
</t>
        </r>
        <r>
          <rPr>
            <sz val="9"/>
            <color rgb="FF000000"/>
            <rFont val="Tahoma"/>
            <family val="2"/>
            <charset val="1"/>
          </rPr>
          <t xml:space="preserve">date falling to low watch</t>
        </r>
      </text>
    </comment>
    <comment ref="BR121" authorId="0">
      <text>
        <r>
          <rPr>
            <sz val="10"/>
            <rFont val="Arial"/>
            <family val="2"/>
          </rPr>
          <t xml:space="preserve">Christian Barger:
</t>
        </r>
        <r>
          <rPr>
            <sz val="9"/>
            <color rgb="FF000000"/>
            <rFont val="Tahoma"/>
            <family val="2"/>
            <charset val="1"/>
          </rPr>
          <t xml:space="preserve">date falling to low action</t>
        </r>
      </text>
    </comment>
    <comment ref="BT114" authorId="0">
      <text>
        <r>
          <rPr>
            <sz val="10"/>
            <rFont val="Arial"/>
            <family val="2"/>
          </rPr>
          <t xml:space="preserve">Christian Barger:
</t>
        </r>
        <r>
          <rPr>
            <sz val="9"/>
            <color rgb="FF000000"/>
            <rFont val="Tahoma"/>
            <family val="2"/>
            <charset val="1"/>
          </rPr>
          <t xml:space="preserve">date dropping to high watch</t>
        </r>
      </text>
    </comment>
    <comment ref="BT115" authorId="0">
      <text>
        <r>
          <rPr>
            <sz val="10"/>
            <rFont val="Arial"/>
            <family val="2"/>
          </rPr>
          <t xml:space="preserve">Christian Barger:
</t>
        </r>
        <r>
          <rPr>
            <sz val="9"/>
            <color rgb="FF000000"/>
            <rFont val="Tahoma"/>
            <family val="2"/>
            <charset val="1"/>
          </rPr>
          <t xml:space="preserve">date dropping to high normal</t>
        </r>
      </text>
    </comment>
    <comment ref="BT116" authorId="0">
      <text>
        <r>
          <rPr>
            <sz val="10"/>
            <rFont val="Arial"/>
            <family val="2"/>
          </rPr>
          <t xml:space="preserve">Christian Barger:
</t>
        </r>
        <r>
          <rPr>
            <sz val="9"/>
            <color rgb="FF000000"/>
            <rFont val="Tahoma"/>
            <family val="2"/>
            <charset val="1"/>
          </rPr>
          <t xml:space="preserve">date rishing to low watch</t>
        </r>
      </text>
    </comment>
    <comment ref="BT117" authorId="0">
      <text>
        <r>
          <rPr>
            <sz val="10"/>
            <rFont val="Arial"/>
            <family val="2"/>
          </rPr>
          <t xml:space="preserve">Christian Barger:
</t>
        </r>
        <r>
          <rPr>
            <sz val="9"/>
            <color rgb="FF000000"/>
            <rFont val="Tahoma"/>
            <family val="2"/>
            <charset val="1"/>
          </rPr>
          <t xml:space="preserve">date rising to low normal</t>
        </r>
      </text>
    </comment>
    <comment ref="BT118" authorId="0">
      <text>
        <r>
          <rPr>
            <sz val="10"/>
            <rFont val="Arial"/>
            <family val="2"/>
          </rPr>
          <t xml:space="preserve">Christian Barger:
</t>
        </r>
        <r>
          <rPr>
            <sz val="9"/>
            <color rgb="FF000000"/>
            <rFont val="Tahoma"/>
            <family val="2"/>
            <charset val="1"/>
          </rPr>
          <t xml:space="preserve">date rising to high watch</t>
        </r>
      </text>
    </comment>
    <comment ref="BT119" authorId="0">
      <text>
        <r>
          <rPr>
            <sz val="10"/>
            <rFont val="Arial"/>
            <family val="2"/>
          </rPr>
          <t xml:space="preserve">Christian Barger:
</t>
        </r>
        <r>
          <rPr>
            <sz val="9"/>
            <color rgb="FF000000"/>
            <rFont val="Tahoma"/>
            <family val="2"/>
            <charset val="1"/>
          </rPr>
          <t xml:space="preserve">date rising to high action</t>
        </r>
      </text>
    </comment>
    <comment ref="BT120" authorId="0">
      <text>
        <r>
          <rPr>
            <sz val="10"/>
            <rFont val="Arial"/>
            <family val="2"/>
          </rPr>
          <t xml:space="preserve">Christian Barger:
</t>
        </r>
        <r>
          <rPr>
            <sz val="9"/>
            <color rgb="FF000000"/>
            <rFont val="Tahoma"/>
            <family val="2"/>
            <charset val="1"/>
          </rPr>
          <t xml:space="preserve">date falling to low watch</t>
        </r>
      </text>
    </comment>
    <comment ref="BT121" authorId="0">
      <text>
        <r>
          <rPr>
            <sz val="10"/>
            <rFont val="Arial"/>
            <family val="2"/>
          </rPr>
          <t xml:space="preserve">Christian Barger:
</t>
        </r>
        <r>
          <rPr>
            <sz val="9"/>
            <color rgb="FF000000"/>
            <rFont val="Tahoma"/>
            <family val="2"/>
            <charset val="1"/>
          </rPr>
          <t xml:space="preserve">date falling to low action</t>
        </r>
      </text>
    </comment>
    <comment ref="BV117" authorId="0">
      <text>
        <r>
          <rPr>
            <sz val="10"/>
            <rFont val="Arial"/>
            <family val="2"/>
          </rPr>
          <t xml:space="preserve">Christian Barger:
</t>
        </r>
        <r>
          <rPr>
            <sz val="9"/>
            <color rgb="FF000000"/>
            <rFont val="Tahoma"/>
            <family val="2"/>
            <charset val="1"/>
          </rPr>
          <t xml:space="preserve">date dropping to high watch</t>
        </r>
      </text>
    </comment>
    <comment ref="BV118" authorId="0">
      <text>
        <r>
          <rPr>
            <sz val="10"/>
            <rFont val="Arial"/>
            <family val="2"/>
          </rPr>
          <t xml:space="preserve">Christian Barger:
</t>
        </r>
        <r>
          <rPr>
            <sz val="9"/>
            <color rgb="FF000000"/>
            <rFont val="Tahoma"/>
            <family val="2"/>
            <charset val="1"/>
          </rPr>
          <t xml:space="preserve">date dropping to high normal</t>
        </r>
      </text>
    </comment>
    <comment ref="BV119" authorId="0">
      <text>
        <r>
          <rPr>
            <sz val="10"/>
            <rFont val="Arial"/>
            <family val="2"/>
          </rPr>
          <t xml:space="preserve">Christian Barger:
</t>
        </r>
        <r>
          <rPr>
            <sz val="9"/>
            <color rgb="FF000000"/>
            <rFont val="Tahoma"/>
            <family val="2"/>
            <charset val="1"/>
          </rPr>
          <t xml:space="preserve">date rishing to low watch</t>
        </r>
      </text>
    </comment>
    <comment ref="BV120" authorId="0">
      <text>
        <r>
          <rPr>
            <sz val="10"/>
            <rFont val="Arial"/>
            <family val="2"/>
          </rPr>
          <t xml:space="preserve">Christian Barger:
</t>
        </r>
        <r>
          <rPr>
            <sz val="9"/>
            <color rgb="FF000000"/>
            <rFont val="Tahoma"/>
            <family val="2"/>
            <charset val="1"/>
          </rPr>
          <t xml:space="preserve">date rising to low normal</t>
        </r>
      </text>
    </comment>
    <comment ref="BV121" authorId="0">
      <text>
        <r>
          <rPr>
            <sz val="10"/>
            <rFont val="Arial"/>
            <family val="2"/>
          </rPr>
          <t xml:space="preserve">Christian Barger:
</t>
        </r>
        <r>
          <rPr>
            <sz val="9"/>
            <color rgb="FF000000"/>
            <rFont val="Tahoma"/>
            <family val="2"/>
            <charset val="1"/>
          </rPr>
          <t xml:space="preserve">date rising to high watch</t>
        </r>
      </text>
    </comment>
    <comment ref="BV122" authorId="0">
      <text>
        <r>
          <rPr>
            <sz val="10"/>
            <rFont val="Arial"/>
            <family val="2"/>
          </rPr>
          <t xml:space="preserve">Christian Barger:
</t>
        </r>
        <r>
          <rPr>
            <sz val="9"/>
            <color rgb="FF000000"/>
            <rFont val="Tahoma"/>
            <family val="2"/>
            <charset val="1"/>
          </rPr>
          <t xml:space="preserve">date rising to high action</t>
        </r>
      </text>
    </comment>
    <comment ref="BV123" authorId="0">
      <text>
        <r>
          <rPr>
            <sz val="10"/>
            <rFont val="Arial"/>
            <family val="2"/>
          </rPr>
          <t xml:space="preserve">Christian Barger:
</t>
        </r>
        <r>
          <rPr>
            <sz val="9"/>
            <color rgb="FF000000"/>
            <rFont val="Tahoma"/>
            <family val="2"/>
            <charset val="1"/>
          </rPr>
          <t xml:space="preserve">date falling to low watch</t>
        </r>
      </text>
    </comment>
    <comment ref="BV124" authorId="0">
      <text>
        <r>
          <rPr>
            <sz val="10"/>
            <rFont val="Arial"/>
            <family val="2"/>
          </rPr>
          <t xml:space="preserve">Christian Barger:
</t>
        </r>
        <r>
          <rPr>
            <sz val="9"/>
            <color rgb="FF000000"/>
            <rFont val="Tahoma"/>
            <family val="2"/>
            <charset val="1"/>
          </rPr>
          <t xml:space="preserve">date falling to low action</t>
        </r>
      </text>
    </comment>
    <comment ref="BX88" authorId="0">
      <text>
        <r>
          <rPr>
            <sz val="10"/>
            <rFont val="Arial"/>
            <family val="2"/>
          </rPr>
          <t xml:space="preserve">Christian Barger:
</t>
        </r>
        <r>
          <rPr>
            <sz val="9"/>
            <color rgb="FF000000"/>
            <rFont val="Tahoma"/>
            <family val="2"/>
            <charset val="1"/>
          </rPr>
          <t xml:space="preserve">date dropping to high watch</t>
        </r>
      </text>
    </comment>
    <comment ref="BX89" authorId="0">
      <text>
        <r>
          <rPr>
            <sz val="10"/>
            <rFont val="Arial"/>
            <family val="2"/>
          </rPr>
          <t xml:space="preserve">Christian Barger:
</t>
        </r>
        <r>
          <rPr>
            <sz val="9"/>
            <color rgb="FF000000"/>
            <rFont val="Tahoma"/>
            <family val="2"/>
            <charset val="1"/>
          </rPr>
          <t xml:space="preserve">date dropping to high normal</t>
        </r>
      </text>
    </comment>
    <comment ref="BX90" authorId="0">
      <text>
        <r>
          <rPr>
            <sz val="10"/>
            <rFont val="Arial"/>
            <family val="2"/>
          </rPr>
          <t xml:space="preserve">Christian Barger:
</t>
        </r>
        <r>
          <rPr>
            <sz val="9"/>
            <color rgb="FF000000"/>
            <rFont val="Tahoma"/>
            <family val="2"/>
            <charset val="1"/>
          </rPr>
          <t xml:space="preserve">date rishing to low watch</t>
        </r>
      </text>
    </comment>
    <comment ref="BX91" authorId="0">
      <text>
        <r>
          <rPr>
            <sz val="10"/>
            <rFont val="Arial"/>
            <family val="2"/>
          </rPr>
          <t xml:space="preserve">Christian Barger:
</t>
        </r>
        <r>
          <rPr>
            <sz val="9"/>
            <color rgb="FF000000"/>
            <rFont val="Tahoma"/>
            <family val="2"/>
            <charset val="1"/>
          </rPr>
          <t xml:space="preserve">date rising to low normal</t>
        </r>
      </text>
    </comment>
    <comment ref="BX92" authorId="0">
      <text>
        <r>
          <rPr>
            <sz val="10"/>
            <rFont val="Arial"/>
            <family val="2"/>
          </rPr>
          <t xml:space="preserve">Christian Barger:
</t>
        </r>
        <r>
          <rPr>
            <sz val="9"/>
            <color rgb="FF000000"/>
            <rFont val="Tahoma"/>
            <family val="2"/>
            <charset val="1"/>
          </rPr>
          <t xml:space="preserve">date rising to high watch</t>
        </r>
      </text>
    </comment>
    <comment ref="BX93" authorId="0">
      <text>
        <r>
          <rPr>
            <sz val="10"/>
            <rFont val="Arial"/>
            <family val="2"/>
          </rPr>
          <t xml:space="preserve">Christian Barger:
</t>
        </r>
        <r>
          <rPr>
            <sz val="9"/>
            <color rgb="FF000000"/>
            <rFont val="Tahoma"/>
            <family val="2"/>
            <charset val="1"/>
          </rPr>
          <t xml:space="preserve">date rising to high action</t>
        </r>
      </text>
    </comment>
    <comment ref="BX94" authorId="0">
      <text>
        <r>
          <rPr>
            <sz val="10"/>
            <rFont val="Arial"/>
            <family val="2"/>
          </rPr>
          <t xml:space="preserve">Christian Barger:
</t>
        </r>
        <r>
          <rPr>
            <sz val="9"/>
            <color rgb="FF000000"/>
            <rFont val="Tahoma"/>
            <family val="2"/>
            <charset val="1"/>
          </rPr>
          <t xml:space="preserve">date falling to low watch</t>
        </r>
      </text>
    </comment>
    <comment ref="BX95" authorId="0">
      <text>
        <r>
          <rPr>
            <sz val="10"/>
            <rFont val="Arial"/>
            <family val="2"/>
          </rPr>
          <t xml:space="preserve">Christian Barger:
</t>
        </r>
        <r>
          <rPr>
            <sz val="9"/>
            <color rgb="FF000000"/>
            <rFont val="Tahoma"/>
            <family val="2"/>
            <charset val="1"/>
          </rPr>
          <t xml:space="preserve">date falling to low action</t>
        </r>
      </text>
    </comment>
    <comment ref="BZ117" authorId="0">
      <text>
        <r>
          <rPr>
            <sz val="10"/>
            <rFont val="Arial"/>
            <family val="2"/>
          </rPr>
          <t xml:space="preserve">Christian Barger:
</t>
        </r>
        <r>
          <rPr>
            <sz val="9"/>
            <color rgb="FF000000"/>
            <rFont val="Tahoma"/>
            <family val="2"/>
            <charset val="1"/>
          </rPr>
          <t xml:space="preserve">date dropping to high watch</t>
        </r>
      </text>
    </comment>
    <comment ref="BZ118" authorId="0">
      <text>
        <r>
          <rPr>
            <sz val="10"/>
            <rFont val="Arial"/>
            <family val="2"/>
          </rPr>
          <t xml:space="preserve">Christian Barger:
</t>
        </r>
        <r>
          <rPr>
            <sz val="9"/>
            <color rgb="FF000000"/>
            <rFont val="Tahoma"/>
            <family val="2"/>
            <charset val="1"/>
          </rPr>
          <t xml:space="preserve">date dropping to high normal</t>
        </r>
      </text>
    </comment>
    <comment ref="BZ119" authorId="0">
      <text>
        <r>
          <rPr>
            <sz val="10"/>
            <rFont val="Arial"/>
            <family val="2"/>
          </rPr>
          <t xml:space="preserve">Christian Barger:
</t>
        </r>
        <r>
          <rPr>
            <sz val="9"/>
            <color rgb="FF000000"/>
            <rFont val="Tahoma"/>
            <family val="2"/>
            <charset val="1"/>
          </rPr>
          <t xml:space="preserve">date rishing to low watch</t>
        </r>
      </text>
    </comment>
    <comment ref="BZ120" authorId="0">
      <text>
        <r>
          <rPr>
            <sz val="10"/>
            <rFont val="Arial"/>
            <family val="2"/>
          </rPr>
          <t xml:space="preserve">Christian Barger:
</t>
        </r>
        <r>
          <rPr>
            <sz val="9"/>
            <color rgb="FF000000"/>
            <rFont val="Tahoma"/>
            <family val="2"/>
            <charset val="1"/>
          </rPr>
          <t xml:space="preserve">date rising to low normal</t>
        </r>
      </text>
    </comment>
    <comment ref="BZ121" authorId="0">
      <text>
        <r>
          <rPr>
            <sz val="10"/>
            <rFont val="Arial"/>
            <family val="2"/>
          </rPr>
          <t xml:space="preserve">Christian Barger:
</t>
        </r>
        <r>
          <rPr>
            <sz val="9"/>
            <color rgb="FF000000"/>
            <rFont val="Tahoma"/>
            <family val="2"/>
            <charset val="1"/>
          </rPr>
          <t xml:space="preserve">date rising to high watch</t>
        </r>
      </text>
    </comment>
    <comment ref="BZ122" authorId="0">
      <text>
        <r>
          <rPr>
            <sz val="10"/>
            <rFont val="Arial"/>
            <family val="2"/>
          </rPr>
          <t xml:space="preserve">Christian Barger:
</t>
        </r>
        <r>
          <rPr>
            <sz val="9"/>
            <color rgb="FF000000"/>
            <rFont val="Tahoma"/>
            <family val="2"/>
            <charset val="1"/>
          </rPr>
          <t xml:space="preserve">date rising to high action</t>
        </r>
      </text>
    </comment>
    <comment ref="BZ123" authorId="0">
      <text>
        <r>
          <rPr>
            <sz val="10"/>
            <rFont val="Arial"/>
            <family val="2"/>
          </rPr>
          <t xml:space="preserve">Christian Barger:
</t>
        </r>
        <r>
          <rPr>
            <sz val="9"/>
            <color rgb="FF000000"/>
            <rFont val="Tahoma"/>
            <family val="2"/>
            <charset val="1"/>
          </rPr>
          <t xml:space="preserve">date falling to low watch</t>
        </r>
      </text>
    </comment>
    <comment ref="BZ124" authorId="0">
      <text>
        <r>
          <rPr>
            <sz val="10"/>
            <rFont val="Arial"/>
            <family val="2"/>
          </rPr>
          <t xml:space="preserve">Christian Barger:
</t>
        </r>
        <r>
          <rPr>
            <sz val="9"/>
            <color rgb="FF000000"/>
            <rFont val="Tahoma"/>
            <family val="2"/>
            <charset val="1"/>
          </rPr>
          <t xml:space="preserve">date falling to low action</t>
        </r>
      </text>
    </comment>
    <comment ref="CB117" authorId="0">
      <text>
        <r>
          <rPr>
            <sz val="10"/>
            <rFont val="Arial"/>
            <family val="2"/>
          </rPr>
          <t xml:space="preserve">Christian Barger:
</t>
        </r>
        <r>
          <rPr>
            <sz val="9"/>
            <color rgb="FF000000"/>
            <rFont val="Tahoma"/>
            <family val="2"/>
            <charset val="1"/>
          </rPr>
          <t xml:space="preserve">date dropping to high watch</t>
        </r>
      </text>
    </comment>
    <comment ref="CB118" authorId="0">
      <text>
        <r>
          <rPr>
            <sz val="10"/>
            <rFont val="Arial"/>
            <family val="2"/>
          </rPr>
          <t xml:space="preserve">Christian Barger:
</t>
        </r>
        <r>
          <rPr>
            <sz val="9"/>
            <color rgb="FF000000"/>
            <rFont val="Tahoma"/>
            <family val="2"/>
            <charset val="1"/>
          </rPr>
          <t xml:space="preserve">date dropping to high normal</t>
        </r>
      </text>
    </comment>
    <comment ref="CB119" authorId="0">
      <text>
        <r>
          <rPr>
            <sz val="10"/>
            <rFont val="Arial"/>
            <family val="2"/>
          </rPr>
          <t xml:space="preserve">Christian Barger:
</t>
        </r>
        <r>
          <rPr>
            <sz val="9"/>
            <color rgb="FF000000"/>
            <rFont val="Tahoma"/>
            <family val="2"/>
            <charset val="1"/>
          </rPr>
          <t xml:space="preserve">date rishing to low watch</t>
        </r>
      </text>
    </comment>
    <comment ref="CB120" authorId="0">
      <text>
        <r>
          <rPr>
            <sz val="10"/>
            <rFont val="Arial"/>
            <family val="2"/>
          </rPr>
          <t xml:space="preserve">Christian Barger:
</t>
        </r>
        <r>
          <rPr>
            <sz val="9"/>
            <color rgb="FF000000"/>
            <rFont val="Tahoma"/>
            <family val="2"/>
            <charset val="1"/>
          </rPr>
          <t xml:space="preserve">date rising to low normal</t>
        </r>
      </text>
    </comment>
    <comment ref="CB121" authorId="0">
      <text>
        <r>
          <rPr>
            <sz val="10"/>
            <rFont val="Arial"/>
            <family val="2"/>
          </rPr>
          <t xml:space="preserve">Christian Barger:
</t>
        </r>
        <r>
          <rPr>
            <sz val="9"/>
            <color rgb="FF000000"/>
            <rFont val="Tahoma"/>
            <family val="2"/>
            <charset val="1"/>
          </rPr>
          <t xml:space="preserve">date rising to high watch</t>
        </r>
      </text>
    </comment>
    <comment ref="CB122" authorId="0">
      <text>
        <r>
          <rPr>
            <sz val="10"/>
            <rFont val="Arial"/>
            <family val="2"/>
          </rPr>
          <t xml:space="preserve">Christian Barger:
</t>
        </r>
        <r>
          <rPr>
            <sz val="9"/>
            <color rgb="FF000000"/>
            <rFont val="Tahoma"/>
            <family val="2"/>
            <charset val="1"/>
          </rPr>
          <t xml:space="preserve">date rising to high action</t>
        </r>
      </text>
    </comment>
    <comment ref="CB123" authorId="0">
      <text>
        <r>
          <rPr>
            <sz val="10"/>
            <rFont val="Arial"/>
            <family val="2"/>
          </rPr>
          <t xml:space="preserve">Christian Barger:
</t>
        </r>
        <r>
          <rPr>
            <sz val="9"/>
            <color rgb="FF000000"/>
            <rFont val="Tahoma"/>
            <family val="2"/>
            <charset val="1"/>
          </rPr>
          <t xml:space="preserve">date falling to low watch</t>
        </r>
      </text>
    </comment>
    <comment ref="CB124" authorId="0">
      <text>
        <r>
          <rPr>
            <sz val="10"/>
            <rFont val="Arial"/>
            <family val="2"/>
          </rPr>
          <t xml:space="preserve">Christian Barger:
</t>
        </r>
        <r>
          <rPr>
            <sz val="9"/>
            <color rgb="FF000000"/>
            <rFont val="Tahoma"/>
            <family val="2"/>
            <charset val="1"/>
          </rPr>
          <t xml:space="preserve">date falling to low action</t>
        </r>
      </text>
    </comment>
    <comment ref="CD88" authorId="0">
      <text>
        <r>
          <rPr>
            <sz val="10"/>
            <rFont val="Arial"/>
            <family val="2"/>
          </rPr>
          <t xml:space="preserve">Christian Barger:
</t>
        </r>
        <r>
          <rPr>
            <sz val="9"/>
            <color rgb="FF000000"/>
            <rFont val="Tahoma"/>
            <family val="2"/>
            <charset val="1"/>
          </rPr>
          <t xml:space="preserve">date dropping to high watch</t>
        </r>
      </text>
    </comment>
    <comment ref="CD89" authorId="0">
      <text>
        <r>
          <rPr>
            <sz val="10"/>
            <rFont val="Arial"/>
            <family val="2"/>
          </rPr>
          <t xml:space="preserve">Christian Barger:
</t>
        </r>
        <r>
          <rPr>
            <sz val="9"/>
            <color rgb="FF000000"/>
            <rFont val="Tahoma"/>
            <family val="2"/>
            <charset val="1"/>
          </rPr>
          <t xml:space="preserve">date dropping to high normal</t>
        </r>
      </text>
    </comment>
    <comment ref="CD90" authorId="0">
      <text>
        <r>
          <rPr>
            <sz val="10"/>
            <rFont val="Arial"/>
            <family val="2"/>
          </rPr>
          <t xml:space="preserve">Christian Barger:
</t>
        </r>
        <r>
          <rPr>
            <sz val="9"/>
            <color rgb="FF000000"/>
            <rFont val="Tahoma"/>
            <family val="2"/>
            <charset val="1"/>
          </rPr>
          <t xml:space="preserve">date rishing to low watch</t>
        </r>
      </text>
    </comment>
    <comment ref="CD91" authorId="0">
      <text>
        <r>
          <rPr>
            <sz val="10"/>
            <rFont val="Arial"/>
            <family val="2"/>
          </rPr>
          <t xml:space="preserve">Christian Barger:
</t>
        </r>
        <r>
          <rPr>
            <sz val="9"/>
            <color rgb="FF000000"/>
            <rFont val="Tahoma"/>
            <family val="2"/>
            <charset val="1"/>
          </rPr>
          <t xml:space="preserve">date rising to low normal</t>
        </r>
      </text>
    </comment>
    <comment ref="CD92" authorId="0">
      <text>
        <r>
          <rPr>
            <sz val="10"/>
            <rFont val="Arial"/>
            <family val="2"/>
          </rPr>
          <t xml:space="preserve">Christian Barger:
</t>
        </r>
        <r>
          <rPr>
            <sz val="9"/>
            <color rgb="FF000000"/>
            <rFont val="Tahoma"/>
            <family val="2"/>
            <charset val="1"/>
          </rPr>
          <t xml:space="preserve">date rising to high watch</t>
        </r>
      </text>
    </comment>
    <comment ref="CD93" authorId="0">
      <text>
        <r>
          <rPr>
            <sz val="10"/>
            <rFont val="Arial"/>
            <family val="2"/>
          </rPr>
          <t xml:space="preserve">Christian Barger:
</t>
        </r>
        <r>
          <rPr>
            <sz val="9"/>
            <color rgb="FF000000"/>
            <rFont val="Tahoma"/>
            <family val="2"/>
            <charset val="1"/>
          </rPr>
          <t xml:space="preserve">date rising to high action</t>
        </r>
      </text>
    </comment>
    <comment ref="CD94" authorId="0">
      <text>
        <r>
          <rPr>
            <sz val="10"/>
            <rFont val="Arial"/>
            <family val="2"/>
          </rPr>
          <t xml:space="preserve">Christian Barger:
</t>
        </r>
        <r>
          <rPr>
            <sz val="9"/>
            <color rgb="FF000000"/>
            <rFont val="Tahoma"/>
            <family val="2"/>
            <charset val="1"/>
          </rPr>
          <t xml:space="preserve">date falling to low watch</t>
        </r>
      </text>
    </comment>
    <comment ref="CD95" authorId="0">
      <text>
        <r>
          <rPr>
            <sz val="10"/>
            <rFont val="Arial"/>
            <family val="2"/>
          </rPr>
          <t xml:space="preserve">Christian Barger:
</t>
        </r>
        <r>
          <rPr>
            <sz val="9"/>
            <color rgb="FF000000"/>
            <rFont val="Tahoma"/>
            <family val="2"/>
            <charset val="1"/>
          </rPr>
          <t xml:space="preserve">date falling to low action</t>
        </r>
      </text>
    </comment>
    <comment ref="CF117" authorId="0">
      <text>
        <r>
          <rPr>
            <sz val="10"/>
            <rFont val="Arial"/>
            <family val="2"/>
          </rPr>
          <t xml:space="preserve">Christian Barger:
</t>
        </r>
        <r>
          <rPr>
            <sz val="9"/>
            <color rgb="FF000000"/>
            <rFont val="Tahoma"/>
            <family val="2"/>
            <charset val="1"/>
          </rPr>
          <t xml:space="preserve">date dropping to high watch</t>
        </r>
      </text>
    </comment>
    <comment ref="CF118" authorId="0">
      <text>
        <r>
          <rPr>
            <sz val="10"/>
            <rFont val="Arial"/>
            <family val="2"/>
          </rPr>
          <t xml:space="preserve">Christian Barger:
</t>
        </r>
        <r>
          <rPr>
            <sz val="9"/>
            <color rgb="FF000000"/>
            <rFont val="Tahoma"/>
            <family val="2"/>
            <charset val="1"/>
          </rPr>
          <t xml:space="preserve">date dropping to high normal</t>
        </r>
      </text>
    </comment>
    <comment ref="CF119" authorId="0">
      <text>
        <r>
          <rPr>
            <sz val="10"/>
            <rFont val="Arial"/>
            <family val="2"/>
          </rPr>
          <t xml:space="preserve">Christian Barger:
</t>
        </r>
        <r>
          <rPr>
            <sz val="9"/>
            <color rgb="FF000000"/>
            <rFont val="Tahoma"/>
            <family val="2"/>
            <charset val="1"/>
          </rPr>
          <t xml:space="preserve">date rishing to low watch</t>
        </r>
      </text>
    </comment>
    <comment ref="CF120" authorId="0">
      <text>
        <r>
          <rPr>
            <sz val="10"/>
            <rFont val="Arial"/>
            <family val="2"/>
          </rPr>
          <t xml:space="preserve">Christian Barger:
</t>
        </r>
        <r>
          <rPr>
            <sz val="9"/>
            <color rgb="FF000000"/>
            <rFont val="Tahoma"/>
            <family val="2"/>
            <charset val="1"/>
          </rPr>
          <t xml:space="preserve">date rising to low normal</t>
        </r>
      </text>
    </comment>
    <comment ref="CF121" authorId="0">
      <text>
        <r>
          <rPr>
            <sz val="10"/>
            <rFont val="Arial"/>
            <family val="2"/>
          </rPr>
          <t xml:space="preserve">Christian Barger:
</t>
        </r>
        <r>
          <rPr>
            <sz val="9"/>
            <color rgb="FF000000"/>
            <rFont val="Tahoma"/>
            <family val="2"/>
            <charset val="1"/>
          </rPr>
          <t xml:space="preserve">date rising to high watch</t>
        </r>
      </text>
    </comment>
    <comment ref="CF122" authorId="0">
      <text>
        <r>
          <rPr>
            <sz val="10"/>
            <rFont val="Arial"/>
            <family val="2"/>
          </rPr>
          <t xml:space="preserve">Christian Barger:
</t>
        </r>
        <r>
          <rPr>
            <sz val="9"/>
            <color rgb="FF000000"/>
            <rFont val="Tahoma"/>
            <family val="2"/>
            <charset val="1"/>
          </rPr>
          <t xml:space="preserve">date rising to high action</t>
        </r>
      </text>
    </comment>
    <comment ref="CF123" authorId="0">
      <text>
        <r>
          <rPr>
            <sz val="10"/>
            <rFont val="Arial"/>
            <family val="2"/>
          </rPr>
          <t xml:space="preserve">Christian Barger:
</t>
        </r>
        <r>
          <rPr>
            <sz val="9"/>
            <color rgb="FF000000"/>
            <rFont val="Tahoma"/>
            <family val="2"/>
            <charset val="1"/>
          </rPr>
          <t xml:space="preserve">date falling to low watch</t>
        </r>
      </text>
    </comment>
    <comment ref="CF124" authorId="0">
      <text>
        <r>
          <rPr>
            <sz val="10"/>
            <rFont val="Arial"/>
            <family val="2"/>
          </rPr>
          <t xml:space="preserve">Christian Barger:
</t>
        </r>
        <r>
          <rPr>
            <sz val="9"/>
            <color rgb="FF000000"/>
            <rFont val="Tahoma"/>
            <family val="2"/>
            <charset val="1"/>
          </rPr>
          <t xml:space="preserve">date falling to low action</t>
        </r>
      </text>
    </comment>
    <comment ref="CH117" authorId="0">
      <text>
        <r>
          <rPr>
            <sz val="10"/>
            <rFont val="Arial"/>
            <family val="2"/>
          </rPr>
          <t xml:space="preserve">Christian Barger:
</t>
        </r>
        <r>
          <rPr>
            <sz val="9"/>
            <color rgb="FF000000"/>
            <rFont val="Tahoma"/>
            <family val="2"/>
            <charset val="1"/>
          </rPr>
          <t xml:space="preserve">date dropping to high watch</t>
        </r>
      </text>
    </comment>
    <comment ref="CH118" authorId="0">
      <text>
        <r>
          <rPr>
            <sz val="10"/>
            <rFont val="Arial"/>
            <family val="2"/>
          </rPr>
          <t xml:space="preserve">Christian Barger:
</t>
        </r>
        <r>
          <rPr>
            <sz val="9"/>
            <color rgb="FF000000"/>
            <rFont val="Tahoma"/>
            <family val="2"/>
            <charset val="1"/>
          </rPr>
          <t xml:space="preserve">date dropping to high normal</t>
        </r>
      </text>
    </comment>
    <comment ref="CH119" authorId="0">
      <text>
        <r>
          <rPr>
            <sz val="10"/>
            <rFont val="Arial"/>
            <family val="2"/>
          </rPr>
          <t xml:space="preserve">Christian Barger:
</t>
        </r>
        <r>
          <rPr>
            <sz val="9"/>
            <color rgb="FF000000"/>
            <rFont val="Tahoma"/>
            <family val="2"/>
            <charset val="1"/>
          </rPr>
          <t xml:space="preserve">date rishing to low watch</t>
        </r>
      </text>
    </comment>
    <comment ref="CH120" authorId="0">
      <text>
        <r>
          <rPr>
            <sz val="10"/>
            <rFont val="Arial"/>
            <family val="2"/>
          </rPr>
          <t xml:space="preserve">Christian Barger:
</t>
        </r>
        <r>
          <rPr>
            <sz val="9"/>
            <color rgb="FF000000"/>
            <rFont val="Tahoma"/>
            <family val="2"/>
            <charset val="1"/>
          </rPr>
          <t xml:space="preserve">date rising to low normal</t>
        </r>
      </text>
    </comment>
    <comment ref="CH121" authorId="0">
      <text>
        <r>
          <rPr>
            <sz val="10"/>
            <rFont val="Arial"/>
            <family val="2"/>
          </rPr>
          <t xml:space="preserve">Christian Barger:
</t>
        </r>
        <r>
          <rPr>
            <sz val="9"/>
            <color rgb="FF000000"/>
            <rFont val="Tahoma"/>
            <family val="2"/>
            <charset val="1"/>
          </rPr>
          <t xml:space="preserve">date rising to high watch</t>
        </r>
      </text>
    </comment>
    <comment ref="CH122" authorId="0">
      <text>
        <r>
          <rPr>
            <sz val="10"/>
            <rFont val="Arial"/>
            <family val="2"/>
          </rPr>
          <t xml:space="preserve">Christian Barger:
</t>
        </r>
        <r>
          <rPr>
            <sz val="9"/>
            <color rgb="FF000000"/>
            <rFont val="Tahoma"/>
            <family val="2"/>
            <charset val="1"/>
          </rPr>
          <t xml:space="preserve">date rising to high action</t>
        </r>
      </text>
    </comment>
    <comment ref="CH123" authorId="0">
      <text>
        <r>
          <rPr>
            <sz val="10"/>
            <rFont val="Arial"/>
            <family val="2"/>
          </rPr>
          <t xml:space="preserve">Christian Barger:
</t>
        </r>
        <r>
          <rPr>
            <sz val="9"/>
            <color rgb="FF000000"/>
            <rFont val="Tahoma"/>
            <family val="2"/>
            <charset val="1"/>
          </rPr>
          <t xml:space="preserve">date falling to low watch</t>
        </r>
      </text>
    </comment>
    <comment ref="CH124" authorId="0">
      <text>
        <r>
          <rPr>
            <sz val="10"/>
            <rFont val="Arial"/>
            <family val="2"/>
          </rPr>
          <t xml:space="preserve">Christian Barger:
</t>
        </r>
        <r>
          <rPr>
            <sz val="9"/>
            <color rgb="FF000000"/>
            <rFont val="Tahoma"/>
            <family val="2"/>
            <charset val="1"/>
          </rPr>
          <t xml:space="preserve">date falling to low action</t>
        </r>
      </text>
    </comment>
    <comment ref="CJ117" authorId="0">
      <text>
        <r>
          <rPr>
            <sz val="10"/>
            <rFont val="Arial"/>
            <family val="2"/>
          </rPr>
          <t xml:space="preserve">Christian Barger:
</t>
        </r>
        <r>
          <rPr>
            <sz val="9"/>
            <color rgb="FF000000"/>
            <rFont val="Tahoma"/>
            <family val="2"/>
            <charset val="1"/>
          </rPr>
          <t xml:space="preserve">date dropping to high watch</t>
        </r>
      </text>
    </comment>
    <comment ref="CJ118" authorId="0">
      <text>
        <r>
          <rPr>
            <sz val="10"/>
            <rFont val="Arial"/>
            <family val="2"/>
          </rPr>
          <t xml:space="preserve">Christian Barger:
</t>
        </r>
        <r>
          <rPr>
            <sz val="9"/>
            <color rgb="FF000000"/>
            <rFont val="Tahoma"/>
            <family val="2"/>
            <charset val="1"/>
          </rPr>
          <t xml:space="preserve">date dropping to high normal</t>
        </r>
      </text>
    </comment>
    <comment ref="CJ119" authorId="0">
      <text>
        <r>
          <rPr>
            <sz val="10"/>
            <rFont val="Arial"/>
            <family val="2"/>
          </rPr>
          <t xml:space="preserve">Christian Barger:
</t>
        </r>
        <r>
          <rPr>
            <sz val="9"/>
            <color rgb="FF000000"/>
            <rFont val="Tahoma"/>
            <family val="2"/>
            <charset val="1"/>
          </rPr>
          <t xml:space="preserve">date rishing to low watch</t>
        </r>
      </text>
    </comment>
    <comment ref="CJ120" authorId="0">
      <text>
        <r>
          <rPr>
            <sz val="10"/>
            <rFont val="Arial"/>
            <family val="2"/>
          </rPr>
          <t xml:space="preserve">Christian Barger:
</t>
        </r>
        <r>
          <rPr>
            <sz val="9"/>
            <color rgb="FF000000"/>
            <rFont val="Tahoma"/>
            <family val="2"/>
            <charset val="1"/>
          </rPr>
          <t xml:space="preserve">date rising to low normal</t>
        </r>
      </text>
    </comment>
    <comment ref="CJ121" authorId="0">
      <text>
        <r>
          <rPr>
            <sz val="10"/>
            <rFont val="Arial"/>
            <family val="2"/>
          </rPr>
          <t xml:space="preserve">Christian Barger:
</t>
        </r>
        <r>
          <rPr>
            <sz val="9"/>
            <color rgb="FF000000"/>
            <rFont val="Tahoma"/>
            <family val="2"/>
            <charset val="1"/>
          </rPr>
          <t xml:space="preserve">date rising to high watch</t>
        </r>
      </text>
    </comment>
    <comment ref="CJ122" authorId="0">
      <text>
        <r>
          <rPr>
            <sz val="10"/>
            <rFont val="Arial"/>
            <family val="2"/>
          </rPr>
          <t xml:space="preserve">Christian Barger:
</t>
        </r>
        <r>
          <rPr>
            <sz val="9"/>
            <color rgb="FF000000"/>
            <rFont val="Tahoma"/>
            <family val="2"/>
            <charset val="1"/>
          </rPr>
          <t xml:space="preserve">date rising to high action</t>
        </r>
      </text>
    </comment>
    <comment ref="CJ123" authorId="0">
      <text>
        <r>
          <rPr>
            <sz val="10"/>
            <rFont val="Arial"/>
            <family val="2"/>
          </rPr>
          <t xml:space="preserve">Christian Barger:
</t>
        </r>
        <r>
          <rPr>
            <sz val="9"/>
            <color rgb="FF000000"/>
            <rFont val="Tahoma"/>
            <family val="2"/>
            <charset val="1"/>
          </rPr>
          <t xml:space="preserve">date falling to low watch</t>
        </r>
      </text>
    </comment>
    <comment ref="CJ124" authorId="0">
      <text>
        <r>
          <rPr>
            <sz val="10"/>
            <rFont val="Arial"/>
            <family val="2"/>
          </rPr>
          <t xml:space="preserve">Christian Barger:
</t>
        </r>
        <r>
          <rPr>
            <sz val="9"/>
            <color rgb="FF000000"/>
            <rFont val="Tahoma"/>
            <family val="2"/>
            <charset val="1"/>
          </rPr>
          <t xml:space="preserve">date falling to low action</t>
        </r>
      </text>
    </comment>
    <comment ref="CL117" authorId="0">
      <text>
        <r>
          <rPr>
            <sz val="10"/>
            <rFont val="Arial"/>
            <family val="2"/>
          </rPr>
          <t xml:space="preserve">Christian Barger:
</t>
        </r>
        <r>
          <rPr>
            <sz val="9"/>
            <color rgb="FF000000"/>
            <rFont val="Tahoma"/>
            <family val="2"/>
            <charset val="1"/>
          </rPr>
          <t xml:space="preserve">date dropping to high watch</t>
        </r>
      </text>
    </comment>
    <comment ref="CL118" authorId="0">
      <text>
        <r>
          <rPr>
            <sz val="10"/>
            <rFont val="Arial"/>
            <family val="2"/>
          </rPr>
          <t xml:space="preserve">Christian Barger:
</t>
        </r>
        <r>
          <rPr>
            <sz val="9"/>
            <color rgb="FF000000"/>
            <rFont val="Tahoma"/>
            <family val="2"/>
            <charset val="1"/>
          </rPr>
          <t xml:space="preserve">date dropping to high normal</t>
        </r>
      </text>
    </comment>
    <comment ref="CL119" authorId="0">
      <text>
        <r>
          <rPr>
            <sz val="10"/>
            <rFont val="Arial"/>
            <family val="2"/>
          </rPr>
          <t xml:space="preserve">Christian Barger:
</t>
        </r>
        <r>
          <rPr>
            <sz val="9"/>
            <color rgb="FF000000"/>
            <rFont val="Tahoma"/>
            <family val="2"/>
            <charset val="1"/>
          </rPr>
          <t xml:space="preserve">date rishing to low watch</t>
        </r>
      </text>
    </comment>
    <comment ref="CL120" authorId="0">
      <text>
        <r>
          <rPr>
            <sz val="10"/>
            <rFont val="Arial"/>
            <family val="2"/>
          </rPr>
          <t xml:space="preserve">Christian Barger:
</t>
        </r>
        <r>
          <rPr>
            <sz val="9"/>
            <color rgb="FF000000"/>
            <rFont val="Tahoma"/>
            <family val="2"/>
            <charset val="1"/>
          </rPr>
          <t xml:space="preserve">date rising to low normal</t>
        </r>
      </text>
    </comment>
    <comment ref="CL121" authorId="0">
      <text>
        <r>
          <rPr>
            <sz val="10"/>
            <rFont val="Arial"/>
            <family val="2"/>
          </rPr>
          <t xml:space="preserve">Christian Barger:
</t>
        </r>
        <r>
          <rPr>
            <sz val="9"/>
            <color rgb="FF000000"/>
            <rFont val="Tahoma"/>
            <family val="2"/>
            <charset val="1"/>
          </rPr>
          <t xml:space="preserve">date rising to high watch</t>
        </r>
      </text>
    </comment>
    <comment ref="CL122" authorId="0">
      <text>
        <r>
          <rPr>
            <sz val="10"/>
            <rFont val="Arial"/>
            <family val="2"/>
          </rPr>
          <t xml:space="preserve">Christian Barger:
</t>
        </r>
        <r>
          <rPr>
            <sz val="9"/>
            <color rgb="FF000000"/>
            <rFont val="Tahoma"/>
            <family val="2"/>
            <charset val="1"/>
          </rPr>
          <t xml:space="preserve">date rising to high action</t>
        </r>
      </text>
    </comment>
    <comment ref="CL123" authorId="0">
      <text>
        <r>
          <rPr>
            <sz val="10"/>
            <rFont val="Arial"/>
            <family val="2"/>
          </rPr>
          <t xml:space="preserve">Christian Barger:
</t>
        </r>
        <r>
          <rPr>
            <sz val="9"/>
            <color rgb="FF000000"/>
            <rFont val="Tahoma"/>
            <family val="2"/>
            <charset val="1"/>
          </rPr>
          <t xml:space="preserve">date falling to low watch</t>
        </r>
      </text>
    </comment>
    <comment ref="CL124" authorId="0">
      <text>
        <r>
          <rPr>
            <sz val="10"/>
            <rFont val="Arial"/>
            <family val="2"/>
          </rPr>
          <t xml:space="preserve">Christian Barger:
</t>
        </r>
        <r>
          <rPr>
            <sz val="9"/>
            <color rgb="FF000000"/>
            <rFont val="Tahoma"/>
            <family val="2"/>
            <charset val="1"/>
          </rPr>
          <t xml:space="preserve">date falling to low action</t>
        </r>
      </text>
    </comment>
    <comment ref="CN117" authorId="0">
      <text>
        <r>
          <rPr>
            <sz val="10"/>
            <rFont val="Arial"/>
            <family val="2"/>
          </rPr>
          <t xml:space="preserve">Christian Barger:
</t>
        </r>
        <r>
          <rPr>
            <sz val="9"/>
            <color rgb="FF000000"/>
            <rFont val="Tahoma"/>
            <family val="2"/>
            <charset val="1"/>
          </rPr>
          <t xml:space="preserve">date dropping to high watch</t>
        </r>
      </text>
    </comment>
    <comment ref="CN118" authorId="0">
      <text>
        <r>
          <rPr>
            <sz val="10"/>
            <rFont val="Arial"/>
            <family val="2"/>
          </rPr>
          <t xml:space="preserve">Christian Barger:
</t>
        </r>
        <r>
          <rPr>
            <sz val="9"/>
            <color rgb="FF000000"/>
            <rFont val="Tahoma"/>
            <family val="2"/>
            <charset val="1"/>
          </rPr>
          <t xml:space="preserve">date dropping to high normal</t>
        </r>
      </text>
    </comment>
    <comment ref="CN119" authorId="0">
      <text>
        <r>
          <rPr>
            <sz val="10"/>
            <rFont val="Arial"/>
            <family val="2"/>
          </rPr>
          <t xml:space="preserve">Christian Barger:
</t>
        </r>
        <r>
          <rPr>
            <sz val="9"/>
            <color rgb="FF000000"/>
            <rFont val="Tahoma"/>
            <family val="2"/>
            <charset val="1"/>
          </rPr>
          <t xml:space="preserve">date rishing to low watch</t>
        </r>
      </text>
    </comment>
    <comment ref="CN120" authorId="0">
      <text>
        <r>
          <rPr>
            <sz val="10"/>
            <rFont val="Arial"/>
            <family val="2"/>
          </rPr>
          <t xml:space="preserve">Christian Barger:
</t>
        </r>
        <r>
          <rPr>
            <sz val="9"/>
            <color rgb="FF000000"/>
            <rFont val="Tahoma"/>
            <family val="2"/>
            <charset val="1"/>
          </rPr>
          <t xml:space="preserve">date rising to low normal</t>
        </r>
      </text>
    </comment>
    <comment ref="CN121" authorId="0">
      <text>
        <r>
          <rPr>
            <sz val="10"/>
            <rFont val="Arial"/>
            <family val="2"/>
          </rPr>
          <t xml:space="preserve">Christian Barger:
</t>
        </r>
        <r>
          <rPr>
            <sz val="9"/>
            <color rgb="FF000000"/>
            <rFont val="Tahoma"/>
            <family val="2"/>
            <charset val="1"/>
          </rPr>
          <t xml:space="preserve">date rising to high watch</t>
        </r>
      </text>
    </comment>
    <comment ref="CN122" authorId="0">
      <text>
        <r>
          <rPr>
            <sz val="10"/>
            <rFont val="Arial"/>
            <family val="2"/>
          </rPr>
          <t xml:space="preserve">Christian Barger:
</t>
        </r>
        <r>
          <rPr>
            <sz val="9"/>
            <color rgb="FF000000"/>
            <rFont val="Tahoma"/>
            <family val="2"/>
            <charset val="1"/>
          </rPr>
          <t xml:space="preserve">date rising to high action</t>
        </r>
      </text>
    </comment>
    <comment ref="CN123" authorId="0">
      <text>
        <r>
          <rPr>
            <sz val="10"/>
            <rFont val="Arial"/>
            <family val="2"/>
          </rPr>
          <t xml:space="preserve">Christian Barger:
</t>
        </r>
        <r>
          <rPr>
            <sz val="9"/>
            <color rgb="FF000000"/>
            <rFont val="Tahoma"/>
            <family val="2"/>
            <charset val="1"/>
          </rPr>
          <t xml:space="preserve">date falling to low watch</t>
        </r>
      </text>
    </comment>
    <comment ref="CN124" authorId="0">
      <text>
        <r>
          <rPr>
            <sz val="10"/>
            <rFont val="Arial"/>
            <family val="2"/>
          </rPr>
          <t xml:space="preserve">Christian Barger:
</t>
        </r>
        <r>
          <rPr>
            <sz val="9"/>
            <color rgb="FF000000"/>
            <rFont val="Tahoma"/>
            <family val="2"/>
            <charset val="1"/>
          </rPr>
          <t xml:space="preserve">date falling to low action</t>
        </r>
      </text>
    </comment>
    <comment ref="CP117" authorId="0">
      <text>
        <r>
          <rPr>
            <sz val="10"/>
            <rFont val="Arial"/>
            <family val="2"/>
          </rPr>
          <t xml:space="preserve">Christian Barger:
</t>
        </r>
        <r>
          <rPr>
            <sz val="9"/>
            <color rgb="FF000000"/>
            <rFont val="Tahoma"/>
            <family val="2"/>
            <charset val="1"/>
          </rPr>
          <t xml:space="preserve">date dropping to high watch</t>
        </r>
      </text>
    </comment>
    <comment ref="CP118" authorId="0">
      <text>
        <r>
          <rPr>
            <sz val="10"/>
            <rFont val="Arial"/>
            <family val="2"/>
          </rPr>
          <t xml:space="preserve">Christian Barger:
</t>
        </r>
        <r>
          <rPr>
            <sz val="9"/>
            <color rgb="FF000000"/>
            <rFont val="Tahoma"/>
            <family val="2"/>
            <charset val="1"/>
          </rPr>
          <t xml:space="preserve">date dropping to high normal</t>
        </r>
      </text>
    </comment>
    <comment ref="CP119" authorId="0">
      <text>
        <r>
          <rPr>
            <sz val="10"/>
            <rFont val="Arial"/>
            <family val="2"/>
          </rPr>
          <t xml:space="preserve">Christian Barger:
</t>
        </r>
        <r>
          <rPr>
            <sz val="9"/>
            <color rgb="FF000000"/>
            <rFont val="Tahoma"/>
            <family val="2"/>
            <charset val="1"/>
          </rPr>
          <t xml:space="preserve">date rishing to low watch</t>
        </r>
      </text>
    </comment>
    <comment ref="CP120" authorId="0">
      <text>
        <r>
          <rPr>
            <sz val="10"/>
            <rFont val="Arial"/>
            <family val="2"/>
          </rPr>
          <t xml:space="preserve">Christian Barger:
</t>
        </r>
        <r>
          <rPr>
            <sz val="9"/>
            <color rgb="FF000000"/>
            <rFont val="Tahoma"/>
            <family val="2"/>
            <charset val="1"/>
          </rPr>
          <t xml:space="preserve">date rising to low normal</t>
        </r>
      </text>
    </comment>
    <comment ref="CP121" authorId="0">
      <text>
        <r>
          <rPr>
            <sz val="10"/>
            <rFont val="Arial"/>
            <family val="2"/>
          </rPr>
          <t xml:space="preserve">Christian Barger:
</t>
        </r>
        <r>
          <rPr>
            <sz val="9"/>
            <color rgb="FF000000"/>
            <rFont val="Tahoma"/>
            <family val="2"/>
            <charset val="1"/>
          </rPr>
          <t xml:space="preserve">date rising to high watch</t>
        </r>
      </text>
    </comment>
    <comment ref="CP122" authorId="0">
      <text>
        <r>
          <rPr>
            <sz val="10"/>
            <rFont val="Arial"/>
            <family val="2"/>
          </rPr>
          <t xml:space="preserve">Christian Barger:
</t>
        </r>
        <r>
          <rPr>
            <sz val="9"/>
            <color rgb="FF000000"/>
            <rFont val="Tahoma"/>
            <family val="2"/>
            <charset val="1"/>
          </rPr>
          <t xml:space="preserve">date rising to high action</t>
        </r>
      </text>
    </comment>
    <comment ref="CP123" authorId="0">
      <text>
        <r>
          <rPr>
            <sz val="10"/>
            <rFont val="Arial"/>
            <family val="2"/>
          </rPr>
          <t xml:space="preserve">Christian Barger:
</t>
        </r>
        <r>
          <rPr>
            <sz val="9"/>
            <color rgb="FF000000"/>
            <rFont val="Tahoma"/>
            <family val="2"/>
            <charset val="1"/>
          </rPr>
          <t xml:space="preserve">date falling to low watch</t>
        </r>
      </text>
    </comment>
    <comment ref="CP124" authorId="0">
      <text>
        <r>
          <rPr>
            <sz val="10"/>
            <rFont val="Arial"/>
            <family val="2"/>
          </rPr>
          <t xml:space="preserve">Christian Barger:
</t>
        </r>
        <r>
          <rPr>
            <sz val="9"/>
            <color rgb="FF000000"/>
            <rFont val="Tahoma"/>
            <family val="2"/>
            <charset val="1"/>
          </rPr>
          <t xml:space="preserve">date falling to low action</t>
        </r>
      </text>
    </comment>
  </commentList>
</comments>
</file>

<file path=xl/sharedStrings.xml><?xml version="1.0" encoding="utf-8"?>
<sst xmlns="http://schemas.openxmlformats.org/spreadsheetml/2006/main" count="2984" uniqueCount="461">
  <si>
    <t xml:space="preserve">WWM Brief UMR</t>
  </si>
  <si>
    <t xml:space="preserve">Valid:</t>
  </si>
  <si>
    <t xml:space="preserve">Pool</t>
  </si>
  <si>
    <t xml:space="preserve">Gauge</t>
  </si>
  <si>
    <t xml:space="preserve">Mile Makers</t>
  </si>
  <si>
    <t xml:space="preserve">Normal</t>
  </si>
  <si>
    <t xml:space="preserve">Watch</t>
  </si>
  <si>
    <t xml:space="preserve">Action</t>
  </si>
  <si>
    <t xml:space="preserve">Lock Closure</t>
  </si>
  <si>
    <t xml:space="preserve">Current</t>
  </si>
  <si>
    <t xml:space="preserve">24-hr Trend</t>
  </si>
  <si>
    <t xml:space="preserve">Long Term Projection</t>
  </si>
  <si>
    <t xml:space="preserve">Pool 2</t>
  </si>
  <si>
    <t xml:space="preserve">St. Paul (STPM5)</t>
  </si>
  <si>
    <t xml:space="preserve">815.2 - 847.5</t>
  </si>
  <si>
    <t xml:space="preserve">Below 14</t>
  </si>
  <si>
    <t xml:space="preserve">14 to 17</t>
  </si>
  <si>
    <t xml:space="preserve">17 &amp; Above</t>
  </si>
  <si>
    <t xml:space="preserve">116 KCFS</t>
  </si>
  <si>
    <t xml:space="preserve">Pool 3</t>
  </si>
  <si>
    <t xml:space="preserve">796.9 - 815.1</t>
  </si>
  <si>
    <t xml:space="preserve">125 KCFS</t>
  </si>
  <si>
    <t xml:space="preserve">Pool 4</t>
  </si>
  <si>
    <t xml:space="preserve">Alma (ALMW3)</t>
  </si>
  <si>
    <t xml:space="preserve">752.8 - 796.8</t>
  </si>
  <si>
    <t xml:space="preserve">Below 16</t>
  </si>
  <si>
    <t xml:space="preserve">16 to 18</t>
  </si>
  <si>
    <t xml:space="preserve">18 &amp; Above</t>
  </si>
  <si>
    <t xml:space="preserve">160 KCFS</t>
  </si>
  <si>
    <t xml:space="preserve">Pool 5</t>
  </si>
  <si>
    <t xml:space="preserve">Minnesota City (MSCM5)</t>
  </si>
  <si>
    <t xml:space="preserve">738.1 - 752.7</t>
  </si>
  <si>
    <t xml:space="preserve">Below 665</t>
  </si>
  <si>
    <t xml:space="preserve">665 to 667</t>
  </si>
  <si>
    <t xml:space="preserve">667 &amp; Above</t>
  </si>
  <si>
    <t xml:space="preserve">188 KCFS</t>
  </si>
  <si>
    <t xml:space="preserve">Pool 5A</t>
  </si>
  <si>
    <t xml:space="preserve">Winona Dam 5A (WIDM5)</t>
  </si>
  <si>
    <t xml:space="preserve">728.6 - 738.0</t>
  </si>
  <si>
    <t xml:space="preserve">Below 653</t>
  </si>
  <si>
    <t xml:space="preserve">653 to 655</t>
  </si>
  <si>
    <t xml:space="preserve">655 &amp; Above</t>
  </si>
  <si>
    <t xml:space="preserve">183 KCFS</t>
  </si>
  <si>
    <t xml:space="preserve">Pool 6</t>
  </si>
  <si>
    <t xml:space="preserve">Trempealaeu (TREW3)</t>
  </si>
  <si>
    <t xml:space="preserve">714.3 - 728.5</t>
  </si>
  <si>
    <t xml:space="preserve">Below 647</t>
  </si>
  <si>
    <t xml:space="preserve">647 to 649</t>
  </si>
  <si>
    <t xml:space="preserve">649 &amp; Above</t>
  </si>
  <si>
    <t xml:space="preserve">200 KCFS</t>
  </si>
  <si>
    <t xml:space="preserve">Pool 7</t>
  </si>
  <si>
    <t xml:space="preserve">La Crescent (LCRM5)</t>
  </si>
  <si>
    <t xml:space="preserve">702.5 - 714.2</t>
  </si>
  <si>
    <t xml:space="preserve">Below 641</t>
  </si>
  <si>
    <t xml:space="preserve">641 to 643</t>
  </si>
  <si>
    <t xml:space="preserve">643 &amp; Above</t>
  </si>
  <si>
    <t xml:space="preserve">235 KCFS</t>
  </si>
  <si>
    <t xml:space="preserve">Pool 8</t>
  </si>
  <si>
    <t xml:space="preserve">Genoa (GENW3)</t>
  </si>
  <si>
    <t xml:space="preserve">679.2 - 702.4</t>
  </si>
  <si>
    <t xml:space="preserve">Below 634</t>
  </si>
  <si>
    <t xml:space="preserve">634 to 636</t>
  </si>
  <si>
    <t xml:space="preserve">636 &amp; Above</t>
  </si>
  <si>
    <t xml:space="preserve">225 KCFS</t>
  </si>
  <si>
    <t xml:space="preserve">Pool 9</t>
  </si>
  <si>
    <t xml:space="preserve">Lynxville (LYNW3)</t>
  </si>
  <si>
    <t xml:space="preserve">647.9 - 679.1</t>
  </si>
  <si>
    <t xml:space="preserve">Below 625</t>
  </si>
  <si>
    <t xml:space="preserve">625 to 628</t>
  </si>
  <si>
    <t xml:space="preserve">628 &amp; Above</t>
  </si>
  <si>
    <t xml:space="preserve">220 KCFS</t>
  </si>
  <si>
    <t xml:space="preserve">Pool 10</t>
  </si>
  <si>
    <t xml:space="preserve">Guttenberg (GTTI4)</t>
  </si>
  <si>
    <t xml:space="preserve">615.1 - 647.8</t>
  </si>
  <si>
    <t xml:space="preserve">Below 15</t>
  </si>
  <si>
    <t xml:space="preserve">15 to 18</t>
  </si>
  <si>
    <t xml:space="preserve">238 KCFS</t>
  </si>
  <si>
    <t xml:space="preserve">Pool 11</t>
  </si>
  <si>
    <t xml:space="preserve">Dubuque L&amp;D 11 (DLDI4)</t>
  </si>
  <si>
    <t xml:space="preserve">583.0 - 615.0</t>
  </si>
  <si>
    <t xml:space="preserve">Pool 12</t>
  </si>
  <si>
    <t xml:space="preserve">Bellevue (BLVI4)</t>
  </si>
  <si>
    <t xml:space="preserve">556.7 - 582.9</t>
  </si>
  <si>
    <t xml:space="preserve">Below 17</t>
  </si>
  <si>
    <t xml:space="preserve">17 to 19</t>
  </si>
  <si>
    <t xml:space="preserve">19 &amp; Above</t>
  </si>
  <si>
    <t xml:space="preserve">Pool 13</t>
  </si>
  <si>
    <t xml:space="preserve">Fulton (FLTI2)</t>
  </si>
  <si>
    <t xml:space="preserve">522.4 - 556.6</t>
  </si>
  <si>
    <t xml:space="preserve">Pool 14</t>
  </si>
  <si>
    <t xml:space="preserve">LeClaire (LECI4)</t>
  </si>
  <si>
    <t xml:space="preserve">493.3 - 522.3</t>
  </si>
  <si>
    <t xml:space="preserve">Below 11</t>
  </si>
  <si>
    <t xml:space="preserve">11 to 13</t>
  </si>
  <si>
    <t xml:space="preserve">13 &amp; Above</t>
  </si>
  <si>
    <t xml:space="preserve">Pool 15</t>
  </si>
  <si>
    <t xml:space="preserve">Rock Island (RCKI2)</t>
  </si>
  <si>
    <t xml:space="preserve">482.9 - 493.2</t>
  </si>
  <si>
    <t xml:space="preserve">15 to 17</t>
  </si>
  <si>
    <t xml:space="preserve">Pool 16</t>
  </si>
  <si>
    <t xml:space="preserve">Illinois City (ILNI2)</t>
  </si>
  <si>
    <t xml:space="preserve">457.2 - 482.8</t>
  </si>
  <si>
    <t xml:space="preserve">Pool 17</t>
  </si>
  <si>
    <t xml:space="preserve">New Boston (NBOI2)</t>
  </si>
  <si>
    <t xml:space="preserve">437.1 - 457.1</t>
  </si>
  <si>
    <t xml:space="preserve">14 to 16</t>
  </si>
  <si>
    <t xml:space="preserve">16 &amp; Above</t>
  </si>
  <si>
    <t xml:space="preserve">Pool 18</t>
  </si>
  <si>
    <t xml:space="preserve">Gladstone (GLDI2)</t>
  </si>
  <si>
    <t xml:space="preserve">410.5 - 437.0</t>
  </si>
  <si>
    <t xml:space="preserve">Below 10</t>
  </si>
  <si>
    <t xml:space="preserve">10 to 12</t>
  </si>
  <si>
    <t xml:space="preserve">12 &amp; Above</t>
  </si>
  <si>
    <t xml:space="preserve">Pool 19</t>
  </si>
  <si>
    <t xml:space="preserve">Keokuk (EOKI4)</t>
  </si>
  <si>
    <t xml:space="preserve">364.2 - 410.4</t>
  </si>
  <si>
    <t xml:space="preserve">Pool 20</t>
  </si>
  <si>
    <t xml:space="preserve">Canton L&amp;D 20 (CANM7)</t>
  </si>
  <si>
    <t xml:space="preserve">343.2 - 364.1</t>
  </si>
  <si>
    <t xml:space="preserve">Pool 21</t>
  </si>
  <si>
    <t xml:space="preserve">Quincy L&amp;D 21 (QLDI2)</t>
  </si>
  <si>
    <t xml:space="preserve">324.9 - 343.1</t>
  </si>
  <si>
    <t xml:space="preserve">17 to 21.9</t>
  </si>
  <si>
    <t xml:space="preserve">21.9 &amp; Above</t>
  </si>
  <si>
    <t xml:space="preserve">Pool 22</t>
  </si>
  <si>
    <t xml:space="preserve">Saverton L&amp;D 22 (SVRM7)</t>
  </si>
  <si>
    <t xml:space="preserve">301.2 - 324.8</t>
  </si>
  <si>
    <t xml:space="preserve">16 to 21.4</t>
  </si>
  <si>
    <t xml:space="preserve">21.4 &amp; Above</t>
  </si>
  <si>
    <t xml:space="preserve">Pool 24</t>
  </si>
  <si>
    <t xml:space="preserve">Clarksville L&amp;D 24 (CLKM7)</t>
  </si>
  <si>
    <t xml:space="preserve">273.4 - 301.1</t>
  </si>
  <si>
    <t xml:space="preserve">Below 25</t>
  </si>
  <si>
    <t xml:space="preserve">25 to 29</t>
  </si>
  <si>
    <t xml:space="preserve">29 &amp; Above</t>
  </si>
  <si>
    <t xml:space="preserve">Pool 25</t>
  </si>
  <si>
    <t xml:space="preserve">Winfield L&amp;D 25 (CAGM7)</t>
  </si>
  <si>
    <t xml:space="preserve">241.4 - 273.3</t>
  </si>
  <si>
    <t xml:space="preserve">Below 26</t>
  </si>
  <si>
    <t xml:space="preserve">26 to 33.8</t>
  </si>
  <si>
    <t xml:space="preserve">33.8 &amp; Above</t>
  </si>
  <si>
    <t xml:space="preserve">Pool 26</t>
  </si>
  <si>
    <t xml:space="preserve">Mel Price (Alton) L&amp;D (ALNI2)</t>
  </si>
  <si>
    <t xml:space="preserve">200.5 - 241.3</t>
  </si>
  <si>
    <t xml:space="preserve">Below 21</t>
  </si>
  <si>
    <t xml:space="preserve">21 to 36.5</t>
  </si>
  <si>
    <t xml:space="preserve">36.5 &amp; Above</t>
  </si>
  <si>
    <t xml:space="preserve">Pool 27</t>
  </si>
  <si>
    <t xml:space="preserve">St. Louis (EADM7)</t>
  </si>
  <si>
    <t xml:space="preserve">185.5 - 200.4</t>
  </si>
  <si>
    <t xml:space="preserve">Below 38</t>
  </si>
  <si>
    <t xml:space="preserve">38 to 40</t>
  </si>
  <si>
    <t xml:space="preserve">40 &amp; Above</t>
  </si>
  <si>
    <t xml:space="preserve">Zone 28</t>
  </si>
  <si>
    <t xml:space="preserve">160.1 - 185.4</t>
  </si>
  <si>
    <t xml:space="preserve">Below 20</t>
  </si>
  <si>
    <t xml:space="preserve">20 to 25</t>
  </si>
  <si>
    <t xml:space="preserve">25 to 30 High Water Action
30 &amp; Above Extreme High Water Action</t>
  </si>
  <si>
    <t xml:space="preserve">38 ft Harbor Closure
MM 179 - 184</t>
  </si>
  <si>
    <t xml:space="preserve">45 ft Zone Closure</t>
  </si>
  <si>
    <t xml:space="preserve">Zone 29</t>
  </si>
  <si>
    <t xml:space="preserve">109.9 - 160.0</t>
  </si>
  <si>
    <t xml:space="preserve">25 &amp; Above</t>
  </si>
  <si>
    <t xml:space="preserve">NO low water from Pools 2 - 27 due to Pooled River</t>
  </si>
  <si>
    <t xml:space="preserve">Zone 28/29</t>
  </si>
  <si>
    <t xml:space="preserve">109.9 - 185.4</t>
  </si>
  <si>
    <t xml:space="preserve">Above 0</t>
  </si>
  <si>
    <t xml:space="preserve">0 to -2</t>
  </si>
  <si>
    <t xml:space="preserve">-2 &amp; Below</t>
  </si>
  <si>
    <t xml:space="preserve">The color coding system for this spreadsheet is Green = Normal, Yellow = Watch, Red = Action, Orange = Extreme High Water Action WAP phases. For Closures, Yellow = Projected crest within that threshold, Black = threshold met. N/A = Not Available.
For the column indicating the closure point of the Locks, the St. Paul District Lock closure points are based on flow rate and all other areas are based on river stage. For the closure points based on river stage, the cells for the Lock closure will be Yellow to indicate the projected crest is within that Lock's closure point and Black when the observed stage is at or above the closure point. The USACE will make the actual determination when the Lock will close (and re-open). Per the WAP, this is normally discussed during a high water conference call.
The 38 ft harbor closure comes from the WAP and is necessary due to high current impacting bridge approaches and decreased bridge vertical clearances; it is for MM 179-184 (MacArthur Bridge to Chain of Rocks Canal) only and requires a safety zone. COTP has discretion on when to actually enforce the safety zone; actual closure point should be discussed with USACE and RIAC during a high water conference call.
The 45 ft zone 28/29 closure comes from the WAP and is necessary to protect levees from overtopping due to vessel wake and requires a safety zone. Close coordination with USACE and RIAC is necessary to ensure the proper closure point.</t>
  </si>
  <si>
    <t xml:space="preserve">WWM Brief ILR</t>
  </si>
  <si>
    <t xml:space="preserve">Zone</t>
  </si>
  <si>
    <t xml:space="preserve">Mile Markers</t>
  </si>
  <si>
    <t xml:space="preserve">Low Action</t>
  </si>
  <si>
    <t xml:space="preserve">Low Watch</t>
  </si>
  <si>
    <t xml:space="preserve">High Watch</t>
  </si>
  <si>
    <t xml:space="preserve">High Action</t>
  </si>
  <si>
    <t xml:space="preserve">No Wake &amp; Closure</t>
  </si>
  <si>
    <t xml:space="preserve">Long Term Forecast</t>
  </si>
  <si>
    <t xml:space="preserve">Zone 1</t>
  </si>
  <si>
    <t xml:space="preserve">Grafton (GRFI2)</t>
  </si>
  <si>
    <t xml:space="preserve">0.0 - 9.9</t>
  </si>
  <si>
    <t xml:space="preserve">14.2 &amp; Below</t>
  </si>
  <si>
    <t xml:space="preserve">14.2 to 15.2</t>
  </si>
  <si>
    <t xml:space="preserve">15.2  to 18</t>
  </si>
  <si>
    <t xml:space="preserve">18 to 22</t>
  </si>
  <si>
    <t xml:space="preserve">22 &amp; Above</t>
  </si>
  <si>
    <t xml:space="preserve">N/A</t>
  </si>
  <si>
    <t xml:space="preserve">Zone 2</t>
  </si>
  <si>
    <t xml:space="preserve">Hardin (HARI2)</t>
  </si>
  <si>
    <t xml:space="preserve">10 - 49.9</t>
  </si>
  <si>
    <t xml:space="preserve">18.1 &amp; Below</t>
  </si>
  <si>
    <t xml:space="preserve">18.1 to 19</t>
  </si>
  <si>
    <t xml:space="preserve">19 to 25</t>
  </si>
  <si>
    <t xml:space="preserve">25 to 33</t>
  </si>
  <si>
    <t xml:space="preserve">33 &amp; Above</t>
  </si>
  <si>
    <t xml:space="preserve">34 - 35.5 ft
No Wake</t>
  </si>
  <si>
    <t xml:space="preserve">35.5 ft Zone Closure</t>
  </si>
  <si>
    <t xml:space="preserve">Zone 3</t>
  </si>
  <si>
    <t xml:space="preserve">Meredosia (MROI2)</t>
  </si>
  <si>
    <t xml:space="preserve">50 - 80.2</t>
  </si>
  <si>
    <t xml:space="preserve">1 &amp; Below</t>
  </si>
  <si>
    <t xml:space="preserve">1 to 2</t>
  </si>
  <si>
    <t xml:space="preserve">2 to 14</t>
  </si>
  <si>
    <t xml:space="preserve">14 to 23</t>
  </si>
  <si>
    <t xml:space="preserve">23 &amp; Above</t>
  </si>
  <si>
    <t xml:space="preserve">25 - 26 ft
No Wake</t>
  </si>
  <si>
    <t xml:space="preserve">26 ft Zone Closure</t>
  </si>
  <si>
    <t xml:space="preserve">Zone 4</t>
  </si>
  <si>
    <t xml:space="preserve">Beardstown (BEAI2)</t>
  </si>
  <si>
    <t xml:space="preserve">80.3 - 101.9</t>
  </si>
  <si>
    <t xml:space="preserve">7.6 &amp; Below</t>
  </si>
  <si>
    <t xml:space="preserve">7.6 to 9.1</t>
  </si>
  <si>
    <t xml:space="preserve">9.1 to 14</t>
  </si>
  <si>
    <t xml:space="preserve">14 to 22</t>
  </si>
  <si>
    <t xml:space="preserve">26 - 27 ft
No Wake</t>
  </si>
  <si>
    <t xml:space="preserve">27 ft Zone Closure</t>
  </si>
  <si>
    <t xml:space="preserve">Zone 5</t>
  </si>
  <si>
    <t xml:space="preserve">Havana (HAVI2)</t>
  </si>
  <si>
    <t xml:space="preserve">102 - 128.9</t>
  </si>
  <si>
    <t xml:space="preserve">3.3 &amp; Below</t>
  </si>
  <si>
    <t xml:space="preserve">3.3 to 4.8</t>
  </si>
  <si>
    <t xml:space="preserve">4.8 to 14</t>
  </si>
  <si>
    <t xml:space="preserve">14 to 20</t>
  </si>
  <si>
    <t xml:space="preserve">20 &amp; Above</t>
  </si>
  <si>
    <t xml:space="preserve">24.5 - 26 ft
No Wake</t>
  </si>
  <si>
    <t xml:space="preserve">Zone 6</t>
  </si>
  <si>
    <t xml:space="preserve">Copperas (COPI2)</t>
  </si>
  <si>
    <t xml:space="preserve">129 - 145.5</t>
  </si>
  <si>
    <t xml:space="preserve">0 &amp; Below</t>
  </si>
  <si>
    <t xml:space="preserve">0 to 1.5</t>
  </si>
  <si>
    <t xml:space="preserve">1.5 to 13</t>
  </si>
  <si>
    <t xml:space="preserve">13 to 16.4</t>
  </si>
  <si>
    <t xml:space="preserve">16.4 &amp; Above</t>
  </si>
  <si>
    <t xml:space="preserve">Zone 7</t>
  </si>
  <si>
    <t xml:space="preserve">Peoria (PIAI2)</t>
  </si>
  <si>
    <t xml:space="preserve">145.6 - 187</t>
  </si>
  <si>
    <t xml:space="preserve">10 &amp; Below</t>
  </si>
  <si>
    <t xml:space="preserve">10 to 11.6</t>
  </si>
  <si>
    <t xml:space="preserve">11.6 to 18</t>
  </si>
  <si>
    <t xml:space="preserve">25.5 - 27 ft
No Wake</t>
  </si>
  <si>
    <t xml:space="preserve">The color coding system for this spreadsheet is Green = Normal, Yellow = Watch, and Red = Action WAP phases. For No Wake &amp; Closures, Yellow = Projected crest within that threshold, Black = threshold met. N/A = Not Available.</t>
  </si>
  <si>
    <t xml:space="preserve">WWM Brief MOR</t>
  </si>
  <si>
    <t xml:space="preserve">Reach</t>
  </si>
  <si>
    <t xml:space="preserve">SIOUX CITY
MM 630 - 734.8</t>
  </si>
  <si>
    <t xml:space="preserve">Sioux City (SSCN1)</t>
  </si>
  <si>
    <t xml:space="preserve">Below 29</t>
  </si>
  <si>
    <t xml:space="preserve">29 to 30</t>
  </si>
  <si>
    <t xml:space="preserve">30 &amp; Above</t>
  </si>
  <si>
    <t xml:space="preserve">Omaha (OMHN1)</t>
  </si>
  <si>
    <t xml:space="preserve">26 to 29</t>
  </si>
  <si>
    <t xml:space="preserve">OMAHA
MM 500 - 630</t>
  </si>
  <si>
    <t xml:space="preserve">Rulo (RULN1)</t>
  </si>
  <si>
    <t xml:space="preserve">17 to 20</t>
  </si>
  <si>
    <t xml:space="preserve">ST. JOSEPH
MM 400 - 500</t>
  </si>
  <si>
    <t xml:space="preserve">St. Joseph (SJSM7)</t>
  </si>
  <si>
    <t xml:space="preserve">Atchison (ATCK1)</t>
  </si>
  <si>
    <t xml:space="preserve">Below 22</t>
  </si>
  <si>
    <t xml:space="preserve">22 to 26</t>
  </si>
  <si>
    <t xml:space="preserve">26 &amp; Above</t>
  </si>
  <si>
    <t xml:space="preserve">Kansas City (KCDM7)</t>
  </si>
  <si>
    <t xml:space="preserve">Below 32</t>
  </si>
  <si>
    <t xml:space="preserve">32 to 35</t>
  </si>
  <si>
    <t xml:space="preserve">35 &amp; Above</t>
  </si>
  <si>
    <t xml:space="preserve">KANSAS CITY
MM 300 - 400</t>
  </si>
  <si>
    <t xml:space="preserve">7.8 &amp; Below</t>
  </si>
  <si>
    <t xml:space="preserve">7.8 to 8</t>
  </si>
  <si>
    <t xml:space="preserve">8 to 32</t>
  </si>
  <si>
    <t xml:space="preserve">Waverly (WVYM7)</t>
  </si>
  <si>
    <t xml:space="preserve">10 to 10.2</t>
  </si>
  <si>
    <t xml:space="preserve">10.2 to 22</t>
  </si>
  <si>
    <t xml:space="preserve">22 to 25</t>
  </si>
  <si>
    <t xml:space="preserve">BRUNSWICK
MM 200 - 300</t>
  </si>
  <si>
    <t xml:space="preserve"> 25 &amp; Above</t>
  </si>
  <si>
    <t xml:space="preserve">Miami (MIAM7)</t>
  </si>
  <si>
    <t xml:space="preserve">21 to 25</t>
  </si>
  <si>
    <t xml:space="preserve">Glasgow (GLZM7)</t>
  </si>
  <si>
    <t xml:space="preserve">25 to 27</t>
  </si>
  <si>
    <t xml:space="preserve">27 &amp; Above</t>
  </si>
  <si>
    <t xml:space="preserve">Boonville (BOZM7)</t>
  </si>
  <si>
    <t xml:space="preserve">6.5 &amp; Below</t>
  </si>
  <si>
    <t xml:space="preserve">6.5 to 7</t>
  </si>
  <si>
    <t xml:space="preserve">7 to 21</t>
  </si>
  <si>
    <t xml:space="preserve">JEFFERSON
MM 100 - 200</t>
  </si>
  <si>
    <t xml:space="preserve">Jefferson City (JFFM7)</t>
  </si>
  <si>
    <t xml:space="preserve">Below 23</t>
  </si>
  <si>
    <t xml:space="preserve">23 to 26</t>
  </si>
  <si>
    <t xml:space="preserve">Hermann (HRNM7)</t>
  </si>
  <si>
    <t xml:space="preserve">5.2 &amp; Below</t>
  </si>
  <si>
    <t xml:space="preserve">5.2 to 6</t>
  </si>
  <si>
    <t xml:space="preserve">6 to 21</t>
  </si>
  <si>
    <t xml:space="preserve">WASHINGTON
MM 0 - 100</t>
  </si>
  <si>
    <t xml:space="preserve">Washington (WHGM7)</t>
  </si>
  <si>
    <t xml:space="preserve">20 to 26</t>
  </si>
  <si>
    <t xml:space="preserve">St. Charles (SCLM7)</t>
  </si>
  <si>
    <t xml:space="preserve">The color coding system for this spreadsheet is Green = Normal, Yellow = Watch, and Red = Action WAP phases. N/A = Not Available.
Colors in each row indicate the WAP phase for the individual gauge. The entire reach is placed in the most critical phase any one of its gauges is in. The reach's phase is indicated by the coloring in the Reach column.</t>
  </si>
  <si>
    <t xml:space="preserve">This tab contains the information strings for the "Waterway Management Actions" entry of the High Water CART report. Data is pulled from the appropriate brief tab. Depending on agreed upon reporting requirements for the particular event, consider reporting on those zones/pools/reaches that are in Watch or above (denoted by yellow, red, or orange). As with the brief tabs, Yellow = Watch, Red = Action, and Orange = Extreme Action (UMR Zone 28 only).
To carry text string over to CART:
1) Copy the desired cells below;
2) Paste (text only) into the CART Template word document.</t>
  </si>
  <si>
    <t xml:space="preserve">Below are the text strings intended to be entered in the "Waterways Management Action" section of the High Water CART Report. COPY and then PASTE as TEXT ONLY into the CART report template .doc file.</t>
  </si>
  <si>
    <t xml:space="preserve">Extreme Action</t>
  </si>
  <si>
    <t xml:space="preserve">Illinois River</t>
  </si>
  <si>
    <t xml:space="preserve">Mississippi River</t>
  </si>
  <si>
    <t xml:space="preserve">Missouri River</t>
  </si>
  <si>
    <t xml:space="preserve">Peoria</t>
  </si>
  <si>
    <t xml:space="preserve">Copperas</t>
  </si>
  <si>
    <t xml:space="preserve">Havana</t>
  </si>
  <si>
    <t xml:space="preserve">Beardstown</t>
  </si>
  <si>
    <t xml:space="preserve">Meredosia</t>
  </si>
  <si>
    <t xml:space="preserve">Hardin</t>
  </si>
  <si>
    <t xml:space="preserve">Grafton</t>
  </si>
  <si>
    <t xml:space="preserve">St. Paul</t>
  </si>
  <si>
    <t xml:space="preserve">Redwing</t>
  </si>
  <si>
    <t xml:space="preserve">Alma</t>
  </si>
  <si>
    <t xml:space="preserve">MN City</t>
  </si>
  <si>
    <t xml:space="preserve">Winona</t>
  </si>
  <si>
    <t xml:space="preserve">Trempealaeu</t>
  </si>
  <si>
    <t xml:space="preserve">La Crescent</t>
  </si>
  <si>
    <t xml:space="preserve">Genoa</t>
  </si>
  <si>
    <t xml:space="preserve">Lynxville</t>
  </si>
  <si>
    <t xml:space="preserve">Guttenberg</t>
  </si>
  <si>
    <t xml:space="preserve">Dubuque</t>
  </si>
  <si>
    <t xml:space="preserve">Bellevue</t>
  </si>
  <si>
    <t xml:space="preserve">Fulton</t>
  </si>
  <si>
    <t xml:space="preserve">LeClaire</t>
  </si>
  <si>
    <t xml:space="preserve">Rock Island</t>
  </si>
  <si>
    <t xml:space="preserve">Illinois City</t>
  </si>
  <si>
    <t xml:space="preserve">New Boston</t>
  </si>
  <si>
    <t xml:space="preserve">Gladstone</t>
  </si>
  <si>
    <t xml:space="preserve">Keokuk</t>
  </si>
  <si>
    <t xml:space="preserve">Canton</t>
  </si>
  <si>
    <t xml:space="preserve">Quincy</t>
  </si>
  <si>
    <t xml:space="preserve">Saverton</t>
  </si>
  <si>
    <t xml:space="preserve">Clarksville</t>
  </si>
  <si>
    <t xml:space="preserve">Winfield</t>
  </si>
  <si>
    <t xml:space="preserve">Mel Price</t>
  </si>
  <si>
    <t xml:space="preserve">St. Louis</t>
  </si>
  <si>
    <t xml:space="preserve">Sioux City</t>
  </si>
  <si>
    <t xml:space="preserve">Omaha</t>
  </si>
  <si>
    <t xml:space="preserve">Rulo</t>
  </si>
  <si>
    <t xml:space="preserve">St. Joseph</t>
  </si>
  <si>
    <t xml:space="preserve">Atchison</t>
  </si>
  <si>
    <t xml:space="preserve">Kansas City</t>
  </si>
  <si>
    <t xml:space="preserve">Waverly</t>
  </si>
  <si>
    <t xml:space="preserve">Miami</t>
  </si>
  <si>
    <t xml:space="preserve">Glasgow</t>
  </si>
  <si>
    <t xml:space="preserve">Boonville</t>
  </si>
  <si>
    <t xml:space="preserve">Jefferson City</t>
  </si>
  <si>
    <t xml:space="preserve">Hermann</t>
  </si>
  <si>
    <t xml:space="preserve">Washington</t>
  </si>
  <si>
    <t xml:space="preserve">St. Charles</t>
  </si>
  <si>
    <t xml:space="preserve">primary</t>
  </si>
  <si>
    <t xml:space="preserve">Winona 5A</t>
  </si>
  <si>
    <t xml:space="preserve">valid</t>
  </si>
  <si>
    <t xml:space="preserve">None Available</t>
  </si>
  <si>
    <t xml:space="preserve">2023-08-03T18:00:00-00:00</t>
  </si>
  <si>
    <t xml:space="preserve">2023-08-04T00:00:00-00:00</t>
  </si>
  <si>
    <t xml:space="preserve">2023-08-04T06:00:00-00:00</t>
  </si>
  <si>
    <t xml:space="preserve">2023-08-04T12:00:00-00:00</t>
  </si>
  <si>
    <t xml:space="preserve">2023-08-04T18:00:00-00:00</t>
  </si>
  <si>
    <t xml:space="preserve">2023-08-05T00:00:00-00:00</t>
  </si>
  <si>
    <t xml:space="preserve">2023-08-05T06:00:00-00:00</t>
  </si>
  <si>
    <t xml:space="preserve">2023-08-05T12:00:00-00:00</t>
  </si>
  <si>
    <t xml:space="preserve">2023-08-05T18:00:00-00:00</t>
  </si>
  <si>
    <t xml:space="preserve">2023-08-06T00:00:00-00:00</t>
  </si>
  <si>
    <t xml:space="preserve">2023-08-06T06:00:00-00:00</t>
  </si>
  <si>
    <t xml:space="preserve">2023-08-06T12:00:00-00:00</t>
  </si>
  <si>
    <t xml:space="preserve">2023-08-06T18:00:00-00:00</t>
  </si>
  <si>
    <t xml:space="preserve">2023-08-07T00:00:00-00:00</t>
  </si>
  <si>
    <t xml:space="preserve">2023-08-07T06:00:00-00:00</t>
  </si>
  <si>
    <t xml:space="preserve">2023-08-07T12:00:00-00:00</t>
  </si>
  <si>
    <t xml:space="preserve">2023-08-07T18:00:00-00:00</t>
  </si>
  <si>
    <t xml:space="preserve">2023-08-08T00:00:00-00:00</t>
  </si>
  <si>
    <t xml:space="preserve">2023-08-08T06:00:00-00:00</t>
  </si>
  <si>
    <t xml:space="preserve">2023-08-08T12:00:00-00:00</t>
  </si>
  <si>
    <t xml:space="preserve">2023-08-08T18:00:00-00:00</t>
  </si>
  <si>
    <t xml:space="preserve">2023-08-09T00:00:00-00:00</t>
  </si>
  <si>
    <t xml:space="preserve">2023-08-09T06:00:00-00:00</t>
  </si>
  <si>
    <t xml:space="preserve">2023-08-09T12:00:00-00:00</t>
  </si>
  <si>
    <t xml:space="preserve">2023-08-09T18:00:00-00:00</t>
  </si>
  <si>
    <t xml:space="preserve">2023-08-10T00:00:00-00:00</t>
  </si>
  <si>
    <t xml:space="preserve">2023-08-10T06:00:00-00:00</t>
  </si>
  <si>
    <t xml:space="preserve">2023-08-10T12:00:00-00:00</t>
  </si>
  <si>
    <t xml:space="preserve">2023-08-10T18:00:00-00:00</t>
  </si>
  <si>
    <t xml:space="preserve">2023-08-11T00:00:00-00:00</t>
  </si>
  <si>
    <t xml:space="preserve">2023-08-11T06:00:00-00:00</t>
  </si>
  <si>
    <t xml:space="preserve">2023-08-11T12:00:00-00:00</t>
  </si>
  <si>
    <t xml:space="preserve">2023-08-11T18:00:00-00:00</t>
  </si>
  <si>
    <t xml:space="preserve">2023-08-12T00:00:00-00:00</t>
  </si>
  <si>
    <t xml:space="preserve">2023-08-12T06:00:00-00:00</t>
  </si>
  <si>
    <t xml:space="preserve">2023-08-12T12:00:00-00:00</t>
  </si>
  <si>
    <t xml:space="preserve">2023-08-12T18:00:00-00:00</t>
  </si>
  <si>
    <t xml:space="preserve">2023-08-13T00:00:00-00:00</t>
  </si>
  <si>
    <t xml:space="preserve">2023-08-13T06:00:00-00:00</t>
  </si>
  <si>
    <t xml:space="preserve">2023-08-13T12:00:00-00:00</t>
  </si>
  <si>
    <t xml:space="preserve">2023-08-13T18:00:00-00:00</t>
  </si>
  <si>
    <t xml:space="preserve">2023-08-14T00:00:00-00:00</t>
  </si>
  <si>
    <t xml:space="preserve">2023-08-14T06:00:00-00:00</t>
  </si>
  <si>
    <t xml:space="preserve">2023-08-14T12:00:00-00:00</t>
  </si>
  <si>
    <t xml:space="preserve">2023-08-14T18:00:00-00:00</t>
  </si>
  <si>
    <t xml:space="preserve">2023-08-15T00:00:00-00:00</t>
  </si>
  <si>
    <t xml:space="preserve">2023-08-15T06:00:00-00:00</t>
  </si>
  <si>
    <t xml:space="preserve">2023-08-15T12:00:00-00:00</t>
  </si>
  <si>
    <t xml:space="preserve">2023-08-15T18:00:00-00:00</t>
  </si>
  <si>
    <t xml:space="preserve">2023-08-16T00:00:00-00:00</t>
  </si>
  <si>
    <t xml:space="preserve">2023-08-16T06:00:00-00:00</t>
  </si>
  <si>
    <t xml:space="preserve">2023-08-16T12:00:00-00:00</t>
  </si>
  <si>
    <t xml:space="preserve">2023-08-16T18:00:00-00:00</t>
  </si>
  <si>
    <t xml:space="preserve">2023-08-17T00:00:00-00:00</t>
  </si>
  <si>
    <t xml:space="preserve">2023-08-17T06:00:00-00:00</t>
  </si>
  <si>
    <t xml:space="preserve">2023-08-17T12:00:00-00:00</t>
  </si>
  <si>
    <t xml:space="preserve">2023-08-17T18:00:00-00:00</t>
  </si>
  <si>
    <t xml:space="preserve">2023-08-18T00:00:00-00:00</t>
  </si>
  <si>
    <t xml:space="preserve">2023-08-18T06:00:00-00:00</t>
  </si>
  <si>
    <t xml:space="preserve">2023-08-18T12:00:00-00:00</t>
  </si>
  <si>
    <t xml:space="preserve">2023-08-18T18:00:00-00:00</t>
  </si>
  <si>
    <t xml:space="preserve">2023-08-19T00:00:00-00:00</t>
  </si>
  <si>
    <t xml:space="preserve">2023-08-19T06:00:00-00:00</t>
  </si>
  <si>
    <t xml:space="preserve">2023-08-19T12:00:00-00:00</t>
  </si>
  <si>
    <t xml:space="preserve">2023-08-19T18:00:00-00:00</t>
  </si>
  <si>
    <t xml:space="preserve">2023-08-20T00:00:00-00:00</t>
  </si>
  <si>
    <t xml:space="preserve">2023-08-20T06:00:00-00:00</t>
  </si>
  <si>
    <t xml:space="preserve">2023-08-20T12:00:00-00:00</t>
  </si>
  <si>
    <t xml:space="preserve">2023-08-20T18:00:00-00:00</t>
  </si>
  <si>
    <t xml:space="preserve">2023-08-21T00:00:00-00:00</t>
  </si>
  <si>
    <t xml:space="preserve">2023-08-21T06:00:00-00:00</t>
  </si>
  <si>
    <t xml:space="preserve">2023-08-21T12:00:00-00:00</t>
  </si>
  <si>
    <t xml:space="preserve">2023-08-21T18:00:00-00:00</t>
  </si>
  <si>
    <t xml:space="preserve">2023-08-22T00:00:00-00:00</t>
  </si>
  <si>
    <t xml:space="preserve">2023-08-22T06:00:00-00:00</t>
  </si>
  <si>
    <t xml:space="preserve">2023-08-22T12:00:00-00:00</t>
  </si>
  <si>
    <t xml:space="preserve">2023-08-22T18:00:00-00:00</t>
  </si>
  <si>
    <t xml:space="preserve">2023-08-23T00:00:00-00:00</t>
  </si>
  <si>
    <t xml:space="preserve">2023-08-23T06:00:00-00:00</t>
  </si>
  <si>
    <t xml:space="preserve">2023-08-23T12:00:00-00:00</t>
  </si>
  <si>
    <t xml:space="preserve">2023-08-23T18:00:00-00:00</t>
  </si>
  <si>
    <t xml:space="preserve">2023-08-24T00:00:00-00:00</t>
  </si>
  <si>
    <t xml:space="preserve">2023-08-24T06:00:00-00:00</t>
  </si>
  <si>
    <t xml:space="preserve">2023-08-24T12:00:00-00:00</t>
  </si>
  <si>
    <t xml:space="preserve">2023-08-24T18:00:00-00:00</t>
  </si>
  <si>
    <t xml:space="preserve">2023-08-25T00:00:00-00:00</t>
  </si>
  <si>
    <t xml:space="preserve">2023-08-25T06:00:00-00:00</t>
  </si>
  <si>
    <t xml:space="preserve">2023-08-25T12:00:00-00:00</t>
  </si>
  <si>
    <t xml:space="preserve">2023-08-25T18:00:00-00:00</t>
  </si>
  <si>
    <t xml:space="preserve">2023-08-26T00:00:00-00:00</t>
  </si>
  <si>
    <t xml:space="preserve">2023-08-26T06:00:00-00:00</t>
  </si>
  <si>
    <t xml:space="preserve">2023-08-26T12:00:00-00:00</t>
  </si>
  <si>
    <t xml:space="preserve">2023-08-26T18:00:00-00:00</t>
  </si>
  <si>
    <t xml:space="preserve">2023-08-27T00:00:00-00:00</t>
  </si>
  <si>
    <t xml:space="preserve">2023-08-27T06:00:00-00:00</t>
  </si>
  <si>
    <t xml:space="preserve">2023-08-27T12:00:00-00:00</t>
  </si>
  <si>
    <t xml:space="preserve">2023-08-27T18:00:00-00:00</t>
  </si>
  <si>
    <t xml:space="preserve">2023-08-28T00:00:00-00:00</t>
  </si>
  <si>
    <t xml:space="preserve">2023-08-28T06:00:00-00:00</t>
  </si>
  <si>
    <t xml:space="preserve">2023-08-28T12:00:00-00:00</t>
  </si>
  <si>
    <t xml:space="preserve">2023-08-28T18:00:00-00:00</t>
  </si>
  <si>
    <t xml:space="preserve">2023-08-29T00:00:00-00:00</t>
  </si>
  <si>
    <t xml:space="preserve">2023-08-29T06:00:00-00:00</t>
  </si>
  <si>
    <t xml:space="preserve">2023-08-29T12:00:00-00:00</t>
  </si>
  <si>
    <t xml:space="preserve">2023-08-29T18:00:00-00:00</t>
  </si>
  <si>
    <t xml:space="preserve">2023-08-30T00:00:00-00:00</t>
  </si>
  <si>
    <t xml:space="preserve">2023-08-30T06:00:00-00:00</t>
  </si>
  <si>
    <t xml:space="preserve">2023-08-30T12:00:00-00:00</t>
  </si>
</sst>
</file>

<file path=xl/styles.xml><?xml version="1.0" encoding="utf-8"?>
<styleSheet xmlns="http://schemas.openxmlformats.org/spreadsheetml/2006/main">
  <numFmts count="9">
    <numFmt numFmtId="164" formatCode="General"/>
    <numFmt numFmtId="165" formatCode="m/d/yyyy\ h:mm"/>
    <numFmt numFmtId="166" formatCode="0.0"/>
    <numFmt numFmtId="167" formatCode="d\-mmm"/>
    <numFmt numFmtId="168" formatCode="m/d/yyyy"/>
    <numFmt numFmtId="169" formatCode="@"/>
    <numFmt numFmtId="170" formatCode="#,##0.0"/>
    <numFmt numFmtId="171" formatCode="mmm\-yy"/>
    <numFmt numFmtId="172" formatCode="[$-409]d\-mmm\-yyyy;@"/>
  </numFmts>
  <fonts count="21">
    <font>
      <sz val="11"/>
      <color theme="1"/>
      <name val="Calibri"/>
      <family val="2"/>
      <charset val="1"/>
    </font>
    <font>
      <sz val="10"/>
      <name val="Arial"/>
      <family val="0"/>
    </font>
    <font>
      <sz val="10"/>
      <name val="Arial"/>
      <family val="0"/>
    </font>
    <font>
      <sz val="10"/>
      <name val="Arial"/>
      <family val="0"/>
    </font>
    <font>
      <sz val="11"/>
      <color theme="1"/>
      <name val="Times New Roman"/>
      <family val="1"/>
      <charset val="1"/>
    </font>
    <font>
      <b val="true"/>
      <sz val="16"/>
      <color theme="1"/>
      <name val="Times New Roman"/>
      <family val="1"/>
      <charset val="1"/>
    </font>
    <font>
      <b val="true"/>
      <sz val="12"/>
      <color theme="1"/>
      <name val="Times New Roman"/>
      <family val="1"/>
      <charset val="1"/>
    </font>
    <font>
      <b val="true"/>
      <sz val="11"/>
      <name val="Times New Roman"/>
      <family val="1"/>
      <charset val="1"/>
    </font>
    <font>
      <b val="true"/>
      <sz val="11"/>
      <color theme="1"/>
      <name val="Times New Roman"/>
      <family val="1"/>
      <charset val="1"/>
    </font>
    <font>
      <b val="true"/>
      <sz val="10"/>
      <color theme="1"/>
      <name val="Times New Roman"/>
      <family val="1"/>
      <charset val="1"/>
    </font>
    <font>
      <b val="true"/>
      <u val="single"/>
      <sz val="11"/>
      <color theme="10"/>
      <name val="Times New Roman"/>
      <family val="1"/>
      <charset val="1"/>
    </font>
    <font>
      <u val="single"/>
      <sz val="11"/>
      <color theme="10"/>
      <name val="Calibri"/>
      <family val="2"/>
      <charset val="1"/>
    </font>
    <font>
      <b val="true"/>
      <sz val="14"/>
      <color theme="1"/>
      <name val="Times New Roman"/>
      <family val="1"/>
      <charset val="1"/>
    </font>
    <font>
      <sz val="12"/>
      <color theme="1"/>
      <name val="Times New Roman"/>
      <family val="1"/>
      <charset val="1"/>
    </font>
    <font>
      <sz val="11"/>
      <name val="Times New Roman"/>
      <family val="1"/>
      <charset val="1"/>
    </font>
    <font>
      <sz val="12"/>
      <color theme="1"/>
      <name val="Calibri"/>
      <family val="2"/>
      <charset val="1"/>
    </font>
    <font>
      <sz val="12"/>
      <name val="Times New Roman"/>
      <family val="1"/>
      <charset val="1"/>
    </font>
    <font>
      <b val="true"/>
      <sz val="11"/>
      <color theme="1"/>
      <name val="Calibri"/>
      <family val="2"/>
      <charset val="1"/>
    </font>
    <font>
      <sz val="10"/>
      <name val="Arial"/>
      <family val="2"/>
    </font>
    <font>
      <sz val="9"/>
      <color rgb="FF000000"/>
      <name val="Tahoma"/>
      <family val="2"/>
      <charset val="1"/>
    </font>
    <font>
      <sz val="9"/>
      <color rgb="FF000000"/>
      <name val="Tahoma"/>
      <family val="0"/>
      <charset val="1"/>
    </font>
  </fonts>
  <fills count="9">
    <fill>
      <patternFill patternType="none"/>
    </fill>
    <fill>
      <patternFill patternType="gray125"/>
    </fill>
    <fill>
      <patternFill patternType="solid">
        <fgColor rgb="FF00B0F0"/>
        <bgColor rgb="FF33CCCC"/>
      </patternFill>
    </fill>
    <fill>
      <patternFill patternType="solid">
        <fgColor theme="0" tint="-0.15"/>
        <bgColor rgb="FFC0C0C0"/>
      </patternFill>
    </fill>
    <fill>
      <patternFill patternType="solid">
        <fgColor theme="0"/>
        <bgColor rgb="FFFFFFCC"/>
      </patternFill>
    </fill>
    <fill>
      <patternFill patternType="solid">
        <fgColor theme="1"/>
        <bgColor rgb="FF003300"/>
      </patternFill>
    </fill>
    <fill>
      <patternFill patternType="solid">
        <fgColor rgb="FFFFFF00"/>
        <bgColor rgb="FFFFFF00"/>
      </patternFill>
    </fill>
    <fill>
      <patternFill patternType="solid">
        <fgColor rgb="FF92D050"/>
        <bgColor rgb="FFC0C0C0"/>
      </patternFill>
    </fill>
    <fill>
      <patternFill patternType="solid">
        <fgColor rgb="FFFFC000"/>
        <bgColor rgb="FFFF9900"/>
      </patternFill>
    </fill>
  </fills>
  <borders count="39">
    <border diagonalUp="false" diagonalDown="false">
      <left/>
      <right/>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medium"/>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style="thin"/>
      <right/>
      <top style="thin"/>
      <bottom/>
      <diagonal/>
    </border>
    <border diagonalUp="false" diagonalDown="false">
      <left/>
      <right/>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thin"/>
      <right/>
      <top/>
      <bottom style="medium"/>
      <diagonal/>
    </border>
    <border diagonalUp="false" diagonalDown="false">
      <left/>
      <right style="medium"/>
      <top/>
      <bottom style="medium"/>
      <diagonal/>
    </border>
    <border diagonalUp="false" diagonalDown="false">
      <left style="medium"/>
      <right style="medium"/>
      <top style="medium"/>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right style="medium"/>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right/>
      <top style="medium"/>
      <bottom/>
      <diagonal/>
    </border>
    <border diagonalUp="false" diagonalDown="false">
      <left style="medium"/>
      <right style="medium"/>
      <top style="thin"/>
      <bottom/>
      <diagonal/>
    </border>
    <border diagonalUp="false" diagonalDown="false">
      <left style="thin"/>
      <right style="thin"/>
      <top style="thin"/>
      <bottom/>
      <diagonal/>
    </border>
    <border diagonalUp="false" diagonalDown="false">
      <left style="medium"/>
      <right style="medium"/>
      <top/>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medium"/>
      <right style="medium"/>
      <top/>
      <bottom style="medium"/>
      <diagonal/>
    </border>
    <border diagonalUp="false" diagonalDown="false">
      <left/>
      <right style="thin"/>
      <top style="thin"/>
      <bottom/>
      <diagonal/>
    </border>
    <border diagonalUp="false" diagonalDown="false">
      <left/>
      <right style="thin"/>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19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6" fillId="2" borderId="2" xfId="0" applyFont="true" applyBorder="true" applyAlignment="true" applyProtection="false">
      <alignment horizontal="right" vertical="center" textRotation="0" wrapText="false" indent="0" shrinkToFit="false"/>
      <protection locked="true" hidden="false"/>
    </xf>
    <xf numFmtId="165" fontId="7" fillId="2" borderId="2" xfId="0" applyFont="true" applyBorder="true" applyAlignment="true" applyProtection="false">
      <alignment horizontal="right" vertical="center" textRotation="0" wrapText="true" indent="0" shrinkToFit="false"/>
      <protection locked="true" hidden="false"/>
    </xf>
    <xf numFmtId="165" fontId="7" fillId="2" borderId="3" xfId="0" applyFont="true" applyBorder="true" applyAlignment="true" applyProtection="false">
      <alignment horizontal="center" vertical="center" textRotation="0" wrapText="false" indent="0" shrinkToFit="false"/>
      <protection locked="true" hidden="false"/>
    </xf>
    <xf numFmtId="164" fontId="8" fillId="2" borderId="4" xfId="0" applyFont="true" applyBorder="true" applyAlignment="true" applyProtection="false">
      <alignment horizontal="center"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9" fillId="2" borderId="5" xfId="0" applyFont="true" applyBorder="true" applyAlignment="true" applyProtection="false">
      <alignment horizontal="center"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6" xfId="0" applyFont="true" applyBorder="true" applyAlignment="true" applyProtection="false">
      <alignment horizontal="center" vertical="center" textRotation="0" wrapText="false" indent="0" shrinkToFit="false"/>
      <protection locked="true" hidden="false"/>
    </xf>
    <xf numFmtId="164" fontId="7" fillId="3" borderId="7" xfId="0" applyFont="true" applyBorder="true" applyAlignment="true" applyProtection="false">
      <alignment horizontal="center" vertical="center" textRotation="0" wrapText="false" indent="0" shrinkToFit="false"/>
      <protection locked="true" hidden="false"/>
    </xf>
    <xf numFmtId="164" fontId="10" fillId="3" borderId="8" xfId="20" applyFont="true" applyBorder="true" applyAlignment="true" applyProtection="true">
      <alignment horizontal="center" vertical="center" textRotation="0" wrapText="false" indent="0" shrinkToFit="false"/>
      <protection locked="true" hidden="false"/>
    </xf>
    <xf numFmtId="164" fontId="7" fillId="3" borderId="8" xfId="0" applyFont="true" applyBorder="true" applyAlignment="true" applyProtection="false">
      <alignment horizontal="center" vertical="center" textRotation="0" wrapText="false" indent="0" shrinkToFit="false"/>
      <protection locked="true" hidden="false"/>
    </xf>
    <xf numFmtId="164" fontId="8" fillId="3" borderId="8" xfId="0" applyFont="true" applyBorder="true" applyAlignment="true" applyProtection="false">
      <alignment horizontal="center" vertical="center" textRotation="0" wrapText="false" indent="0" shrinkToFit="false"/>
      <protection locked="true" hidden="false"/>
    </xf>
    <xf numFmtId="164" fontId="9" fillId="3" borderId="8" xfId="0" applyFont="true" applyBorder="true" applyAlignment="true" applyProtection="false">
      <alignment horizontal="center" vertical="center" textRotation="0" wrapText="false" indent="0" shrinkToFit="false"/>
      <protection locked="true" hidden="false"/>
    </xf>
    <xf numFmtId="166" fontId="4" fillId="3" borderId="8" xfId="0" applyFont="true" applyBorder="true" applyAlignment="true" applyProtection="false">
      <alignment horizontal="center" vertical="center" textRotation="0" wrapText="false" indent="0" shrinkToFit="false"/>
      <protection locked="true" hidden="false"/>
    </xf>
    <xf numFmtId="164" fontId="4" fillId="3" borderId="8" xfId="0" applyFont="true" applyBorder="true" applyAlignment="true" applyProtection="false">
      <alignment horizontal="center" vertical="center" textRotation="0" wrapText="false" indent="0" shrinkToFit="false"/>
      <protection locked="true" hidden="false"/>
    </xf>
    <xf numFmtId="167" fontId="4" fillId="3" borderId="9" xfId="0" applyFont="true" applyBorder="true" applyAlignment="true" applyProtection="false">
      <alignment horizontal="left" vertical="center" textRotation="0" wrapText="false" indent="0" shrinkToFit="false"/>
      <protection locked="true" hidden="false"/>
    </xf>
    <xf numFmtId="166" fontId="4"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8" fontId="4" fillId="3" borderId="0" xfId="0" applyFont="true" applyBorder="false" applyAlignment="true" applyProtection="false">
      <alignment horizontal="general" vertical="center" textRotation="0" wrapText="false" indent="0" shrinkToFit="false"/>
      <protection locked="true" hidden="false"/>
    </xf>
    <xf numFmtId="164" fontId="4" fillId="3" borderId="10" xfId="0" applyFont="true" applyBorder="true" applyAlignment="true" applyProtection="false">
      <alignment horizontal="general" vertical="center" textRotation="0" wrapText="false" indent="0" shrinkToFit="false"/>
      <protection locked="true" hidden="false"/>
    </xf>
    <xf numFmtId="167" fontId="4" fillId="3" borderId="11" xfId="0" applyFont="true" applyBorder="true" applyAlignment="true" applyProtection="false">
      <alignment horizontal="right" vertical="center" textRotation="0" wrapText="false" indent="0" shrinkToFit="false"/>
      <protection locked="true" hidden="false"/>
    </xf>
    <xf numFmtId="168" fontId="4" fillId="3" borderId="12" xfId="0" applyFont="true" applyBorder="true" applyAlignment="true" applyProtection="false">
      <alignment horizontal="left" vertical="center" textRotation="0" wrapText="false" indent="0" shrinkToFit="false"/>
      <protection locked="true" hidden="false"/>
    </xf>
    <xf numFmtId="164" fontId="7" fillId="4" borderId="7" xfId="0" applyFont="true" applyBorder="true" applyAlignment="true" applyProtection="false">
      <alignment horizontal="center" vertical="center" textRotation="0" wrapText="false" indent="0" shrinkToFit="false"/>
      <protection locked="true" hidden="false"/>
    </xf>
    <xf numFmtId="164" fontId="10" fillId="4" borderId="8" xfId="20" applyFont="true" applyBorder="true" applyAlignment="true" applyProtection="true">
      <alignment horizontal="center" vertical="center" textRotation="0" wrapText="false" indent="0" shrinkToFit="false"/>
      <protection locked="true" hidden="false"/>
    </xf>
    <xf numFmtId="164" fontId="7" fillId="0" borderId="8" xfId="0" applyFont="true" applyBorder="true" applyAlignment="true" applyProtection="false">
      <alignment horizontal="center" vertical="center" textRotation="0" wrapText="fals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false" indent="0" shrinkToFit="false"/>
      <protection locked="true" hidden="false"/>
    </xf>
    <xf numFmtId="166" fontId="4" fillId="4" borderId="8" xfId="0" applyFont="true" applyBorder="true" applyAlignment="true" applyProtection="false">
      <alignment horizontal="center" vertical="center" textRotation="0" wrapText="false" indent="0" shrinkToFit="false"/>
      <protection locked="true" hidden="false"/>
    </xf>
    <xf numFmtId="164" fontId="4" fillId="4" borderId="8" xfId="0" applyFont="true" applyBorder="true" applyAlignment="true" applyProtection="false">
      <alignment horizontal="center" vertical="center" textRotation="0" wrapText="false" indent="0" shrinkToFit="false"/>
      <protection locked="true" hidden="false"/>
    </xf>
    <xf numFmtId="167" fontId="4" fillId="4" borderId="13" xfId="0" applyFont="true" applyBorder="true" applyAlignment="true" applyProtection="false">
      <alignment horizontal="left" vertical="center" textRotation="0" wrapText="false" indent="0" shrinkToFit="false"/>
      <protection locked="true" hidden="false"/>
    </xf>
    <xf numFmtId="166" fontId="4" fillId="4" borderId="14" xfId="0" applyFont="true" applyBorder="true" applyAlignment="true" applyProtection="false">
      <alignment horizontal="center" vertical="center" textRotation="0" wrapText="false" indent="0" shrinkToFit="false"/>
      <protection locked="true" hidden="false"/>
    </xf>
    <xf numFmtId="164" fontId="4" fillId="4" borderId="14" xfId="0" applyFont="true" applyBorder="true" applyAlignment="true" applyProtection="false">
      <alignment horizontal="left" vertical="center" textRotation="0" wrapText="false" indent="0" shrinkToFit="false"/>
      <protection locked="true" hidden="false"/>
    </xf>
    <xf numFmtId="168" fontId="4" fillId="4" borderId="14" xfId="0" applyFont="true" applyBorder="true" applyAlignment="true" applyProtection="false">
      <alignment horizontal="general" vertical="center" textRotation="0" wrapText="false" indent="0" shrinkToFit="false"/>
      <protection locked="true" hidden="false"/>
    </xf>
    <xf numFmtId="164" fontId="4" fillId="0" borderId="10" xfId="0" applyFont="true" applyBorder="true" applyAlignment="true" applyProtection="false">
      <alignment horizontal="general" vertical="center" textRotation="0" wrapText="false" indent="0" shrinkToFit="false"/>
      <protection locked="true" hidden="false"/>
    </xf>
    <xf numFmtId="167" fontId="4" fillId="4" borderId="11" xfId="0" applyFont="true" applyBorder="true" applyAlignment="true" applyProtection="false">
      <alignment horizontal="right" vertical="center" textRotation="0" wrapText="false" indent="0" shrinkToFit="false"/>
      <protection locked="true" hidden="false"/>
    </xf>
    <xf numFmtId="168" fontId="4" fillId="4" borderId="12" xfId="0" applyFont="true" applyBorder="true" applyAlignment="true" applyProtection="false">
      <alignment horizontal="left" vertical="center" textRotation="0" wrapText="false" indent="0" shrinkToFit="false"/>
      <protection locked="true" hidden="false"/>
    </xf>
    <xf numFmtId="167" fontId="4" fillId="3" borderId="13" xfId="0" applyFont="true" applyBorder="true" applyAlignment="true" applyProtection="false">
      <alignment horizontal="left" vertical="center" textRotation="0" wrapText="false" indent="0" shrinkToFit="false"/>
      <protection locked="true" hidden="false"/>
    </xf>
    <xf numFmtId="166" fontId="4" fillId="3" borderId="14" xfId="0" applyFont="true" applyBorder="true" applyAlignment="true" applyProtection="false">
      <alignment horizontal="center" vertical="center" textRotation="0" wrapText="false" indent="0" shrinkToFit="false"/>
      <protection locked="true" hidden="false"/>
    </xf>
    <xf numFmtId="164" fontId="4" fillId="3" borderId="14" xfId="0" applyFont="true" applyBorder="true" applyAlignment="true" applyProtection="false">
      <alignment horizontal="left" vertical="center" textRotation="0" wrapText="false" indent="0" shrinkToFit="false"/>
      <protection locked="true" hidden="false"/>
    </xf>
    <xf numFmtId="168" fontId="4" fillId="3" borderId="14" xfId="0" applyFont="true" applyBorder="true" applyAlignment="true" applyProtection="false">
      <alignment horizontal="general" vertical="center" textRotation="0" wrapText="false" indent="0" shrinkToFit="false"/>
      <protection locked="true" hidden="false"/>
    </xf>
    <xf numFmtId="164" fontId="7" fillId="4" borderId="8" xfId="0" applyFont="true" applyBorder="true" applyAlignment="true" applyProtection="false">
      <alignment horizontal="center" vertical="center" textRotation="0" wrapText="false" indent="0" shrinkToFit="false"/>
      <protection locked="true" hidden="false"/>
    </xf>
    <xf numFmtId="164" fontId="8" fillId="4" borderId="8" xfId="0" applyFont="true" applyBorder="true" applyAlignment="true" applyProtection="false">
      <alignment horizontal="center" vertical="center" textRotation="0" wrapText="false" indent="0" shrinkToFit="false"/>
      <protection locked="true" hidden="false"/>
    </xf>
    <xf numFmtId="166" fontId="4" fillId="0" borderId="8"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7" fillId="0" borderId="7" xfId="0" applyFont="true" applyBorder="true" applyAlignment="true" applyProtection="false">
      <alignment horizontal="center" vertical="center" textRotation="0" wrapText="false" indent="0" shrinkToFit="false"/>
      <protection locked="true" hidden="false"/>
    </xf>
    <xf numFmtId="164" fontId="10" fillId="0" borderId="8" xfId="20" applyFont="true" applyBorder="true" applyAlignment="true" applyProtection="true">
      <alignment horizontal="center" vertical="center" textRotation="0" wrapText="false" indent="0" shrinkToFit="false"/>
      <protection locked="true" hidden="false"/>
    </xf>
    <xf numFmtId="164" fontId="4" fillId="3" borderId="14" xfId="0" applyFont="true" applyBorder="true" applyAlignment="true" applyProtection="false">
      <alignment horizontal="general" vertical="center" textRotation="0" wrapText="false" indent="0" shrinkToFit="false"/>
      <protection locked="true" hidden="false"/>
    </xf>
    <xf numFmtId="164" fontId="4" fillId="4" borderId="14" xfId="0" applyFont="true" applyBorder="true" applyAlignment="true" applyProtection="false">
      <alignment horizontal="center" vertical="center" textRotation="0" wrapText="false" indent="0" shrinkToFit="false"/>
      <protection locked="true" hidden="false"/>
    </xf>
    <xf numFmtId="164" fontId="4" fillId="4" borderId="11" xfId="0" applyFont="true" applyBorder="true" applyAlignment="true" applyProtection="false">
      <alignment horizontal="right" vertical="center" textRotation="0" wrapText="false" indent="0" shrinkToFit="false"/>
      <protection locked="true" hidden="false"/>
    </xf>
    <xf numFmtId="164" fontId="4" fillId="4" borderId="12" xfId="0" applyFont="true" applyBorder="true" applyAlignment="true" applyProtection="false">
      <alignment horizontal="left" vertical="center" textRotation="0" wrapText="false" indent="0" shrinkToFit="false"/>
      <protection locked="true" hidden="false"/>
    </xf>
    <xf numFmtId="164" fontId="8" fillId="3" borderId="8" xfId="0" applyFont="true" applyBorder="true" applyAlignment="true" applyProtection="false">
      <alignment horizontal="center" vertical="center" textRotation="0" wrapText="true" indent="0" shrinkToFit="false"/>
      <protection locked="true" hidden="false"/>
    </xf>
    <xf numFmtId="164" fontId="9" fillId="3" borderId="8" xfId="0" applyFont="true" applyBorder="true" applyAlignment="true" applyProtection="false">
      <alignment horizontal="center" vertical="center" textRotation="0" wrapText="true" indent="0" shrinkToFit="false"/>
      <protection locked="true" hidden="false"/>
    </xf>
    <xf numFmtId="164" fontId="4" fillId="3" borderId="12" xfId="0" applyFont="true" applyBorder="true" applyAlignment="true" applyProtection="false">
      <alignment horizontal="left" vertical="center" textRotation="0" wrapText="false" indent="0" shrinkToFit="false"/>
      <protection locked="true" hidden="false"/>
    </xf>
    <xf numFmtId="164" fontId="9" fillId="3" borderId="0" xfId="0" applyFont="true" applyBorder="fals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false" indent="0" shrinkToFit="false"/>
      <protection locked="true" hidden="false"/>
    </xf>
    <xf numFmtId="164" fontId="10" fillId="0" borderId="16" xfId="20" applyFont="true" applyBorder="true" applyAlignment="true" applyProtection="true">
      <alignment horizontal="center" vertical="center" textRotation="0" wrapText="false" indent="0" shrinkToFit="false"/>
      <protection locked="true" hidden="false"/>
    </xf>
    <xf numFmtId="164" fontId="8" fillId="0" borderId="16" xfId="0" applyFont="true" applyBorder="true" applyAlignment="true" applyProtection="false">
      <alignment horizontal="center" vertical="center" textRotation="0" wrapText="false" indent="0" shrinkToFit="false"/>
      <protection locked="true" hidden="false"/>
    </xf>
    <xf numFmtId="164" fontId="8" fillId="0" borderId="16"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center" vertical="center" textRotation="0" wrapText="true" indent="0" shrinkToFit="false"/>
      <protection locked="true" hidden="false"/>
    </xf>
    <xf numFmtId="166" fontId="4" fillId="0" borderId="16" xfId="0" applyFont="true" applyBorder="true" applyAlignment="true" applyProtection="false">
      <alignment horizontal="center" vertical="center" textRotation="0" wrapText="false" indent="0" shrinkToFit="false"/>
      <protection locked="true" hidden="false"/>
    </xf>
    <xf numFmtId="164" fontId="4" fillId="0" borderId="17" xfId="0" applyFont="true" applyBorder="true" applyAlignment="true" applyProtection="false">
      <alignment horizontal="center" vertical="center" textRotation="0" wrapText="false" indent="0" shrinkToFit="false"/>
      <protection locked="true" hidden="false"/>
    </xf>
    <xf numFmtId="168" fontId="4" fillId="4" borderId="14" xfId="0" applyFont="true" applyBorder="true" applyAlignment="true" applyProtection="false">
      <alignment horizontal="left" vertical="center" textRotation="0" wrapText="false" indent="0" shrinkToFit="false"/>
      <protection locked="true" hidden="false"/>
    </xf>
    <xf numFmtId="164" fontId="4" fillId="4" borderId="10" xfId="0" applyFont="true" applyBorder="true" applyAlignment="true" applyProtection="false">
      <alignment horizontal="general" vertical="center" textRotation="0" wrapText="false" indent="0" shrinkToFit="false"/>
      <protection locked="true" hidden="false"/>
    </xf>
    <xf numFmtId="167" fontId="4" fillId="4" borderId="18" xfId="0" applyFont="true" applyBorder="true" applyAlignment="true" applyProtection="false">
      <alignment horizontal="right" vertical="center" textRotation="0" wrapText="false" indent="0" shrinkToFit="false"/>
      <protection locked="true" hidden="false"/>
    </xf>
    <xf numFmtId="168" fontId="4" fillId="4" borderId="19" xfId="0" applyFont="true" applyBorder="true" applyAlignment="true" applyProtection="false">
      <alignment horizontal="left"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left" vertical="center" textRotation="0" wrapText="false" indent="0" shrinkToFit="false"/>
      <protection locked="true" hidden="false"/>
    </xf>
    <xf numFmtId="164" fontId="8" fillId="4" borderId="0" xfId="0" applyFont="true" applyBorder="false" applyAlignment="true" applyProtection="false">
      <alignment horizontal="center" vertical="center" textRotation="0" wrapText="false" indent="0" shrinkToFit="false"/>
      <protection locked="true" hidden="false"/>
    </xf>
    <xf numFmtId="164" fontId="9" fillId="4" borderId="9"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general" vertical="center" textRotation="0" wrapText="false" indent="0" shrinkToFit="false"/>
      <protection locked="true" hidden="false"/>
    </xf>
    <xf numFmtId="164" fontId="12" fillId="0" borderId="20" xfId="0" applyFont="true" applyBorder="true" applyAlignment="true" applyProtection="false">
      <alignment horizontal="center" vertical="center" textRotation="0" wrapText="false" indent="0" shrinkToFit="false"/>
      <protection locked="true" hidden="false"/>
    </xf>
    <xf numFmtId="164" fontId="8" fillId="2" borderId="21" xfId="0" applyFont="true" applyBorder="true" applyAlignment="true" applyProtection="false">
      <alignment horizontal="center" vertical="center" textRotation="0" wrapText="false" indent="0" shrinkToFit="false"/>
      <protection locked="true" hidden="false"/>
    </xf>
    <xf numFmtId="164" fontId="8" fillId="2" borderId="22" xfId="0" applyFont="true" applyBorder="true" applyAlignment="true" applyProtection="false">
      <alignment horizontal="center" vertical="center" textRotation="0" wrapText="false" indent="0" shrinkToFit="false"/>
      <protection locked="true" hidden="false"/>
    </xf>
    <xf numFmtId="164" fontId="8" fillId="2" borderId="23" xfId="0" applyFont="true" applyBorder="true" applyAlignment="true" applyProtection="false">
      <alignment horizontal="center" vertical="center" textRotation="0" wrapText="false" indent="0" shrinkToFit="false"/>
      <protection locked="true" hidden="false"/>
    </xf>
    <xf numFmtId="164" fontId="7" fillId="0" borderId="24" xfId="0" applyFont="true" applyBorder="true" applyAlignment="true" applyProtection="false">
      <alignment horizontal="center" vertical="center" textRotation="0" wrapText="false" indent="0" shrinkToFit="false"/>
      <protection locked="true" hidden="false"/>
    </xf>
    <xf numFmtId="164" fontId="10" fillId="0" borderId="25" xfId="20" applyFont="true" applyBorder="true" applyAlignment="true" applyProtection="true">
      <alignment horizontal="center" vertical="center" textRotation="0" wrapText="false" indent="0" shrinkToFit="false"/>
      <protection locked="true" hidden="false"/>
    </xf>
    <xf numFmtId="164" fontId="7" fillId="0" borderId="25" xfId="0" applyFont="true" applyBorder="true" applyAlignment="true" applyProtection="false">
      <alignment horizontal="center" vertical="center" textRotation="0" wrapText="false" indent="0" shrinkToFit="false"/>
      <protection locked="true" hidden="false"/>
    </xf>
    <xf numFmtId="164" fontId="8" fillId="0" borderId="25" xfId="0" applyFont="true" applyBorder="true" applyAlignment="true" applyProtection="false">
      <alignment horizontal="center" vertical="center" textRotation="0" wrapText="false" indent="0" shrinkToFit="false"/>
      <protection locked="true" hidden="false"/>
    </xf>
    <xf numFmtId="169" fontId="8" fillId="0" borderId="25" xfId="0" applyFont="true" applyBorder="true" applyAlignment="true" applyProtection="false">
      <alignment horizontal="center" vertical="center" textRotation="0" wrapText="false" indent="0" shrinkToFit="false"/>
      <protection locked="true" hidden="false"/>
    </xf>
    <xf numFmtId="166" fontId="4" fillId="0" borderId="25"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7" fontId="4" fillId="4" borderId="9" xfId="0" applyFont="true" applyBorder="true" applyAlignment="true" applyProtection="false">
      <alignment horizontal="left" vertical="center" textRotation="0" wrapText="false" indent="0" shrinkToFit="false"/>
      <protection locked="true" hidden="false"/>
    </xf>
    <xf numFmtId="166" fontId="4" fillId="4"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8" fontId="4" fillId="4" borderId="0" xfId="0" applyFont="true" applyBorder="false" applyAlignment="true" applyProtection="false">
      <alignment horizontal="left" vertical="center" textRotation="0" wrapText="false" indent="0" shrinkToFit="false"/>
      <protection locked="true" hidden="false"/>
    </xf>
    <xf numFmtId="164" fontId="4" fillId="4" borderId="26"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7" fillId="0" borderId="8" xfId="0" applyFont="true" applyBorder="true" applyAlignment="true" applyProtection="false">
      <alignment horizontal="center" vertical="center" textRotation="0" wrapText="true" indent="0" shrinkToFit="false"/>
      <protection locked="true" hidden="false"/>
    </xf>
    <xf numFmtId="170" fontId="4" fillId="0" borderId="8" xfId="0" applyFont="true" applyBorder="true" applyAlignment="true" applyProtection="false">
      <alignment horizontal="center" vertical="center" textRotation="0" wrapText="false" indent="0" shrinkToFit="false"/>
      <protection locked="true" hidden="false"/>
    </xf>
    <xf numFmtId="167" fontId="4" fillId="4" borderId="0" xfId="0" applyFont="true" applyBorder="false" applyAlignment="true" applyProtection="false">
      <alignment horizontal="left" vertical="center" textRotation="0" wrapText="false" indent="0" shrinkToFit="false"/>
      <protection locked="true" hidden="false"/>
    </xf>
    <xf numFmtId="166" fontId="4" fillId="4" borderId="0" xfId="0" applyFont="true" applyBorder="false" applyAlignment="true" applyProtection="false">
      <alignment horizontal="left"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8" fontId="4" fillId="4" borderId="0" xfId="0" applyFont="true" applyBorder="false" applyAlignment="true" applyProtection="false">
      <alignment horizontal="general" vertical="center" textRotation="0" wrapText="false" indent="0" shrinkToFit="false"/>
      <protection locked="true" hidden="false"/>
    </xf>
    <xf numFmtId="164" fontId="7" fillId="3" borderId="27" xfId="0" applyFont="true" applyBorder="true" applyAlignment="true" applyProtection="false">
      <alignment horizontal="center" vertical="center" textRotation="0" wrapText="true" indent="0" shrinkToFit="false"/>
      <protection locked="true" hidden="false"/>
    </xf>
    <xf numFmtId="170" fontId="4" fillId="3" borderId="8" xfId="0" applyFont="true" applyBorder="true" applyAlignment="true" applyProtection="false">
      <alignment horizontal="center" vertical="center" textRotation="0" wrapText="false" indent="0" shrinkToFit="false"/>
      <protection locked="true" hidden="false"/>
    </xf>
    <xf numFmtId="167" fontId="4" fillId="3" borderId="13" xfId="0" applyFont="true" applyBorder="true" applyAlignment="true" applyProtection="false">
      <alignment horizontal="general" vertical="center" textRotation="0" wrapText="false" indent="0" shrinkToFit="false"/>
      <protection locked="true" hidden="false"/>
    </xf>
    <xf numFmtId="166" fontId="4" fillId="3" borderId="14" xfId="0" applyFont="true" applyBorder="true" applyAlignment="true" applyProtection="false">
      <alignment horizontal="general" vertical="center" textRotation="0" wrapText="false" indent="0" shrinkToFit="false"/>
      <protection locked="true" hidden="false"/>
    </xf>
    <xf numFmtId="167" fontId="7" fillId="0" borderId="8" xfId="0" applyFont="true" applyBorder="true" applyAlignment="true" applyProtection="false">
      <alignment horizontal="center" vertical="center" textRotation="0" wrapText="false" indent="0" shrinkToFit="false"/>
      <protection locked="true" hidden="false"/>
    </xf>
    <xf numFmtId="164" fontId="7" fillId="0" borderId="27" xfId="0" applyFont="true" applyBorder="true" applyAlignment="true" applyProtection="false">
      <alignment horizontal="center" vertical="center" textRotation="0" wrapText="true" indent="0" shrinkToFit="false"/>
      <protection locked="true" hidden="false"/>
    </xf>
    <xf numFmtId="167" fontId="4" fillId="4" borderId="13" xfId="0" applyFont="true" applyBorder="true" applyAlignment="true" applyProtection="false">
      <alignment horizontal="general" vertical="center" textRotation="0" wrapText="false" indent="0" shrinkToFit="false"/>
      <protection locked="true" hidden="false"/>
    </xf>
    <xf numFmtId="166" fontId="4" fillId="4" borderId="14" xfId="0" applyFont="true" applyBorder="true" applyAlignment="true" applyProtection="false">
      <alignment horizontal="general" vertical="center" textRotation="0" wrapText="false" indent="0" shrinkToFit="false"/>
      <protection locked="true" hidden="false"/>
    </xf>
    <xf numFmtId="164" fontId="4" fillId="4" borderId="14"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7" fillId="3" borderId="27" xfId="0" applyFont="true" applyBorder="true" applyAlignment="true" applyProtection="false">
      <alignment horizontal="center" vertical="center" textRotation="0" wrapText="false" indent="0" shrinkToFit="false"/>
      <protection locked="true" hidden="false"/>
    </xf>
    <xf numFmtId="164" fontId="4" fillId="3" borderId="8" xfId="0" applyFont="true" applyBorder="true" applyAlignment="true" applyProtection="false">
      <alignment horizontal="left" vertical="center" textRotation="0" wrapText="false" indent="0" shrinkToFit="false"/>
      <protection locked="true" hidden="false"/>
    </xf>
    <xf numFmtId="167" fontId="4" fillId="3" borderId="28" xfId="0" applyFont="true" applyBorder="true" applyAlignment="true" applyProtection="false">
      <alignment horizontal="left" vertical="center" textRotation="0" wrapText="false" indent="0" shrinkToFit="false"/>
      <protection locked="true" hidden="false"/>
    </xf>
    <xf numFmtId="166" fontId="4" fillId="3" borderId="28" xfId="0" applyFont="true" applyBorder="true" applyAlignment="true" applyProtection="false">
      <alignment horizontal="left" vertical="center" textRotation="0" wrapText="false" indent="0" shrinkToFit="false"/>
      <protection locked="true" hidden="false"/>
    </xf>
    <xf numFmtId="164" fontId="4" fillId="3" borderId="28" xfId="0" applyFont="true" applyBorder="true" applyAlignment="true" applyProtection="false">
      <alignment horizontal="left" vertical="center" textRotation="0" wrapText="false" indent="0" shrinkToFit="false"/>
      <protection locked="true" hidden="false"/>
    </xf>
    <xf numFmtId="168" fontId="4" fillId="3" borderId="28" xfId="0" applyFont="true" applyBorder="true" applyAlignment="true" applyProtection="false">
      <alignment horizontal="general" vertical="center" textRotation="0" wrapText="false" indent="0" shrinkToFit="false"/>
      <protection locked="true" hidden="false"/>
    </xf>
    <xf numFmtId="164" fontId="4" fillId="3" borderId="29" xfId="0" applyFont="true" applyBorder="true" applyAlignment="true" applyProtection="false">
      <alignment horizontal="general" vertical="center" textRotation="0" wrapText="false" indent="0" shrinkToFit="false"/>
      <protection locked="true" hidden="false"/>
    </xf>
    <xf numFmtId="164" fontId="7" fillId="0" borderId="15" xfId="0" applyFont="true" applyBorder="true" applyAlignment="true" applyProtection="false">
      <alignment horizontal="center" vertical="center" textRotation="0" wrapText="false" indent="0" shrinkToFit="false"/>
      <protection locked="true" hidden="false"/>
    </xf>
    <xf numFmtId="164" fontId="7" fillId="0" borderId="16" xfId="0" applyFont="true" applyBorder="true" applyAlignment="true" applyProtection="false">
      <alignment horizontal="center" vertical="center" textRotation="0" wrapText="false" indent="0" shrinkToFit="false"/>
      <protection locked="true" hidden="false"/>
    </xf>
    <xf numFmtId="170" fontId="4" fillId="0" borderId="16" xfId="0" applyFont="true" applyBorder="true" applyAlignment="true" applyProtection="false">
      <alignment horizontal="center" vertical="center" textRotation="0" wrapText="false" indent="0" shrinkToFit="false"/>
      <protection locked="true" hidden="false"/>
    </xf>
    <xf numFmtId="164" fontId="4" fillId="4" borderId="16" xfId="0" applyFont="true" applyBorder="true" applyAlignment="true" applyProtection="false">
      <alignment horizontal="center" vertical="center" textRotation="0" wrapText="false" indent="0" shrinkToFit="false"/>
      <protection locked="true" hidden="false"/>
    </xf>
    <xf numFmtId="164" fontId="7" fillId="0" borderId="16"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left" vertical="center" textRotation="0" wrapText="true" indent="0" shrinkToFit="false"/>
      <protection locked="true" hidden="false"/>
    </xf>
    <xf numFmtId="164" fontId="4" fillId="0" borderId="3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7" fillId="0" borderId="31" xfId="0" applyFont="true" applyBorder="true" applyAlignment="true" applyProtection="false">
      <alignment horizontal="center" vertical="center" textRotation="0" wrapText="true" indent="0" shrinkToFit="false"/>
      <protection locked="true" hidden="false"/>
    </xf>
    <xf numFmtId="164" fontId="10" fillId="0" borderId="7" xfId="20" applyFont="true" applyBorder="true" applyAlignment="true" applyProtection="tru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10" fillId="3" borderId="7" xfId="20" applyFont="true" applyBorder="true" applyAlignment="true" applyProtection="true">
      <alignment horizontal="center" vertical="center" textRotation="0" wrapText="false" indent="0" shrinkToFit="false"/>
      <protection locked="true" hidden="false"/>
    </xf>
    <xf numFmtId="164" fontId="4" fillId="3" borderId="32" xfId="0" applyFont="true" applyBorder="true" applyAlignment="true" applyProtection="false">
      <alignment horizontal="center" vertical="center" textRotation="0" wrapText="false" indent="0" shrinkToFit="false"/>
      <protection locked="true" hidden="false"/>
    </xf>
    <xf numFmtId="167" fontId="4" fillId="3" borderId="14" xfId="0" applyFont="true" applyBorder="true" applyAlignment="true" applyProtection="false">
      <alignment horizontal="left" vertical="center" textRotation="0" wrapText="false" indent="0" shrinkToFit="false"/>
      <protection locked="true" hidden="false"/>
    </xf>
    <xf numFmtId="164" fontId="4" fillId="3" borderId="10" xfId="0" applyFont="true" applyBorder="true" applyAlignment="true" applyProtection="false">
      <alignment horizontal="center" vertical="center" textRotation="0" wrapText="false" indent="0" shrinkToFit="false"/>
      <protection locked="true" hidden="false"/>
    </xf>
    <xf numFmtId="167" fontId="4" fillId="3" borderId="9" xfId="0" applyFont="true" applyBorder="true" applyAlignment="true" applyProtection="false">
      <alignment horizontal="right" vertical="center" textRotation="0" wrapText="false" indent="0" shrinkToFit="false"/>
      <protection locked="true" hidden="false"/>
    </xf>
    <xf numFmtId="168" fontId="4" fillId="3" borderId="26" xfId="0" applyFont="true" applyBorder="true" applyAlignment="true" applyProtection="false">
      <alignment horizontal="left" vertical="center" textRotation="0" wrapText="false" indent="0" shrinkToFit="false"/>
      <protection locked="true" hidden="false"/>
    </xf>
    <xf numFmtId="164" fontId="7" fillId="5" borderId="33" xfId="0" applyFont="true" applyBorder="true" applyAlignment="true" applyProtection="false">
      <alignment horizontal="left" vertical="center" textRotation="0" wrapText="false" indent="0" shrinkToFit="false"/>
      <protection locked="true" hidden="false"/>
    </xf>
    <xf numFmtId="164" fontId="7" fillId="5" borderId="34" xfId="0" applyFont="true" applyBorder="true" applyAlignment="true" applyProtection="false">
      <alignment horizontal="center" vertical="center" textRotation="0" wrapText="false" indent="0" shrinkToFit="false"/>
      <protection locked="true" hidden="false"/>
    </xf>
    <xf numFmtId="164" fontId="14" fillId="5" borderId="8" xfId="0" applyFont="true" applyBorder="true" applyAlignment="true" applyProtection="false">
      <alignment horizontal="center" vertical="center" textRotation="0" wrapText="false" indent="0" shrinkToFit="false"/>
      <protection locked="true" hidden="false"/>
    </xf>
    <xf numFmtId="164" fontId="4" fillId="5" borderId="8" xfId="0" applyFont="true" applyBorder="true" applyAlignment="true" applyProtection="false">
      <alignment horizontal="center" vertical="center" textRotation="0" wrapText="false" indent="0" shrinkToFit="false"/>
      <protection locked="true" hidden="false"/>
    </xf>
    <xf numFmtId="164" fontId="4" fillId="5" borderId="28" xfId="0" applyFont="true" applyBorder="true" applyAlignment="true" applyProtection="false">
      <alignment horizontal="center" vertical="center" textRotation="0" wrapText="false" indent="0" shrinkToFit="false"/>
      <protection locked="true" hidden="false"/>
    </xf>
    <xf numFmtId="166" fontId="4" fillId="5" borderId="28" xfId="0" applyFont="true" applyBorder="true" applyAlignment="true" applyProtection="false">
      <alignment horizontal="center" vertical="center" textRotation="0" wrapText="false" indent="0" shrinkToFit="false"/>
      <protection locked="true" hidden="false"/>
    </xf>
    <xf numFmtId="164" fontId="4" fillId="5" borderId="29" xfId="0" applyFont="true" applyBorder="true" applyAlignment="true" applyProtection="false">
      <alignment horizontal="center" vertical="center" textRotation="0" wrapText="false" indent="0" shrinkToFit="false"/>
      <protection locked="true" hidden="false"/>
    </xf>
    <xf numFmtId="164" fontId="4" fillId="0" borderId="35" xfId="0" applyFont="true" applyBorder="true" applyAlignment="true" applyProtection="false">
      <alignment horizontal="center" vertical="center" textRotation="0" wrapText="false" indent="0" shrinkToFit="false"/>
      <protection locked="true" hidden="false"/>
    </xf>
    <xf numFmtId="167" fontId="4" fillId="4" borderId="0" xfId="0" applyFont="true" applyBorder="false" applyAlignment="true" applyProtection="false">
      <alignment horizontal="general" vertical="center" textRotation="0" wrapText="fals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7" fontId="4" fillId="4" borderId="12" xfId="0" applyFont="true" applyBorder="true" applyAlignment="true" applyProtection="false">
      <alignment horizontal="left" vertical="center" textRotation="0" wrapText="false" indent="0" shrinkToFit="false"/>
      <protection locked="true" hidden="false"/>
    </xf>
    <xf numFmtId="164" fontId="4" fillId="3" borderId="14" xfId="0" applyFont="true" applyBorder="true" applyAlignment="true" applyProtection="false">
      <alignment horizontal="center" vertical="center" textRotation="0" wrapText="false" indent="0" shrinkToFit="false"/>
      <protection locked="true" hidden="false"/>
    </xf>
    <xf numFmtId="164" fontId="4" fillId="3" borderId="9" xfId="0" applyFont="true" applyBorder="true" applyAlignment="true" applyProtection="false">
      <alignment horizontal="right" vertical="center" textRotation="0" wrapText="false" indent="0" shrinkToFit="false"/>
      <protection locked="true" hidden="false"/>
    </xf>
    <xf numFmtId="164" fontId="4" fillId="3" borderId="26" xfId="0" applyFont="true" applyBorder="true" applyAlignment="true" applyProtection="false">
      <alignment horizontal="left" vertical="center" textRotation="0" wrapText="false" indent="0" shrinkToFit="false"/>
      <protection locked="true" hidden="false"/>
    </xf>
    <xf numFmtId="164" fontId="4" fillId="4" borderId="26" xfId="0" applyFont="true" applyBorder="true" applyAlignment="true" applyProtection="false">
      <alignment horizontal="center" vertical="center" textRotation="0" wrapText="false" indent="0" shrinkToFit="false"/>
      <protection locked="true" hidden="false"/>
    </xf>
    <xf numFmtId="164" fontId="4" fillId="3" borderId="11" xfId="0" applyFont="true" applyBorder="true" applyAlignment="true" applyProtection="false">
      <alignment horizontal="right" vertical="center" textRotation="0" wrapText="false" indent="0" shrinkToFit="false"/>
      <protection locked="true" hidden="false"/>
    </xf>
    <xf numFmtId="164" fontId="4" fillId="5" borderId="0" xfId="0" applyFont="true" applyBorder="false" applyAlignment="true" applyProtection="false">
      <alignment horizontal="center" vertical="center" textRotation="0" wrapText="false" indent="0" shrinkToFit="false"/>
      <protection locked="true" hidden="false"/>
    </xf>
    <xf numFmtId="166" fontId="4" fillId="5" borderId="0" xfId="0" applyFont="true" applyBorder="false" applyAlignment="true" applyProtection="false">
      <alignment horizontal="center" vertical="center" textRotation="0" wrapText="false" indent="0" shrinkToFit="false"/>
      <protection locked="true" hidden="false"/>
    </xf>
    <xf numFmtId="164" fontId="7" fillId="0" borderId="33" xfId="0" applyFont="true" applyBorder="true" applyAlignment="true" applyProtection="false">
      <alignment horizontal="center" vertical="center" textRotation="0" wrapText="true" indent="0" shrinkToFit="false"/>
      <protection locked="true" hidden="false"/>
    </xf>
    <xf numFmtId="171" fontId="7" fillId="0" borderId="8" xfId="0" applyFont="true" applyBorder="true" applyAlignment="true" applyProtection="false">
      <alignment horizontal="center" vertical="center" textRotation="0" wrapText="false" indent="0" shrinkToFit="false"/>
      <protection locked="true" hidden="false"/>
    </xf>
    <xf numFmtId="164" fontId="7" fillId="5" borderId="8" xfId="0" applyFont="true" applyBorder="true" applyAlignment="true" applyProtection="false">
      <alignment horizontal="center" vertical="center" textRotation="0" wrapText="false" indent="0" shrinkToFit="false"/>
      <protection locked="true" hidden="false"/>
    </xf>
    <xf numFmtId="164" fontId="4" fillId="5" borderId="12" xfId="0" applyFont="true" applyBorder="true" applyAlignment="true" applyProtection="false">
      <alignment horizontal="center" vertical="center" textRotation="0" wrapText="false" indent="0" shrinkToFit="false"/>
      <protection locked="true" hidden="false"/>
    </xf>
    <xf numFmtId="164" fontId="4" fillId="4" borderId="12" xfId="0" applyFont="true" applyBorder="true" applyAlignment="true" applyProtection="false">
      <alignment horizontal="left" vertical="center" textRotation="0" wrapText="false" indent="0" shrinkToFit="false"/>
      <protection locked="true" hidden="false"/>
    </xf>
    <xf numFmtId="164" fontId="4" fillId="4" borderId="9" xfId="0" applyFont="true" applyBorder="true" applyAlignment="true" applyProtection="false">
      <alignment horizontal="right" vertical="center" textRotation="0" wrapText="false" indent="0" shrinkToFit="false"/>
      <protection locked="true" hidden="false"/>
    </xf>
    <xf numFmtId="164" fontId="8" fillId="0" borderId="36" xfId="0" applyFont="true" applyBorder="true" applyAlignment="true" applyProtection="false">
      <alignment horizontal="center" vertical="center" textRotation="0" wrapText="true" indent="0" shrinkToFit="false"/>
      <protection locked="true" hidden="false"/>
    </xf>
    <xf numFmtId="164" fontId="10" fillId="3" borderId="34" xfId="20" applyFont="true" applyBorder="true" applyAlignment="true" applyProtection="true">
      <alignment horizontal="center" vertical="center" textRotation="0" wrapText="false" indent="0" shrinkToFit="false"/>
      <protection locked="true" hidden="false"/>
    </xf>
    <xf numFmtId="164" fontId="10" fillId="0" borderId="37" xfId="20" applyFont="true" applyBorder="true" applyAlignment="true" applyProtection="true">
      <alignment horizontal="center" vertical="center" textRotation="0" wrapText="false" indent="0" shrinkToFit="false"/>
      <protection locked="true" hidden="false"/>
    </xf>
    <xf numFmtId="164" fontId="7" fillId="0" borderId="32" xfId="0" applyFont="true" applyBorder="true" applyAlignment="true" applyProtection="false">
      <alignment horizontal="center" vertical="center" textRotation="0" wrapText="false" indent="0" shrinkToFit="false"/>
      <protection locked="true" hidden="false"/>
    </xf>
    <xf numFmtId="166" fontId="4" fillId="0" borderId="32" xfId="0" applyFont="true" applyBorder="true" applyAlignment="true" applyProtection="false">
      <alignment horizontal="center" vertical="center" textRotation="0" wrapText="false" indent="0" shrinkToFit="false"/>
      <protection locked="true" hidden="false"/>
    </xf>
    <xf numFmtId="164" fontId="4" fillId="0" borderId="32" xfId="0" applyFont="true" applyBorder="true" applyAlignment="true" applyProtection="false">
      <alignment horizontal="center" vertical="center" textRotation="0" wrapText="false" indent="0" shrinkToFit="false"/>
      <protection locked="true" hidden="false"/>
    </xf>
    <xf numFmtId="164" fontId="10" fillId="3" borderId="38" xfId="20" applyFont="true" applyBorder="true" applyAlignment="true" applyProtection="true">
      <alignment horizontal="center" vertical="center" textRotation="0" wrapText="false" indent="0" shrinkToFit="false"/>
      <protection locked="true" hidden="false"/>
    </xf>
    <xf numFmtId="164" fontId="7" fillId="3" borderId="16" xfId="0" applyFont="true" applyBorder="true" applyAlignment="true" applyProtection="false">
      <alignment horizontal="center" vertical="center" textRotation="0" wrapText="false" indent="0" shrinkToFit="false"/>
      <protection locked="true" hidden="false"/>
    </xf>
    <xf numFmtId="166" fontId="4" fillId="3" borderId="16" xfId="0" applyFont="true" applyBorder="true" applyAlignment="true" applyProtection="false">
      <alignment horizontal="center" vertical="center" textRotation="0" wrapText="false" indent="0" shrinkToFit="false"/>
      <protection locked="true" hidden="false"/>
    </xf>
    <xf numFmtId="164" fontId="4" fillId="3" borderId="16" xfId="0" applyFont="true" applyBorder="true" applyAlignment="true" applyProtection="false">
      <alignment horizontal="center" vertical="center" textRotation="0" wrapText="false" indent="0" shrinkToFit="false"/>
      <protection locked="true" hidden="false"/>
    </xf>
    <xf numFmtId="164" fontId="4" fillId="3" borderId="13" xfId="0" applyFont="true" applyBorder="true" applyAlignment="true" applyProtection="false">
      <alignment horizontal="left" vertical="center" textRotation="0" wrapText="false" indent="0" shrinkToFit="false"/>
      <protection locked="true" hidden="false"/>
    </xf>
    <xf numFmtId="164" fontId="4" fillId="3" borderId="18" xfId="0" applyFont="true" applyBorder="true" applyAlignment="true" applyProtection="false">
      <alignment horizontal="right" vertical="center" textRotation="0" wrapText="false" indent="0" shrinkToFit="false"/>
      <protection locked="true" hidden="false"/>
    </xf>
    <xf numFmtId="164" fontId="4" fillId="3" borderId="19" xfId="0" applyFont="true" applyBorder="true" applyAlignment="true" applyProtection="false">
      <alignment horizontal="left"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6"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center" vertical="bottom" textRotation="0" wrapText="false" indent="0" shrinkToFit="false"/>
      <protection locked="true" hidden="false"/>
    </xf>
    <xf numFmtId="164" fontId="0" fillId="8" borderId="0" xfId="0" applyFont="true" applyBorder="true" applyAlignment="true" applyProtection="false">
      <alignment horizontal="center" vertical="bottom" textRotation="0" wrapText="false" indent="0" shrinkToFit="false"/>
      <protection locked="true" hidden="false"/>
    </xf>
    <xf numFmtId="164" fontId="0" fillId="6"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64" fontId="0" fillId="8"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426">
    <dxf>
      <font>
        <color rgb="FFFFFFFF"/>
      </font>
      <fill>
        <patternFill>
          <bgColor theme="1"/>
        </patternFill>
      </fill>
    </dxf>
    <dxf>
      <fill>
        <patternFill>
          <bgColor rgb="FFFFFF00"/>
        </patternFill>
      </fill>
    </dxf>
    <dxf>
      <font>
        <color rgb="FFFFFFFF"/>
      </font>
      <fill>
        <patternFill>
          <bgColor theme="1"/>
        </patternFill>
      </fill>
    </dxf>
    <dxf>
      <fill>
        <patternFill>
          <bgColor rgb="FF92D050"/>
        </patternFill>
      </fill>
    </dxf>
    <dxf>
      <fill>
        <patternFill>
          <bgColor rgb="FFFFC000"/>
        </patternFill>
      </fill>
    </dxf>
    <dxf>
      <font>
        <color rgb="FFFFFFFF"/>
      </font>
      <fill>
        <patternFill>
          <bgColor theme="1"/>
        </patternFill>
      </fill>
    </dxf>
    <dxf>
      <fill>
        <patternFill>
          <bgColor rgb="FFFF0000"/>
        </patternFill>
      </fill>
    </dxf>
    <dxf>
      <fill>
        <patternFill>
          <bgColor rgb="FFFF0000"/>
        </patternFill>
      </fill>
    </dxf>
    <dxf>
      <fill>
        <patternFill>
          <bgColor rgb="FFFFFF00"/>
        </patternFill>
      </fill>
    </dxf>
    <dxf>
      <fill>
        <patternFill>
          <bgColor rgb="FF00B050"/>
        </patternFill>
      </fill>
    </dxf>
    <dxf>
      <font>
        <color rgb="FFFFFFFF"/>
      </font>
      <fill>
        <patternFill>
          <bgColor theme="1"/>
        </patternFill>
      </fill>
    </dxf>
    <dxf>
      <fill>
        <patternFill>
          <bgColor rgb="FFFF0000"/>
        </patternFill>
      </fill>
    </dxf>
    <dxf>
      <font>
        <color rgb="FFFFFFFF"/>
      </font>
      <fill>
        <patternFill>
          <bgColor theme="1"/>
        </patternFill>
      </fill>
    </dxf>
    <dxf>
      <fill>
        <patternFill>
          <bgColor rgb="FFFFFF00"/>
        </patternFill>
      </fill>
    </dxf>
    <dxf>
      <font>
        <color rgb="FFFFFFFF"/>
      </font>
      <fill>
        <patternFill>
          <bgColor theme="1"/>
        </patternFill>
      </fill>
    </dxf>
    <dxf>
      <fill>
        <patternFill>
          <bgColor rgb="FF92D050"/>
        </patternFill>
      </fill>
    </dxf>
    <dxf>
      <font>
        <color rgb="FFFFFFFF"/>
      </font>
      <fill>
        <patternFill>
          <bgColor theme="1"/>
        </patternFill>
      </fill>
    </dxf>
    <dxf>
      <fill>
        <patternFill>
          <bgColor rgb="FFFF0000"/>
        </patternFill>
      </fill>
    </dxf>
    <dxf>
      <font>
        <color rgb="FFFFFFFF"/>
      </font>
      <fill>
        <patternFill>
          <bgColor theme="1"/>
        </patternFill>
      </fill>
    </dxf>
    <dxf>
      <fill>
        <patternFill>
          <bgColor rgb="FF92D050"/>
        </patternFill>
      </fill>
    </dxf>
    <dxf>
      <font>
        <color rgb="FFFFFFFF"/>
      </font>
      <fill>
        <patternFill>
          <bgColor theme="1"/>
        </patternFill>
      </fill>
    </dxf>
    <dxf>
      <fill>
        <patternFill>
          <bgColor rgb="FFFF0000"/>
        </patternFill>
      </fill>
    </dxf>
    <dxf>
      <font>
        <color rgb="FFFFFFFF"/>
      </font>
      <fill>
        <patternFill>
          <bgColor theme="1"/>
        </patternFill>
      </fill>
    </dxf>
    <dxf>
      <fill>
        <patternFill>
          <bgColor rgb="FFFFFF00"/>
        </patternFill>
      </fill>
    </dxf>
    <dxf>
      <font>
        <color rgb="FFFFFFFF"/>
      </font>
      <fill>
        <patternFill>
          <bgColor theme="1"/>
        </patternFill>
      </fill>
    </dxf>
    <dxf>
      <fill>
        <patternFill>
          <bgColor rgb="FFFF0000"/>
        </patternFill>
      </fill>
    </dxf>
    <dxf>
      <font>
        <color rgb="FFFFFFFF"/>
      </font>
      <fill>
        <patternFill>
          <bgColor theme="1"/>
        </patternFill>
      </fill>
    </dxf>
    <dxf>
      <fill>
        <patternFill>
          <bgColor rgb="FF92D050"/>
        </patternFill>
      </fill>
    </dxf>
    <dxf>
      <font>
        <color rgb="FFFFFFFF"/>
      </font>
      <fill>
        <patternFill>
          <bgColor theme="1"/>
        </patternFill>
      </fill>
    </dxf>
    <dxf>
      <fill>
        <patternFill>
          <bgColor rgb="FFFFFF00"/>
        </patternFill>
      </fill>
    </dxf>
    <dxf>
      <font>
        <color rgb="FFFFFFFF"/>
      </font>
      <fill>
        <patternFill>
          <bgColor theme="1"/>
        </patternFill>
      </fill>
    </dxf>
    <dxf>
      <fill>
        <patternFill>
          <bgColor rgb="FFFF0000"/>
        </patternFill>
      </fill>
    </dxf>
    <dxf>
      <font>
        <color rgb="FFFFFFFF"/>
      </font>
      <fill>
        <patternFill>
          <bgColor theme="1"/>
        </patternFill>
      </fill>
    </dxf>
    <dxf>
      <fill>
        <patternFill>
          <bgColor rgb="FFFFFF00"/>
        </patternFill>
      </fill>
    </dxf>
    <dxf>
      <font>
        <color rgb="FFFFFFFF"/>
      </font>
      <fill>
        <patternFill>
          <bgColor theme="1"/>
        </patternFill>
      </fill>
    </dxf>
    <dxf>
      <fill>
        <patternFill>
          <bgColor rgb="FF92D050"/>
        </patternFill>
      </fill>
    </dxf>
    <dxf>
      <font>
        <color rgb="FFFFFFFF"/>
      </font>
      <fill>
        <patternFill>
          <bgColor theme="1"/>
        </patternFill>
      </fill>
    </dxf>
    <dxf>
      <fill>
        <patternFill>
          <bgColor rgb="FF92D050"/>
        </patternFill>
      </fill>
    </dxf>
    <dxf>
      <font>
        <color rgb="FFFFFFFF"/>
      </font>
      <fill>
        <patternFill>
          <bgColor theme="1"/>
        </patternFill>
      </fill>
    </dxf>
    <dxf>
      <fill>
        <patternFill>
          <bgColor rgb="FFFFFF00"/>
        </patternFill>
      </fill>
    </dxf>
    <dxf>
      <font>
        <color rgb="FFFFFFFF"/>
      </font>
      <fill>
        <patternFill>
          <bgColor theme="1"/>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FFFFFF"/>
      </font>
      <fill>
        <patternFill>
          <bgColor theme="1"/>
        </patternFill>
      </fill>
    </dxf>
    <dxf>
      <fill>
        <patternFill>
          <bgColor rgb="FFFFFF00"/>
        </patternFill>
      </fill>
    </dxf>
    <dxf>
      <font>
        <color rgb="FFFFFFFF"/>
      </font>
      <fill>
        <patternFill>
          <bgColor theme="1"/>
        </patternFill>
      </fill>
    </dxf>
    <dxf>
      <fill>
        <patternFill>
          <bgColor rgb="FFFF0000"/>
        </patternFill>
      </fill>
    </dxf>
    <dxf>
      <font>
        <color rgb="FFFFFFFF"/>
      </font>
      <fill>
        <patternFill>
          <bgColor theme="1"/>
        </patternFill>
      </fill>
    </dxf>
    <dxf>
      <fill>
        <patternFill>
          <bgColor rgb="FF92D050"/>
        </patternFill>
      </fill>
    </dxf>
    <dxf>
      <font>
        <color rgb="FFFFFFFF"/>
      </font>
      <fill>
        <patternFill>
          <bgColor theme="1"/>
        </patternFill>
      </fill>
    </dxf>
    <dxf>
      <fill>
        <patternFill>
          <bgColor rgb="FFFFFF00"/>
        </patternFill>
      </fill>
    </dxf>
    <dxf>
      <font>
        <color rgb="FFFFFFFF"/>
      </font>
      <fill>
        <patternFill>
          <bgColor theme="1"/>
        </patternFill>
      </fill>
    </dxf>
    <dxf>
      <fill>
        <patternFill>
          <bgColor rgb="FFFF0000"/>
        </patternFill>
      </fill>
    </dxf>
    <dxf>
      <font>
        <color rgb="FFFFFFFF"/>
      </font>
      <fill>
        <patternFill>
          <bgColor theme="1"/>
        </patternFill>
      </fill>
    </dxf>
    <dxf>
      <fill>
        <patternFill>
          <bgColor rgb="FFFFFF00"/>
        </patternFill>
      </fill>
    </dxf>
    <dxf>
      <font>
        <color rgb="FFFFFFFF"/>
      </font>
      <fill>
        <patternFill>
          <bgColor theme="1"/>
        </patternFill>
      </fill>
    </dxf>
    <dxf>
      <fill>
        <patternFill>
          <bgColor rgb="FF92D050"/>
        </patternFill>
      </fill>
    </dxf>
    <dxf>
      <font>
        <color rgb="FFFFFFFF"/>
      </font>
      <fill>
        <patternFill>
          <bgColor theme="1"/>
        </patternFill>
      </fill>
    </dxf>
    <dxf>
      <fill>
        <patternFill>
          <bgColor rgb="FF92D050"/>
        </patternFill>
      </fill>
    </dxf>
    <dxf>
      <font>
        <color rgb="FFFFFFFF"/>
      </font>
      <fill>
        <patternFill>
          <bgColor theme="1"/>
        </patternFill>
      </fill>
    </dxf>
    <dxf>
      <fill>
        <patternFill>
          <bgColor rgb="FFFFFF00"/>
        </patternFill>
      </fill>
    </dxf>
    <dxf>
      <font>
        <color rgb="FFFFFFFF"/>
      </font>
      <fill>
        <patternFill>
          <bgColor theme="1"/>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00B050"/>
        </patternFill>
      </fill>
    </dxf>
    <dxf>
      <fill>
        <patternFill>
          <bgColor rgb="FFFFFF00"/>
        </patternFill>
      </fill>
    </dxf>
    <dxf>
      <fill>
        <patternFill>
          <bgColor rgb="FF00B050"/>
        </patternFill>
      </fill>
    </dxf>
    <dxf>
      <fill>
        <patternFill>
          <bgColor rgb="FFFFFF00"/>
        </patternFill>
      </fill>
    </dxf>
    <dxf>
      <fill>
        <patternFill>
          <bgColor rgb="FF00B050"/>
        </patternFill>
      </fill>
    </dxf>
    <dxf>
      <fill>
        <patternFill>
          <bgColor rgb="FFFFFF00"/>
        </patternFill>
      </fill>
    </dxf>
    <dxf>
      <fill>
        <patternFill>
          <bgColor rgb="FF00B050"/>
        </patternFill>
      </fill>
    </dxf>
    <dxf>
      <fill>
        <patternFill>
          <bgColor rgb="FFFFFF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ont>
        <color rgb="00FFFFFF"/>
      </font>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ont>
        <color rgb="00FFFFFF"/>
      </font>
      <fill>
        <patternFill>
          <bgColor rgb="FFFFC00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externalLink" Target="externalLinks/externalLink1.xml"/><Relationship Id="rId13" Type="http://schemas.openxmlformats.org/officeDocument/2006/relationships/externalLink" Target="externalLinks/externalLink2.xml"/><Relationship Id="rId14"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app/log/ilr.csv"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app/log/mor.csv"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ilr"/>
    </sheetNames>
    <sheetDataSet>
      <sheetData sheetId="0">
        <row r="2">
          <cell r="I2">
            <v>16.28</v>
          </cell>
        </row>
        <row r="3">
          <cell r="I3">
            <v>20.13</v>
          </cell>
        </row>
        <row r="4">
          <cell r="I4">
            <v>3.21</v>
          </cell>
        </row>
        <row r="5">
          <cell r="I5">
            <v>9.7</v>
          </cell>
        </row>
        <row r="6">
          <cell r="I6">
            <v>5.17</v>
          </cell>
        </row>
        <row r="7">
          <cell r="I7">
            <v>2.12</v>
          </cell>
        </row>
        <row r="8">
          <cell r="I8">
            <v>12.04</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mor"/>
    </sheetNames>
    <sheetDataSet>
      <sheetData sheetId="0">
        <row r="2">
          <cell r="H2">
            <v>12.56</v>
          </cell>
        </row>
        <row r="3">
          <cell r="H3">
            <v>15.48</v>
          </cell>
        </row>
        <row r="5">
          <cell r="H5">
            <v>8.27</v>
          </cell>
        </row>
        <row r="7">
          <cell r="H7">
            <v>7.72</v>
          </cell>
        </row>
        <row r="8">
          <cell r="H8">
            <v>9.46</v>
          </cell>
        </row>
        <row r="9">
          <cell r="H9">
            <v>10.38</v>
          </cell>
        </row>
        <row r="11">
          <cell r="H11">
            <v>11.51</v>
          </cell>
        </row>
        <row r="13">
          <cell r="H13" t="str">
            <v>URL error</v>
          </cell>
        </row>
        <row r="14">
          <cell r="H14">
            <v>11.75</v>
          </cell>
        </row>
        <row r="15">
          <cell r="H15">
            <v>7.6</v>
          </cell>
        </row>
        <row r="17">
          <cell r="H17">
            <v>6.07</v>
          </cell>
        </row>
        <row r="18">
          <cell r="H18">
            <v>5.3</v>
          </cell>
        </row>
        <row r="20">
          <cell r="H20">
            <v>3.3</v>
          </cell>
        </row>
        <row r="21">
          <cell r="H21">
            <v>10.44</v>
          </cell>
        </row>
      </sheetData>
    </sheetDataSet>
  </externalBook>
</externalLink>
</file>

<file path=xl/tables/table1.xml><?xml version="1.0" encoding="utf-8"?>
<table xmlns="http://schemas.openxmlformats.org/spreadsheetml/2006/main" id="1" name="Table1" displayName="Table1" ref="O3:P27" headerRowCount="1" totalsRowCount="0" totalsRowShown="0">
  <autoFilter ref="O3:P27"/>
  <tableColumns count="2">
    <tableColumn id="1" name="primary"/>
    <tableColumn id="2" name="valid"/>
  </tableColumns>
</table>
</file>

<file path=xl/tables/table2.xml><?xml version="1.0" encoding="utf-8"?>
<table xmlns="http://schemas.openxmlformats.org/spreadsheetml/2006/main" id="2" name="Table10" displayName="Table10" ref="F3:F243" headerRowCount="1" totalsRowCount="0" totalsRowShown="0">
  <autoFilter ref="F3:F243"/>
  <tableColumns count="1">
    <tableColumn id="1" name="primary"/>
  </tableColumns>
</table>
</file>

<file path=xl/tables/table3.xml><?xml version="1.0" encoding="utf-8"?>
<table xmlns="http://schemas.openxmlformats.org/spreadsheetml/2006/main" id="3" name="Table11" displayName="Table11" ref="G3:G241" headerRowCount="1" totalsRowCount="0" totalsRowShown="0">
  <autoFilter ref="G3:G241"/>
  <tableColumns count="1">
    <tableColumn id="1" name="primary"/>
  </tableColumns>
</table>
</file>

<file path=xl/tables/table4.xml><?xml version="1.0" encoding="utf-8"?>
<table xmlns="http://schemas.openxmlformats.org/spreadsheetml/2006/main" id="4" name="Table12" displayName="Table12" ref="H3:H1435" headerRowCount="1" totalsRowCount="0" totalsRowShown="0">
  <autoFilter ref="H3:H1435"/>
  <tableColumns count="1">
    <tableColumn id="1" name="primary"/>
  </tableColumns>
</table>
</file>

<file path=xl/tables/table5.xml><?xml version="1.0" encoding="utf-8"?>
<table xmlns="http://schemas.openxmlformats.org/spreadsheetml/2006/main" id="5" name="Table13" displayName="Table13" ref="I3:I674" headerRowCount="1" totalsRowCount="0" totalsRowShown="0">
  <autoFilter ref="I3:I674"/>
  <tableColumns count="1">
    <tableColumn id="1" name="primary"/>
  </tableColumns>
</table>
</file>

<file path=xl/tables/table6.xml><?xml version="1.0" encoding="utf-8"?>
<table xmlns="http://schemas.openxmlformats.org/spreadsheetml/2006/main" id="6" name="Table14" displayName="Table14" ref="W3:X27" headerRowCount="1" totalsRowCount="0" totalsRowShown="0">
  <autoFilter ref="W3:X27"/>
  <tableColumns count="2">
    <tableColumn id="1" name="primary"/>
    <tableColumn id="2" name="valid"/>
  </tableColumns>
</table>
</file>

<file path=xl/tables/table7.xml><?xml version="1.0" encoding="utf-8"?>
<table xmlns="http://schemas.openxmlformats.org/spreadsheetml/2006/main" id="7" name="Table15" displayName="Table15" ref="K3:K287" headerRowCount="1" totalsRowCount="0" totalsRowShown="0">
  <autoFilter ref="K3:K287"/>
  <tableColumns count="1">
    <tableColumn id="1" name="primary"/>
  </tableColumns>
</table>
</file>

<file path=xl/tables/table8.xml><?xml version="1.0" encoding="utf-8"?>
<table xmlns="http://schemas.openxmlformats.org/spreadsheetml/2006/main" id="8" name="Table16" displayName="Table16" ref="L3:L290" headerRowCount="1" totalsRowCount="0" totalsRowShown="0">
  <autoFilter ref="L3:L290"/>
  <tableColumns count="1">
    <tableColumn id="1" name="primary"/>
  </tableColumns>
</table>
</file>

<file path=xl/tables/table9.xml><?xml version="1.0" encoding="utf-8"?>
<table xmlns="http://schemas.openxmlformats.org/spreadsheetml/2006/main" id="9" name="Table17" displayName="Table17" ref="M3:M290" headerRowCount="1" totalsRowCount="0" totalsRowShown="0">
  <autoFilter ref="M3:M290"/>
  <tableColumns count="1">
    <tableColumn id="1" name="primary"/>
  </tableColumns>
</table>
</file>

<file path=xl/tables/table10.xml><?xml version="1.0" encoding="utf-8"?>
<table xmlns="http://schemas.openxmlformats.org/spreadsheetml/2006/main" id="10" name="Table18" displayName="Table18" ref="N3:N290" headerRowCount="1" totalsRowCount="0" totalsRowShown="0">
  <autoFilter ref="N3:N290"/>
  <tableColumns count="1">
    <tableColumn id="1" name="primary"/>
  </tableColumns>
</table>
</file>

<file path=xl/tables/table11.xml><?xml version="1.0" encoding="utf-8"?>
<table xmlns="http://schemas.openxmlformats.org/spreadsheetml/2006/main" id="11" name="Table19" displayName="Table19" ref="Y3:Z27" headerRowCount="1" totalsRowCount="0" totalsRowShown="0">
  <autoFilter ref="Y3:Z27"/>
  <tableColumns count="2">
    <tableColumn id="1" name="primary"/>
    <tableColumn id="2" name="valid"/>
  </tableColumns>
</table>
</file>

<file path=xl/tables/table12.xml><?xml version="1.0" encoding="utf-8"?>
<table xmlns="http://schemas.openxmlformats.org/spreadsheetml/2006/main" id="12" name="Table2" displayName="Table2" ref="Q3:R27" headerRowCount="1" totalsRowCount="0" totalsRowShown="0">
  <autoFilter ref="Q3:R27"/>
  <tableColumns count="2">
    <tableColumn id="1" name="primary"/>
    <tableColumn id="2" name="valid"/>
  </tableColumns>
</table>
</file>

<file path=xl/tables/table13.xml><?xml version="1.0" encoding="utf-8"?>
<table xmlns="http://schemas.openxmlformats.org/spreadsheetml/2006/main" id="13" name="Table20" displayName="Table20" ref="J3:J290" headerRowCount="1" totalsRowCount="0" totalsRowShown="0">
  <autoFilter ref="J3:J290"/>
  <tableColumns count="1">
    <tableColumn id="1" name="primary"/>
  </tableColumns>
</table>
</file>

<file path=xl/tables/table14.xml><?xml version="1.0" encoding="utf-8"?>
<table xmlns="http://schemas.openxmlformats.org/spreadsheetml/2006/main" id="14" name="Table21" displayName="Table21" ref="O3:O290" headerRowCount="1" totalsRowCount="0" totalsRowShown="0">
  <autoFilter ref="O3:O290"/>
  <tableColumns count="1">
    <tableColumn id="1" name="primary"/>
  </tableColumns>
</table>
</file>

<file path=xl/tables/table15.xml><?xml version="1.0" encoding="utf-8"?>
<table xmlns="http://schemas.openxmlformats.org/spreadsheetml/2006/main" id="15" name="Table22" displayName="Table22" ref="P3:P290" headerRowCount="1" totalsRowCount="0" totalsRowShown="0">
  <autoFilter ref="P3:P290"/>
  <tableColumns count="1">
    <tableColumn id="1" name="primary"/>
  </tableColumns>
</table>
</file>

<file path=xl/tables/table16.xml><?xml version="1.0" encoding="utf-8"?>
<table xmlns="http://schemas.openxmlformats.org/spreadsheetml/2006/main" id="16" name="Table23" displayName="Table23" ref="Q3:Q75" headerRowCount="1" totalsRowCount="0" totalsRowShown="0">
  <autoFilter ref="Q3:Q75"/>
  <tableColumns count="1">
    <tableColumn id="1" name="primary"/>
  </tableColumns>
</table>
</file>

<file path=xl/tables/table17.xml><?xml version="1.0" encoding="utf-8"?>
<table xmlns="http://schemas.openxmlformats.org/spreadsheetml/2006/main" id="17" name="Table24" displayName="Table24" ref="R3:R420" headerRowCount="1" totalsRowCount="0" totalsRowShown="0">
  <autoFilter ref="R3:R420"/>
  <tableColumns count="1">
    <tableColumn id="1" name="primary"/>
  </tableColumns>
</table>
</file>

<file path=xl/tables/table18.xml><?xml version="1.0" encoding="utf-8"?>
<table xmlns="http://schemas.openxmlformats.org/spreadsheetml/2006/main" id="18" name="Table25" displayName="Table25" ref="S3:S409" headerRowCount="1" totalsRowCount="0" totalsRowShown="0">
  <autoFilter ref="S3:S409"/>
  <tableColumns count="1">
    <tableColumn id="1" name="primary"/>
  </tableColumns>
</table>
</file>

<file path=xl/tables/table19.xml><?xml version="1.0" encoding="utf-8"?>
<table xmlns="http://schemas.openxmlformats.org/spreadsheetml/2006/main" id="19" name="Table26" displayName="Table26" ref="T3:T430" headerRowCount="1" totalsRowCount="0" totalsRowShown="0">
  <autoFilter ref="T3:T430"/>
  <tableColumns count="1">
    <tableColumn id="1" name="primary"/>
  </tableColumns>
</table>
</file>

<file path=xl/tables/table20.xml><?xml version="1.0" encoding="utf-8"?>
<table xmlns="http://schemas.openxmlformats.org/spreadsheetml/2006/main" id="20" name="Table27" displayName="Table27" ref="U3:U421" headerRowCount="1" totalsRowCount="0" totalsRowShown="0">
  <autoFilter ref="U3:U421"/>
  <tableColumns count="1">
    <tableColumn id="1" name="primary"/>
  </tableColumns>
</table>
</file>

<file path=xl/tables/table21.xml><?xml version="1.0" encoding="utf-8"?>
<table xmlns="http://schemas.openxmlformats.org/spreadsheetml/2006/main" id="21" name="Table28" displayName="Table28" ref="V3:V431" headerRowCount="1" totalsRowCount="0" totalsRowShown="0">
  <autoFilter ref="V3:V431"/>
  <tableColumns count="1">
    <tableColumn id="1" name="primary"/>
  </tableColumns>
</table>
</file>

<file path=xl/tables/table22.xml><?xml version="1.0" encoding="utf-8"?>
<table xmlns="http://schemas.openxmlformats.org/spreadsheetml/2006/main" id="22" name="Table29" displayName="Table29" ref="W3:W431" headerRowCount="1" totalsRowCount="0" totalsRowShown="0">
  <autoFilter ref="W3:W431"/>
  <tableColumns count="1">
    <tableColumn id="1" name="primary"/>
  </tableColumns>
</table>
</file>

<file path=xl/tables/table23.xml><?xml version="1.0" encoding="utf-8"?>
<table xmlns="http://schemas.openxmlformats.org/spreadsheetml/2006/main" id="23" name="Table3" displayName="Table3" ref="S3:T27" headerRowCount="1" totalsRowCount="0" totalsRowShown="0">
  <autoFilter ref="S3:T27"/>
  <tableColumns count="2">
    <tableColumn id="1" name="primary"/>
    <tableColumn id="2" name="valid"/>
  </tableColumns>
</table>
</file>

<file path=xl/tables/table24.xml><?xml version="1.0" encoding="utf-8"?>
<table xmlns="http://schemas.openxmlformats.org/spreadsheetml/2006/main" id="24" name="Table30" displayName="Table30" ref="X3:X432" headerRowCount="1" totalsRowCount="0" totalsRowShown="0">
  <autoFilter ref="X3:X432"/>
  <tableColumns count="1">
    <tableColumn id="1" name="primary"/>
  </tableColumns>
</table>
</file>

<file path=xl/tables/table25.xml><?xml version="1.0" encoding="utf-8"?>
<table xmlns="http://schemas.openxmlformats.org/spreadsheetml/2006/main" id="25" name="Table31" displayName="Table31" ref="Y3:Y429" headerRowCount="1" totalsRowCount="0" totalsRowShown="0">
  <autoFilter ref="Y3:Y429"/>
  <tableColumns count="1">
    <tableColumn id="1" name="primary"/>
  </tableColumns>
</table>
</file>

<file path=xl/tables/table26.xml><?xml version="1.0" encoding="utf-8"?>
<table xmlns="http://schemas.openxmlformats.org/spreadsheetml/2006/main" id="26" name="Table32" displayName="Table32" ref="Z3:Z39" headerRowCount="1" totalsRowCount="0" totalsRowShown="0">
  <autoFilter ref="Z3:Z39"/>
  <tableColumns count="1">
    <tableColumn id="1" name="primary"/>
  </tableColumns>
</table>
</file>

<file path=xl/tables/table27.xml><?xml version="1.0" encoding="utf-8"?>
<table xmlns="http://schemas.openxmlformats.org/spreadsheetml/2006/main" id="27" name="Table33" displayName="Table33" ref="AA3:AA63" headerRowCount="1" totalsRowCount="0" totalsRowShown="0">
  <autoFilter ref="AA3:AA63"/>
  <tableColumns count="1">
    <tableColumn id="1" name="primary"/>
  </tableColumns>
</table>
</file>

<file path=xl/tables/table28.xml><?xml version="1.0" encoding="utf-8"?>
<table xmlns="http://schemas.openxmlformats.org/spreadsheetml/2006/main" id="28" name="Table34" displayName="Table34" ref="AB3:AB719" headerRowCount="1" totalsRowCount="0" totalsRowShown="0">
  <autoFilter ref="AB3:AB719"/>
  <tableColumns count="1">
    <tableColumn id="1" name="primary"/>
  </tableColumns>
</table>
</file>

<file path=xl/tables/table29.xml><?xml version="1.0" encoding="utf-8"?>
<table xmlns="http://schemas.openxmlformats.org/spreadsheetml/2006/main" id="29" name="Table35" displayName="Table35" ref="AC3:AC712" headerRowCount="1" totalsRowCount="0" totalsRowShown="0">
  <autoFilter ref="AC3:AC712"/>
  <tableColumns count="1">
    <tableColumn id="1" name="primary"/>
  </tableColumns>
</table>
</file>

<file path=xl/tables/table30.xml><?xml version="1.0" encoding="utf-8"?>
<table xmlns="http://schemas.openxmlformats.org/spreadsheetml/2006/main" id="30" name="Table36" displayName="Table36" ref="AD3:AD241" headerRowCount="1" totalsRowCount="0" totalsRowShown="0">
  <autoFilter ref="AD3:AD241"/>
  <tableColumns count="1">
    <tableColumn id="1" name="primary"/>
  </tableColumns>
</table>
</file>

<file path=xl/tables/table31.xml><?xml version="1.0" encoding="utf-8"?>
<table xmlns="http://schemas.openxmlformats.org/spreadsheetml/2006/main" id="31" name="Table37" displayName="Table37" ref="AE3:AE241" headerRowCount="1" totalsRowCount="0" totalsRowShown="0">
  <autoFilter ref="AE3:AE241"/>
  <tableColumns count="1">
    <tableColumn id="1" name="primary"/>
  </tableColumns>
</table>
</file>

<file path=xl/tables/table32.xml><?xml version="1.0" encoding="utf-8"?>
<table xmlns="http://schemas.openxmlformats.org/spreadsheetml/2006/main" id="32" name="Table38" displayName="Table38" ref="AF3:AF241" headerRowCount="1" totalsRowCount="0" totalsRowShown="0">
  <autoFilter ref="AF3:AF241"/>
  <tableColumns count="1">
    <tableColumn id="1" name="primary"/>
  </tableColumns>
</table>
</file>

<file path=xl/tables/table33.xml><?xml version="1.0" encoding="utf-8"?>
<table xmlns="http://schemas.openxmlformats.org/spreadsheetml/2006/main" id="33" name="Table39" displayName="Table39" ref="AG3:AG204" headerRowCount="1" totalsRowCount="0" totalsRowShown="0">
  <autoFilter ref="AG3:AG204"/>
  <tableColumns count="1">
    <tableColumn id="1" name="primary"/>
  </tableColumns>
</table>
</file>

<file path=xl/tables/table34.xml><?xml version="1.0" encoding="utf-8"?>
<table xmlns="http://schemas.openxmlformats.org/spreadsheetml/2006/main" id="34" name="Table4" displayName="Table4" ref="A3:A668" headerRowCount="1" totalsRowCount="0" totalsRowShown="0">
  <autoFilter ref="A3:A668"/>
  <tableColumns count="1">
    <tableColumn id="1" name="primary"/>
  </tableColumns>
</table>
</file>

<file path=xl/tables/table35.xml><?xml version="1.0" encoding="utf-8"?>
<table xmlns="http://schemas.openxmlformats.org/spreadsheetml/2006/main" id="35" name="Table40" displayName="Table40" ref="AH3:AH900" headerRowCount="1" totalsRowCount="0" totalsRowShown="0">
  <autoFilter ref="AH3:AH900"/>
  <tableColumns count="1">
    <tableColumn id="1" name="primary"/>
  </tableColumns>
</table>
</file>

<file path=xl/tables/table36.xml><?xml version="1.0" encoding="utf-8"?>
<table xmlns="http://schemas.openxmlformats.org/spreadsheetml/2006/main" id="36" name="Table41" displayName="Table41" ref="AI3:AI477" headerRowCount="1" totalsRowCount="0" totalsRowShown="0">
  <autoFilter ref="AI3:AI477"/>
  <tableColumns count="1">
    <tableColumn id="1" name="primary"/>
  </tableColumns>
</table>
</file>

<file path=xl/tables/table37.xml><?xml version="1.0" encoding="utf-8"?>
<table xmlns="http://schemas.openxmlformats.org/spreadsheetml/2006/main" id="37" name="Table42" displayName="Table42" ref="AJ3:AJ470" headerRowCount="1" totalsRowCount="0" totalsRowShown="0">
  <autoFilter ref="AJ3:AJ470"/>
  <tableColumns count="1">
    <tableColumn id="1" name="primary"/>
  </tableColumns>
</table>
</file>

<file path=xl/tables/table38.xml><?xml version="1.0" encoding="utf-8"?>
<table xmlns="http://schemas.openxmlformats.org/spreadsheetml/2006/main" id="38" name="Table43" displayName="Table43" ref="AK3:AK287" headerRowCount="1" totalsRowCount="0" totalsRowShown="0">
  <autoFilter ref="AK3:AK287"/>
  <tableColumns count="1">
    <tableColumn id="1" name="primary"/>
  </tableColumns>
</table>
</file>

<file path=xl/tables/table39.xml><?xml version="1.0" encoding="utf-8"?>
<table xmlns="http://schemas.openxmlformats.org/spreadsheetml/2006/main" id="39" name="Table44" displayName="Table44" ref="AL3:AL283" headerRowCount="1" totalsRowCount="0" totalsRowShown="0">
  <autoFilter ref="AL3:AL283"/>
  <tableColumns count="1">
    <tableColumn id="1" name="primary"/>
  </tableColumns>
</table>
</file>

<file path=xl/tables/table40.xml><?xml version="1.0" encoding="utf-8"?>
<table xmlns="http://schemas.openxmlformats.org/spreadsheetml/2006/main" id="40" name="Table45" displayName="Table45" ref="AM3:AM289" headerRowCount="1" totalsRowCount="0" totalsRowShown="0">
  <autoFilter ref="AM3:AM289"/>
  <tableColumns count="1">
    <tableColumn id="1" name="primary"/>
  </tableColumns>
</table>
</file>

<file path=xl/tables/table41.xml><?xml version="1.0" encoding="utf-8"?>
<table xmlns="http://schemas.openxmlformats.org/spreadsheetml/2006/main" id="41" name="Table46" displayName="Table46" ref="AN3:AN289" headerRowCount="1" totalsRowCount="0" totalsRowShown="0">
  <autoFilter ref="AN3:AN289"/>
  <tableColumns count="1">
    <tableColumn id="1" name="primary"/>
  </tableColumns>
</table>
</file>

<file path=xl/tables/table42.xml><?xml version="1.0" encoding="utf-8"?>
<table xmlns="http://schemas.openxmlformats.org/spreadsheetml/2006/main" id="42" name="Table47" displayName="Table47" ref="AO3:AO4" headerRowCount="1" totalsRowCount="0" totalsRowShown="0">
  <autoFilter ref="AO3:AO4"/>
  <tableColumns count="1">
    <tableColumn id="1" name="primary"/>
  </tableColumns>
</table>
</file>

<file path=xl/tables/table43.xml><?xml version="1.0" encoding="utf-8"?>
<table xmlns="http://schemas.openxmlformats.org/spreadsheetml/2006/main" id="43" name="Table48" displayName="Table48" ref="AP3:AP287" headerRowCount="1" totalsRowCount="0" totalsRowShown="0">
  <autoFilter ref="AP3:AP287"/>
  <tableColumns count="1">
    <tableColumn id="1" name="primary"/>
  </tableColumns>
</table>
</file>

<file path=xl/tables/table44.xml><?xml version="1.0" encoding="utf-8"?>
<table xmlns="http://schemas.openxmlformats.org/spreadsheetml/2006/main" id="44" name="Table49" displayName="Table49" ref="AQ3:AQ289" headerRowCount="1" totalsRowCount="0" totalsRowShown="0">
  <autoFilter ref="AQ3:AQ289"/>
  <tableColumns count="1">
    <tableColumn id="1" name="primary"/>
  </tableColumns>
</table>
</file>

<file path=xl/tables/table45.xml><?xml version="1.0" encoding="utf-8"?>
<table xmlns="http://schemas.openxmlformats.org/spreadsheetml/2006/main" id="45" name="Table5" displayName="Table5" ref="B3:B665" headerRowCount="1" totalsRowCount="0" totalsRowShown="0">
  <autoFilter ref="B3:B665"/>
  <tableColumns count="1">
    <tableColumn id="1" name="primary"/>
  </tableColumns>
</table>
</file>

<file path=xl/tables/table46.xml><?xml version="1.0" encoding="utf-8"?>
<table xmlns="http://schemas.openxmlformats.org/spreadsheetml/2006/main" id="46" name="Table50" displayName="Table50" ref="AR3:AR480" headerRowCount="1" totalsRowCount="0" totalsRowShown="0">
  <autoFilter ref="AR3:AR480"/>
  <tableColumns count="1">
    <tableColumn id="1" name="primary"/>
  </tableColumns>
</table>
</file>

<file path=xl/tables/table47.xml><?xml version="1.0" encoding="utf-8"?>
<table xmlns="http://schemas.openxmlformats.org/spreadsheetml/2006/main" id="47" name="Table51" displayName="Table51" ref="AS3:AS479" headerRowCount="1" totalsRowCount="0" totalsRowShown="0">
  <autoFilter ref="AS3:AS479"/>
  <tableColumns count="1">
    <tableColumn id="1" name="primary"/>
  </tableColumns>
</table>
</file>

<file path=xl/tables/table48.xml><?xml version="1.0" encoding="utf-8"?>
<table xmlns="http://schemas.openxmlformats.org/spreadsheetml/2006/main" id="48" name="Table52" displayName="Table52" ref="AT3:AT468" headerRowCount="1" totalsRowCount="0" totalsRowShown="0">
  <autoFilter ref="AT3:AT468"/>
  <tableColumns count="1">
    <tableColumn id="1" name="primary"/>
  </tableColumns>
</table>
</file>

<file path=xl/tables/table49.xml><?xml version="1.0" encoding="utf-8"?>
<table xmlns="http://schemas.openxmlformats.org/spreadsheetml/2006/main" id="49" name="Table53" displayName="Table53" ref="AU3:AU337" headerRowCount="1" totalsRowCount="0" totalsRowShown="0">
  <autoFilter ref="AU3:AU337"/>
  <tableColumns count="1">
    <tableColumn id="1" name="primary"/>
  </tableColumns>
</table>
</file>

<file path=xl/tables/table50.xml><?xml version="1.0" encoding="utf-8"?>
<table xmlns="http://schemas.openxmlformats.org/spreadsheetml/2006/main" id="50" name="Table54" displayName="Table54" ref="A3:B29" headerRowCount="1" totalsRowCount="0" totalsRowShown="0">
  <autoFilter ref="A3:B29"/>
  <tableColumns count="2">
    <tableColumn id="1" name="primary"/>
    <tableColumn id="2" name="valid"/>
  </tableColumns>
</table>
</file>

<file path=xl/tables/table51.xml><?xml version="1.0" encoding="utf-8"?>
<table xmlns="http://schemas.openxmlformats.org/spreadsheetml/2006/main" id="51" name="Table55" displayName="Table55" ref="E3:F29" headerRowCount="1" totalsRowCount="0" totalsRowShown="0">
  <autoFilter ref="E3:F29"/>
  <tableColumns count="2">
    <tableColumn id="1" name="primary"/>
    <tableColumn id="2" name="valid"/>
  </tableColumns>
</table>
</file>

<file path=xl/tables/table52.xml><?xml version="1.0" encoding="utf-8"?>
<table xmlns="http://schemas.openxmlformats.org/spreadsheetml/2006/main" id="52" name="Table56" displayName="Table56" ref="G3:H29" headerRowCount="1" totalsRowCount="0" totalsRowShown="0">
  <autoFilter ref="G3:H29"/>
  <tableColumns count="2">
    <tableColumn id="1" name="primary"/>
    <tableColumn id="2" name="valid"/>
  </tableColumns>
</table>
</file>

<file path=xl/tables/table53.xml><?xml version="1.0" encoding="utf-8"?>
<table xmlns="http://schemas.openxmlformats.org/spreadsheetml/2006/main" id="53" name="Table57" displayName="Table57" ref="I3:J29" headerRowCount="1" totalsRowCount="0" totalsRowShown="0">
  <autoFilter ref="I3:J29"/>
  <tableColumns count="2">
    <tableColumn id="1" name="primary"/>
    <tableColumn id="2" name="valid"/>
  </tableColumns>
</table>
</file>

<file path=xl/tables/table54.xml><?xml version="1.0" encoding="utf-8"?>
<table xmlns="http://schemas.openxmlformats.org/spreadsheetml/2006/main" id="54" name="Table58" displayName="Table58" ref="K3:L29" headerRowCount="1" totalsRowCount="0" totalsRowShown="0">
  <autoFilter ref="K3:L29"/>
  <tableColumns count="2">
    <tableColumn id="1" name="primary"/>
    <tableColumn id="2" name="valid"/>
  </tableColumns>
</table>
</file>

<file path=xl/tables/table55.xml><?xml version="1.0" encoding="utf-8"?>
<table xmlns="http://schemas.openxmlformats.org/spreadsheetml/2006/main" id="55" name="Table59" displayName="Table59" ref="M3:N57" headerRowCount="1" totalsRowCount="0" totalsRowShown="0">
  <autoFilter ref="M3:N57"/>
  <tableColumns count="2">
    <tableColumn id="1" name="primary"/>
    <tableColumn id="2" name="valid"/>
  </tableColumns>
</table>
</file>

<file path=xl/tables/table56.xml><?xml version="1.0" encoding="utf-8"?>
<table xmlns="http://schemas.openxmlformats.org/spreadsheetml/2006/main" id="56" name="Table6" displayName="Table6" ref="U3:V27" headerRowCount="1" totalsRowCount="0" totalsRowShown="0">
  <autoFilter ref="U3:V27"/>
  <tableColumns count="2">
    <tableColumn id="1" name="primary"/>
    <tableColumn id="2" name="valid"/>
  </tableColumns>
</table>
</file>

<file path=xl/tables/table57.xml><?xml version="1.0" encoding="utf-8"?>
<table xmlns="http://schemas.openxmlformats.org/spreadsheetml/2006/main" id="57" name="Table60" displayName="Table60" ref="AA3:AB27" headerRowCount="1" totalsRowCount="0" totalsRowShown="0">
  <autoFilter ref="AA3:AB27"/>
  <tableColumns count="2">
    <tableColumn id="1" name="primary"/>
    <tableColumn id="2" name="valid"/>
  </tableColumns>
</table>
</file>

<file path=xl/tables/table58.xml><?xml version="1.0" encoding="utf-8"?>
<table xmlns="http://schemas.openxmlformats.org/spreadsheetml/2006/main" id="58" name="Table61" displayName="Table61" ref="AC3:AD27" headerRowCount="1" totalsRowCount="0" totalsRowShown="0">
  <autoFilter ref="AC3:AD27"/>
  <tableColumns count="2">
    <tableColumn id="1" name="primary"/>
    <tableColumn id="2" name="valid"/>
  </tableColumns>
</table>
</file>

<file path=xl/tables/table59.xml><?xml version="1.0" encoding="utf-8"?>
<table xmlns="http://schemas.openxmlformats.org/spreadsheetml/2006/main" id="59" name="Table62" displayName="Table62" ref="AE3:AF27" headerRowCount="1" totalsRowCount="0" totalsRowShown="0">
  <autoFilter ref="AE3:AF27"/>
  <tableColumns count="2">
    <tableColumn id="1" name="primary"/>
    <tableColumn id="2" name="valid"/>
  </tableColumns>
</table>
</file>

<file path=xl/tables/table60.xml><?xml version="1.0" encoding="utf-8"?>
<table xmlns="http://schemas.openxmlformats.org/spreadsheetml/2006/main" id="60" name="Table63" displayName="Table63" ref="AG3:AH29" headerRowCount="1" totalsRowCount="0" totalsRowShown="0">
  <autoFilter ref="AG3:AH29"/>
  <tableColumns count="2">
    <tableColumn id="1" name="primary"/>
    <tableColumn id="2" name="valid"/>
  </tableColumns>
</table>
</file>

<file path=xl/tables/table61.xml><?xml version="1.0" encoding="utf-8"?>
<table xmlns="http://schemas.openxmlformats.org/spreadsheetml/2006/main" id="61" name="Table64" displayName="Table64" ref="AI3:AJ27" headerRowCount="1" totalsRowCount="0" totalsRowShown="0">
  <autoFilter ref="AI3:AJ27"/>
  <tableColumns count="2">
    <tableColumn id="1" name="primary"/>
    <tableColumn id="2" name="valid"/>
  </tableColumns>
</table>
</file>

<file path=xl/tables/table62.xml><?xml version="1.0" encoding="utf-8"?>
<table xmlns="http://schemas.openxmlformats.org/spreadsheetml/2006/main" id="62" name="Table65" displayName="Table65" ref="AK3:AL27" headerRowCount="1" totalsRowCount="0" totalsRowShown="0">
  <autoFilter ref="AK3:AL27"/>
  <tableColumns count="2">
    <tableColumn id="1" name="primary"/>
    <tableColumn id="2" name="valid"/>
  </tableColumns>
</table>
</file>

<file path=xl/tables/table63.xml><?xml version="1.0" encoding="utf-8"?>
<table xmlns="http://schemas.openxmlformats.org/spreadsheetml/2006/main" id="63" name="Table66" displayName="Table66" ref="AM3:AN27" headerRowCount="1" totalsRowCount="0" totalsRowShown="0">
  <autoFilter ref="AM3:AN27"/>
  <tableColumns count="2">
    <tableColumn id="1" name="primary"/>
    <tableColumn id="2" name="valid"/>
  </tableColumns>
</table>
</file>

<file path=xl/tables/table64.xml><?xml version="1.0" encoding="utf-8"?>
<table xmlns="http://schemas.openxmlformats.org/spreadsheetml/2006/main" id="64" name="Table67" displayName="Table67" ref="AO3:AP27" headerRowCount="1" totalsRowCount="0" totalsRowShown="0">
  <autoFilter ref="AO3:AP27"/>
  <tableColumns count="2">
    <tableColumn id="1" name="primary"/>
    <tableColumn id="2" name="valid"/>
  </tableColumns>
</table>
</file>

<file path=xl/tables/table65.xml><?xml version="1.0" encoding="utf-8"?>
<table xmlns="http://schemas.openxmlformats.org/spreadsheetml/2006/main" id="65" name="Table68" displayName="Table68" ref="AQ3:AR29" headerRowCount="1" totalsRowCount="0" totalsRowShown="0">
  <autoFilter ref="AQ3:AR29"/>
  <tableColumns count="2">
    <tableColumn id="1" name="primary"/>
    <tableColumn id="2" name="valid"/>
  </tableColumns>
</table>
</file>

<file path=xl/tables/table66.xml><?xml version="1.0" encoding="utf-8"?>
<table xmlns="http://schemas.openxmlformats.org/spreadsheetml/2006/main" id="66" name="Table69" displayName="Table69" ref="AS3:AT27" headerRowCount="1" totalsRowCount="0" totalsRowShown="0">
  <autoFilter ref="AS3:AT27"/>
  <tableColumns count="2">
    <tableColumn id="1" name="primary"/>
    <tableColumn id="2" name="valid"/>
  </tableColumns>
</table>
</file>

<file path=xl/tables/table67.xml><?xml version="1.0" encoding="utf-8"?>
<table xmlns="http://schemas.openxmlformats.org/spreadsheetml/2006/main" id="67" name="Table7" displayName="Table7" ref="C3:C663" headerRowCount="1" totalsRowCount="0" totalsRowShown="0">
  <autoFilter ref="C3:C663"/>
  <tableColumns count="1">
    <tableColumn id="1" name="primary"/>
  </tableColumns>
</table>
</file>

<file path=xl/tables/table68.xml><?xml version="1.0" encoding="utf-8"?>
<table xmlns="http://schemas.openxmlformats.org/spreadsheetml/2006/main" id="68" name="Table70" displayName="Table70" ref="AU3:AV27" headerRowCount="1" totalsRowCount="0" totalsRowShown="0">
  <autoFilter ref="AU3:AV27"/>
  <tableColumns count="2">
    <tableColumn id="1" name="primary"/>
    <tableColumn id="2" name="valid"/>
  </tableColumns>
</table>
</file>

<file path=xl/tables/table69.xml><?xml version="1.0" encoding="utf-8"?>
<table xmlns="http://schemas.openxmlformats.org/spreadsheetml/2006/main" id="69" name="Table71" displayName="Table71" ref="AW3:AX27" headerRowCount="1" totalsRowCount="0" totalsRowShown="0">
  <autoFilter ref="AW3:AX27"/>
  <tableColumns count="2">
    <tableColumn id="1" name="primary"/>
    <tableColumn id="2" name="valid"/>
  </tableColumns>
</table>
</file>

<file path=xl/tables/table70.xml><?xml version="1.0" encoding="utf-8"?>
<table xmlns="http://schemas.openxmlformats.org/spreadsheetml/2006/main" id="70" name="Table72" displayName="Table72" ref="AY3:AZ27" headerRowCount="1" totalsRowCount="0" totalsRowShown="0">
  <autoFilter ref="AY3:AZ27"/>
  <tableColumns count="2">
    <tableColumn id="1" name="primary"/>
    <tableColumn id="2" name="valid"/>
  </tableColumns>
</table>
</file>

<file path=xl/tables/table71.xml><?xml version="1.0" encoding="utf-8"?>
<table xmlns="http://schemas.openxmlformats.org/spreadsheetml/2006/main" id="71" name="Table73" displayName="Table73" ref="BA3:BB55" headerRowCount="1" totalsRowCount="0" totalsRowShown="0">
  <autoFilter ref="BA3:BB55"/>
  <tableColumns count="2">
    <tableColumn id="1" name="primary"/>
    <tableColumn id="2" name="valid"/>
  </tableColumns>
</table>
</file>

<file path=xl/tables/table72.xml><?xml version="1.0" encoding="utf-8"?>
<table xmlns="http://schemas.openxmlformats.org/spreadsheetml/2006/main" id="72" name="Table74" displayName="Table74" ref="BC3:BD55" headerRowCount="1" totalsRowCount="0" totalsRowShown="0">
  <autoFilter ref="BC3:BD55"/>
  <tableColumns count="2">
    <tableColumn id="1" name="primary"/>
    <tableColumn id="2" name="valid"/>
  </tableColumns>
</table>
</file>

<file path=xl/tables/table73.xml><?xml version="1.0" encoding="utf-8"?>
<table xmlns="http://schemas.openxmlformats.org/spreadsheetml/2006/main" id="73" name="Table75" displayName="Table75" ref="BE3:BF55" headerRowCount="1" totalsRowCount="0" totalsRowShown="0">
  <autoFilter ref="BE3:BF55"/>
  <tableColumns count="2">
    <tableColumn id="1" name="primary"/>
    <tableColumn id="2" name="valid"/>
  </tableColumns>
</table>
</file>

<file path=xl/tables/table74.xml><?xml version="1.0" encoding="utf-8"?>
<table xmlns="http://schemas.openxmlformats.org/spreadsheetml/2006/main" id="74" name="Table76" displayName="Table76" ref="BG3:BH55" headerRowCount="1" totalsRowCount="0" totalsRowShown="0">
  <autoFilter ref="BG3:BH55"/>
  <tableColumns count="2">
    <tableColumn id="1" name="primary"/>
    <tableColumn id="2" name="valid"/>
  </tableColumns>
</table>
</file>

<file path=xl/tables/table75.xml><?xml version="1.0" encoding="utf-8"?>
<table xmlns="http://schemas.openxmlformats.org/spreadsheetml/2006/main" id="75" name="Table77" displayName="Table77" ref="BI3:BJ55" headerRowCount="1" totalsRowCount="0" totalsRowShown="0">
  <autoFilter ref="BI3:BJ55"/>
  <tableColumns count="2">
    <tableColumn id="1" name="primary"/>
    <tableColumn id="2" name="valid"/>
  </tableColumns>
</table>
</file>

<file path=xl/tables/table76.xml><?xml version="1.0" encoding="utf-8"?>
<table xmlns="http://schemas.openxmlformats.org/spreadsheetml/2006/main" id="76" name="Table78" displayName="Table78" ref="BK3:BL57" headerRowCount="1" totalsRowCount="0" totalsRowShown="0">
  <autoFilter ref="BK3:BL57"/>
  <tableColumns count="2">
    <tableColumn id="1" name="primary"/>
    <tableColumn id="2" name="valid"/>
  </tableColumns>
</table>
</file>

<file path=xl/tables/table77.xml><?xml version="1.0" encoding="utf-8"?>
<table xmlns="http://schemas.openxmlformats.org/spreadsheetml/2006/main" id="77" name="Table79" displayName="Table79" ref="BM3:BN57" headerRowCount="1" totalsRowCount="0" totalsRowShown="0">
  <autoFilter ref="BM3:BN57"/>
  <tableColumns count="2">
    <tableColumn id="1" name="primary"/>
    <tableColumn id="2" name="valid"/>
  </tableColumns>
</table>
</file>

<file path=xl/tables/table78.xml><?xml version="1.0" encoding="utf-8"?>
<table xmlns="http://schemas.openxmlformats.org/spreadsheetml/2006/main" id="78" name="Table8" displayName="Table8" ref="D3:D668" headerRowCount="1" totalsRowCount="0" totalsRowShown="0">
  <autoFilter ref="D3:D668"/>
  <tableColumns count="1">
    <tableColumn id="1" name="primary"/>
  </tableColumns>
</table>
</file>

<file path=xl/tables/table79.xml><?xml version="1.0" encoding="utf-8"?>
<table xmlns="http://schemas.openxmlformats.org/spreadsheetml/2006/main" id="79" name="Table80" displayName="Table80" ref="BO3:BP111" headerRowCount="1" totalsRowCount="0" totalsRowShown="0">
  <autoFilter ref="BO3:BP111"/>
  <tableColumns count="2">
    <tableColumn id="1" name="primary"/>
    <tableColumn id="2" name="valid"/>
  </tableColumns>
</table>
</file>

<file path=xl/tables/table80.xml><?xml version="1.0" encoding="utf-8"?>
<table xmlns="http://schemas.openxmlformats.org/spreadsheetml/2006/main" id="80" name="Table81" displayName="Table81" ref="BQ3:BR111" headerRowCount="1" totalsRowCount="0" totalsRowShown="0">
  <autoFilter ref="BQ3:BR111"/>
  <tableColumns count="2">
    <tableColumn id="1" name="primary"/>
    <tableColumn id="2" name="valid"/>
  </tableColumns>
</table>
</file>

<file path=xl/tables/table81.xml><?xml version="1.0" encoding="utf-8"?>
<table xmlns="http://schemas.openxmlformats.org/spreadsheetml/2006/main" id="81" name="Table82" displayName="Table82" ref="BS3:BT111" headerRowCount="1" totalsRowCount="0" totalsRowShown="0">
  <autoFilter ref="BS3:BT111"/>
  <tableColumns count="2">
    <tableColumn id="1" name="primary"/>
    <tableColumn id="2" name="valid"/>
  </tableColumns>
</table>
</file>

<file path=xl/tables/table82.xml><?xml version="1.0" encoding="utf-8"?>
<table xmlns="http://schemas.openxmlformats.org/spreadsheetml/2006/main" id="82" name="Table83" displayName="Table83" ref="BU3:BV111" headerRowCount="1" totalsRowCount="0" totalsRowShown="0">
  <autoFilter ref="BU3:BV111"/>
  <tableColumns count="2">
    <tableColumn id="1" name="primary"/>
    <tableColumn id="2" name="valid"/>
  </tableColumns>
</table>
</file>

<file path=xl/tables/table83.xml><?xml version="1.0" encoding="utf-8"?>
<table xmlns="http://schemas.openxmlformats.org/spreadsheetml/2006/main" id="83" name="Table84" displayName="Table84" ref="BW3:BX4" headerRowCount="1" totalsRowCount="0" totalsRowShown="0">
  <autoFilter ref="BW3:BX4"/>
  <tableColumns count="2">
    <tableColumn id="1" name="primary"/>
    <tableColumn id="2" name="valid"/>
  </tableColumns>
</table>
</file>

<file path=xl/tables/table84.xml><?xml version="1.0" encoding="utf-8"?>
<table xmlns="http://schemas.openxmlformats.org/spreadsheetml/2006/main" id="84" name="Table85" displayName="Table85" ref="BY3:BZ111" headerRowCount="1" totalsRowCount="0" totalsRowShown="0">
  <autoFilter ref="BY3:BZ111"/>
  <tableColumns count="2">
    <tableColumn id="1" name="primary"/>
    <tableColumn id="2" name="valid"/>
  </tableColumns>
</table>
</file>

<file path=xl/tables/table85.xml><?xml version="1.0" encoding="utf-8"?>
<table xmlns="http://schemas.openxmlformats.org/spreadsheetml/2006/main" id="85" name="Table86" displayName="Table86" ref="CA3:CB111" headerRowCount="1" totalsRowCount="0" totalsRowShown="0">
  <autoFilter ref="CA3:CB111"/>
  <tableColumns count="2">
    <tableColumn id="1" name="primary"/>
    <tableColumn id="2" name="valid"/>
  </tableColumns>
</table>
</file>

<file path=xl/tables/table86.xml><?xml version="1.0" encoding="utf-8"?>
<table xmlns="http://schemas.openxmlformats.org/spreadsheetml/2006/main" id="86" name="Table87" displayName="Table87" ref="CC3:CD4" headerRowCount="1" totalsRowCount="0" totalsRowShown="0">
  <autoFilter ref="CC3:CD4"/>
  <tableColumns count="2">
    <tableColumn id="1" name="primary"/>
    <tableColumn id="2" name="valid"/>
  </tableColumns>
</table>
</file>

<file path=xl/tables/table87.xml><?xml version="1.0" encoding="utf-8"?>
<table xmlns="http://schemas.openxmlformats.org/spreadsheetml/2006/main" id="87" name="Table88" displayName="Table88" ref="CE3:CF111" headerRowCount="1" totalsRowCount="0" totalsRowShown="0">
  <autoFilter ref="CE3:CF111"/>
  <tableColumns count="2">
    <tableColumn id="1" name="primary"/>
    <tableColumn id="2" name="valid"/>
  </tableColumns>
</table>
</file>

<file path=xl/tables/table88.xml><?xml version="1.0" encoding="utf-8"?>
<table xmlns="http://schemas.openxmlformats.org/spreadsheetml/2006/main" id="88" name="Table89" displayName="Table89" ref="CG3:CH111" headerRowCount="1" totalsRowCount="0" totalsRowShown="0">
  <autoFilter ref="CG3:CH111"/>
  <tableColumns count="2">
    <tableColumn id="1" name="primary"/>
    <tableColumn id="2" name="valid"/>
  </tableColumns>
</table>
</file>

<file path=xl/tables/table89.xml><?xml version="1.0" encoding="utf-8"?>
<table xmlns="http://schemas.openxmlformats.org/spreadsheetml/2006/main" id="89" name="Table9" displayName="Table9" ref="E3:E243" headerRowCount="1" totalsRowCount="0" totalsRowShown="0">
  <autoFilter ref="E3:E243"/>
  <tableColumns count="1">
    <tableColumn id="1" name="primary"/>
  </tableColumns>
</table>
</file>

<file path=xl/tables/table90.xml><?xml version="1.0" encoding="utf-8"?>
<table xmlns="http://schemas.openxmlformats.org/spreadsheetml/2006/main" id="90" name="Table90" displayName="Table90" ref="CI3:CJ111" headerRowCount="1" totalsRowCount="0" totalsRowShown="0">
  <autoFilter ref="CI3:CJ111"/>
  <tableColumns count="2">
    <tableColumn id="1" name="primary"/>
    <tableColumn id="2" name="valid"/>
  </tableColumns>
</table>
</file>

<file path=xl/tables/table91.xml><?xml version="1.0" encoding="utf-8"?>
<table xmlns="http://schemas.openxmlformats.org/spreadsheetml/2006/main" id="91" name="Table91" displayName="Table91" ref="CK3:CL111" headerRowCount="1" totalsRowCount="0" totalsRowShown="0">
  <autoFilter ref="CK3:CL111"/>
  <tableColumns count="2">
    <tableColumn id="1" name="primary"/>
    <tableColumn id="2" name="valid"/>
  </tableColumns>
</table>
</file>

<file path=xl/tables/table92.xml><?xml version="1.0" encoding="utf-8"?>
<table xmlns="http://schemas.openxmlformats.org/spreadsheetml/2006/main" id="92" name="Table92" displayName="Table92" ref="CM3:CN111" headerRowCount="1" totalsRowCount="0" totalsRowShown="0">
  <autoFilter ref="CM3:CN111"/>
  <tableColumns count="2">
    <tableColumn id="1" name="primary"/>
    <tableColumn id="2" name="valid"/>
  </tableColumns>
</table>
</file>

<file path=xl/tables/table93.xml><?xml version="1.0" encoding="utf-8"?>
<table xmlns="http://schemas.openxmlformats.org/spreadsheetml/2006/main" id="93" name="Table93" displayName="Table93" ref="CO3:CP111" headerRowCount="1" totalsRowCount="0" totalsRowShown="0">
  <autoFilter ref="CO3:CP111"/>
  <tableColumns count="2">
    <tableColumn id="1" name="primary"/>
    <tableColumn id="2" name="valid"/>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ater.weather.gov/ahps2/hydrograph.php?wfo=mpx&amp;gage=stpm5" TargetMode="External"/><Relationship Id="rId2" Type="http://schemas.openxmlformats.org/officeDocument/2006/relationships/hyperlink" Target="https://water.weather.gov/ahps2/hydrograph.php?wfo=mpx&amp;gage=stpm5" TargetMode="External"/><Relationship Id="rId3" Type="http://schemas.openxmlformats.org/officeDocument/2006/relationships/hyperlink" Target="https://water.weather.gov/ahps2/hydrograph.php?wfo=mpx&amp;gage=almw3" TargetMode="External"/><Relationship Id="rId4" Type="http://schemas.openxmlformats.org/officeDocument/2006/relationships/hyperlink" Target="https://water.weather.gov/ahps2/hydrograph.php?wfo=mpx&amp;gage=mscm5" TargetMode="External"/><Relationship Id="rId5" Type="http://schemas.openxmlformats.org/officeDocument/2006/relationships/hyperlink" Target="https://water.weather.gov/ahps2/hydrograph.php?wfo=mpx&amp;gage=widm5" TargetMode="External"/><Relationship Id="rId6" Type="http://schemas.openxmlformats.org/officeDocument/2006/relationships/hyperlink" Target="https://water.weather.gov/ahps2/hydrograph.php?wfo=mpx&amp;gage=trew3" TargetMode="External"/><Relationship Id="rId7" Type="http://schemas.openxmlformats.org/officeDocument/2006/relationships/hyperlink" Target="https://water.weather.gov/ahps2/hydrograph.php?wfo=mpx&amp;gage=lcrm5" TargetMode="External"/><Relationship Id="rId8" Type="http://schemas.openxmlformats.org/officeDocument/2006/relationships/hyperlink" Target="https://water.weather.gov/ahps2/hydrograph.php?wfo=mpx&amp;gage=genw3" TargetMode="External"/><Relationship Id="rId9" Type="http://schemas.openxmlformats.org/officeDocument/2006/relationships/hyperlink" Target="https://water.weather.gov/ahps2/hydrograph.php?wfo=mpx&amp;gage=lynw3" TargetMode="External"/><Relationship Id="rId10" Type="http://schemas.openxmlformats.org/officeDocument/2006/relationships/hyperlink" Target="https://water.weather.gov/ahps2/hydrograph.php?wfo=mpx&amp;gage=gtti4" TargetMode="External"/><Relationship Id="rId11" Type="http://schemas.openxmlformats.org/officeDocument/2006/relationships/hyperlink" Target="https://water.weather.gov/ahps2/hydrograph.php?wfo=mpx&amp;gage=dldi4" TargetMode="External"/><Relationship Id="rId12" Type="http://schemas.openxmlformats.org/officeDocument/2006/relationships/hyperlink" Target="https://water.weather.gov/ahps2/hydrograph.php?wfo=mpx&amp;gage=blvi4" TargetMode="External"/><Relationship Id="rId13" Type="http://schemas.openxmlformats.org/officeDocument/2006/relationships/hyperlink" Target="https://water.weather.gov/ahps2/hydrograph.php?wfo=mpx&amp;gage=flti2" TargetMode="External"/><Relationship Id="rId14" Type="http://schemas.openxmlformats.org/officeDocument/2006/relationships/hyperlink" Target="https://water.weather.gov/ahps2/hydrograph.php?wfo=mpx&amp;gage=leci4" TargetMode="External"/><Relationship Id="rId15" Type="http://schemas.openxmlformats.org/officeDocument/2006/relationships/hyperlink" Target="https://water.weather.gov/ahps2/hydrograph.php?wfo=mpx&amp;gage=rcki2" TargetMode="External"/><Relationship Id="rId16" Type="http://schemas.openxmlformats.org/officeDocument/2006/relationships/hyperlink" Target="https://water.weather.gov/ahps2/hydrograph.php?wfo=mpx&amp;gage=ilni2" TargetMode="External"/><Relationship Id="rId17" Type="http://schemas.openxmlformats.org/officeDocument/2006/relationships/hyperlink" Target="https://water.weather.gov/ahps2/hydrograph.php?wfo=mpx&amp;gage=nboi2" TargetMode="External"/><Relationship Id="rId18" Type="http://schemas.openxmlformats.org/officeDocument/2006/relationships/hyperlink" Target="https://water.weather.gov/ahps2/hydrograph.php?wfo=mpx&amp;gage=gldi2" TargetMode="External"/><Relationship Id="rId19" Type="http://schemas.openxmlformats.org/officeDocument/2006/relationships/hyperlink" Target="https://water.weather.gov/ahps2/hydrograph.php?wfo=mpx&amp;gage=eoki4" TargetMode="External"/><Relationship Id="rId20" Type="http://schemas.openxmlformats.org/officeDocument/2006/relationships/hyperlink" Target="https://water.weather.gov/ahps2/hydrograph.php?wfo=mpx&amp;gage=canm7" TargetMode="External"/><Relationship Id="rId21" Type="http://schemas.openxmlformats.org/officeDocument/2006/relationships/hyperlink" Target="https://water.weather.gov/ahps2/hydrograph.php?wfo=mpx&amp;gage=qldi2" TargetMode="External"/><Relationship Id="rId22" Type="http://schemas.openxmlformats.org/officeDocument/2006/relationships/hyperlink" Target="https://water.weather.gov/ahps2/hydrograph.php?wfo=mpx&amp;gage=svrm7" TargetMode="External"/><Relationship Id="rId23" Type="http://schemas.openxmlformats.org/officeDocument/2006/relationships/hyperlink" Target="https://water.weather.gov/ahps2/hydrograph.php?wfo=mpx&amp;gage=clkm7" TargetMode="External"/><Relationship Id="rId24" Type="http://schemas.openxmlformats.org/officeDocument/2006/relationships/hyperlink" Target="https://water.weather.gov/ahps2/hydrograph.php?wfo=mpx&amp;gage=cagm7" TargetMode="External"/><Relationship Id="rId25" Type="http://schemas.openxmlformats.org/officeDocument/2006/relationships/hyperlink" Target="https://water.weather.gov/ahps2/hydrograph.php?wfo=mpx&amp;gage=alni2" TargetMode="External"/><Relationship Id="rId26" Type="http://schemas.openxmlformats.org/officeDocument/2006/relationships/hyperlink" Target="https://water.weather.gov/ahps2/hydrograph.php?wfo=mpx&amp;gage=eadm7" TargetMode="External"/><Relationship Id="rId27" Type="http://schemas.openxmlformats.org/officeDocument/2006/relationships/hyperlink" Target="https://water.weather.gov/ahps2/hydrograph.php?wfo=mpx&amp;gage=eadm7" TargetMode="External"/><Relationship Id="rId28" Type="http://schemas.openxmlformats.org/officeDocument/2006/relationships/hyperlink" Target="https://water.weather.gov/ahps2/hydrograph.php?wfo=mpx&amp;gage=eadm7" TargetMode="External"/><Relationship Id="rId29" Type="http://schemas.openxmlformats.org/officeDocument/2006/relationships/hyperlink" Target="https://water.weather.gov/ahps2/hydrograph.php?wfo=mpx&amp;gage=eadm7"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ater.weather.gov/ahps2/hydrograph.php?wfo=ilx&amp;gage=grfi2" TargetMode="External"/><Relationship Id="rId2" Type="http://schemas.openxmlformats.org/officeDocument/2006/relationships/hyperlink" Target="https://water.weather.gov/ahps2/hydrograph.php?wfo=ilx&amp;gage=hari2" TargetMode="External"/><Relationship Id="rId3" Type="http://schemas.openxmlformats.org/officeDocument/2006/relationships/hyperlink" Target="https://water.weather.gov/ahps2/hydrograph.php?wfo=ilx&amp;gage=mroi2" TargetMode="External"/><Relationship Id="rId4" Type="http://schemas.openxmlformats.org/officeDocument/2006/relationships/hyperlink" Target="https://water.weather.gov/ahps2/hydrograph.php?wfo=ilx&amp;gage=beai2" TargetMode="External"/><Relationship Id="rId5" Type="http://schemas.openxmlformats.org/officeDocument/2006/relationships/hyperlink" Target="https://water.weather.gov/ahps2/hydrograph.php?wfo=ilx&amp;gage=havi2" TargetMode="External"/><Relationship Id="rId6" Type="http://schemas.openxmlformats.org/officeDocument/2006/relationships/hyperlink" Target="https://water.weather.gov/ahps2/hydrograph.php?wfo=ilx&amp;gage=copi2" TargetMode="External"/><Relationship Id="rId7" Type="http://schemas.openxmlformats.org/officeDocument/2006/relationships/hyperlink" Target="https://water.weather.gov/ahps2/hydrograph.php?wfo=ilx&amp;gage=piai2"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ater.weather.gov/ahps2/hydrograph.php?wfo=fsd&amp;gage=sscn1" TargetMode="External"/><Relationship Id="rId2" Type="http://schemas.openxmlformats.org/officeDocument/2006/relationships/hyperlink" Target="https://water.weather.gov/ahps2/hydrograph.php?wfo=oax&amp;gage=omhn1" TargetMode="External"/><Relationship Id="rId3" Type="http://schemas.openxmlformats.org/officeDocument/2006/relationships/hyperlink" Target="https://water.weather.gov/ahps2/hydrograph.php?wfo=oax&amp;gage=omhn1" TargetMode="External"/><Relationship Id="rId4" Type="http://schemas.openxmlformats.org/officeDocument/2006/relationships/hyperlink" Target="https://water.weather.gov/ahps2/hydrograph.php?wfo=oax&amp;gage=ruln1" TargetMode="External"/><Relationship Id="rId5" Type="http://schemas.openxmlformats.org/officeDocument/2006/relationships/hyperlink" Target="https://water.weather.gov/ahps2/hydrograph.php?wfo=oax&amp;gage=ruln1" TargetMode="External"/><Relationship Id="rId6" Type="http://schemas.openxmlformats.org/officeDocument/2006/relationships/hyperlink" Target="https://water.weather.gov/ahps2/hydrograph.php?wfo=eax&amp;gage=sjsm7" TargetMode="External"/><Relationship Id="rId7" Type="http://schemas.openxmlformats.org/officeDocument/2006/relationships/hyperlink" Target="https://water.weather.gov/ahps2/hydrograph.php?wfo=eax&amp;gage=atck1" TargetMode="External"/><Relationship Id="rId8" Type="http://schemas.openxmlformats.org/officeDocument/2006/relationships/hyperlink" Target="https://water.weather.gov/ahps2/hydrograph.php?wfo=eax&amp;gage=kcdm7" TargetMode="External"/><Relationship Id="rId9" Type="http://schemas.openxmlformats.org/officeDocument/2006/relationships/hyperlink" Target="https://water.weather.gov/ahps2/hydrograph.php?wfo=eax&amp;gage=kcdm7" TargetMode="External"/><Relationship Id="rId10" Type="http://schemas.openxmlformats.org/officeDocument/2006/relationships/hyperlink" Target="https://water.weather.gov/ahps2/hydrograph.php?wfo=eax&amp;gage=wvym7" TargetMode="External"/><Relationship Id="rId11" Type="http://schemas.openxmlformats.org/officeDocument/2006/relationships/hyperlink" Target="https://water.weather.gov/ahps2/hydrograph.php?wfo=eax&amp;gage=wvym7" TargetMode="External"/><Relationship Id="rId12" Type="http://schemas.openxmlformats.org/officeDocument/2006/relationships/hyperlink" Target="https://water.weather.gov/ahps2/hydrograph.php?wfo=eax&amp;gage=miam7" TargetMode="External"/><Relationship Id="rId13" Type="http://schemas.openxmlformats.org/officeDocument/2006/relationships/hyperlink" Target="https://water.weather.gov/ahps2/hydrograph.php?wfo=eax&amp;gage=glzm7" TargetMode="External"/><Relationship Id="rId14" Type="http://schemas.openxmlformats.org/officeDocument/2006/relationships/hyperlink" Target="https://water.weather.gov/ahps2/hydrograph.php?wfo=eax&amp;gage=bozm7" TargetMode="External"/><Relationship Id="rId15" Type="http://schemas.openxmlformats.org/officeDocument/2006/relationships/hyperlink" Target="https://water.weather.gov/ahps2/hydrograph.php?wfo=eax&amp;gage=bozm7" TargetMode="External"/><Relationship Id="rId16" Type="http://schemas.openxmlformats.org/officeDocument/2006/relationships/hyperlink" Target="https://water.weather.gov/ahps2/hydrograph.php?wfo=lsx&amp;gage=jffm7" TargetMode="External"/><Relationship Id="rId17" Type="http://schemas.openxmlformats.org/officeDocument/2006/relationships/hyperlink" Target="https://water.weather.gov/ahps2/hydrograph.php?wfo=lsx&amp;gage=hrnm7" TargetMode="External"/><Relationship Id="rId18" Type="http://schemas.openxmlformats.org/officeDocument/2006/relationships/hyperlink" Target="https://water.weather.gov/ahps2/hydrograph.php?wfo=lsx&amp;gage=hrnm7" TargetMode="External"/><Relationship Id="rId19" Type="http://schemas.openxmlformats.org/officeDocument/2006/relationships/hyperlink" Target="https://water.weather.gov/ahps2/hydrograph.php?wfo=lsx&amp;gage=whgm7" TargetMode="External"/><Relationship Id="rId20" Type="http://schemas.openxmlformats.org/officeDocument/2006/relationships/hyperlink" Target="https://water.weather.gov/ahps2/hydrograph.php?wfo=lsx&amp;gage=sclm7" TargetMode="External"/>
</Relationships>
</file>

<file path=xl/worksheets/_rels/sheet8.xml.rels><?xml version="1.0" encoding="UTF-8"?>
<Relationships xmlns="http://schemas.openxmlformats.org/package/2006/relationships"><Relationship Id="rId1" Type="http://schemas.openxmlformats.org/officeDocument/2006/relationships/table" Target="../tables/table2.xml"/><Relationship Id="rId2" Type="http://schemas.openxmlformats.org/officeDocument/2006/relationships/table" Target="../tables/table3.xml"/><Relationship Id="rId3" Type="http://schemas.openxmlformats.org/officeDocument/2006/relationships/table" Target="../tables/table4.xml"/><Relationship Id="rId4" Type="http://schemas.openxmlformats.org/officeDocument/2006/relationships/table" Target="../tables/table5.xml"/><Relationship Id="rId5" Type="http://schemas.openxmlformats.org/officeDocument/2006/relationships/table" Target="../tables/table7.xml"/><Relationship Id="rId6" Type="http://schemas.openxmlformats.org/officeDocument/2006/relationships/table" Target="../tables/table8.xml"/><Relationship Id="rId7" Type="http://schemas.openxmlformats.org/officeDocument/2006/relationships/table" Target="../tables/table9.xml"/><Relationship Id="rId8" Type="http://schemas.openxmlformats.org/officeDocument/2006/relationships/table" Target="../tables/table10.xml"/><Relationship Id="rId9" Type="http://schemas.openxmlformats.org/officeDocument/2006/relationships/table" Target="../tables/table13.xml"/><Relationship Id="rId10" Type="http://schemas.openxmlformats.org/officeDocument/2006/relationships/table" Target="../tables/table14.xml"/><Relationship Id="rId11" Type="http://schemas.openxmlformats.org/officeDocument/2006/relationships/table" Target="../tables/table15.xml"/><Relationship Id="rId12" Type="http://schemas.openxmlformats.org/officeDocument/2006/relationships/table" Target="../tables/table16.xml"/><Relationship Id="rId13" Type="http://schemas.openxmlformats.org/officeDocument/2006/relationships/table" Target="../tables/table17.xml"/><Relationship Id="rId14" Type="http://schemas.openxmlformats.org/officeDocument/2006/relationships/table" Target="../tables/table18.xml"/><Relationship Id="rId15" Type="http://schemas.openxmlformats.org/officeDocument/2006/relationships/table" Target="../tables/table19.xml"/><Relationship Id="rId16" Type="http://schemas.openxmlformats.org/officeDocument/2006/relationships/table" Target="../tables/table20.xml"/><Relationship Id="rId17" Type="http://schemas.openxmlformats.org/officeDocument/2006/relationships/table" Target="../tables/table21.xml"/><Relationship Id="rId18" Type="http://schemas.openxmlformats.org/officeDocument/2006/relationships/table" Target="../tables/table22.xml"/><Relationship Id="rId19" Type="http://schemas.openxmlformats.org/officeDocument/2006/relationships/table" Target="../tables/table24.xml"/><Relationship Id="rId20" Type="http://schemas.openxmlformats.org/officeDocument/2006/relationships/table" Target="../tables/table25.xml"/><Relationship Id="rId21" Type="http://schemas.openxmlformats.org/officeDocument/2006/relationships/table" Target="../tables/table26.xml"/><Relationship Id="rId22" Type="http://schemas.openxmlformats.org/officeDocument/2006/relationships/table" Target="../tables/table27.xml"/><Relationship Id="rId23" Type="http://schemas.openxmlformats.org/officeDocument/2006/relationships/table" Target="../tables/table28.xml"/><Relationship Id="rId24" Type="http://schemas.openxmlformats.org/officeDocument/2006/relationships/table" Target="../tables/table29.xml"/><Relationship Id="rId25" Type="http://schemas.openxmlformats.org/officeDocument/2006/relationships/table" Target="../tables/table30.xml"/><Relationship Id="rId26" Type="http://schemas.openxmlformats.org/officeDocument/2006/relationships/table" Target="../tables/table31.xml"/><Relationship Id="rId27" Type="http://schemas.openxmlformats.org/officeDocument/2006/relationships/table" Target="../tables/table32.xml"/><Relationship Id="rId28" Type="http://schemas.openxmlformats.org/officeDocument/2006/relationships/table" Target="../tables/table33.xml"/><Relationship Id="rId29" Type="http://schemas.openxmlformats.org/officeDocument/2006/relationships/table" Target="../tables/table34.xml"/><Relationship Id="rId30" Type="http://schemas.openxmlformats.org/officeDocument/2006/relationships/table" Target="../tables/table35.xml"/><Relationship Id="rId31" Type="http://schemas.openxmlformats.org/officeDocument/2006/relationships/table" Target="../tables/table36.xml"/><Relationship Id="rId32" Type="http://schemas.openxmlformats.org/officeDocument/2006/relationships/table" Target="../tables/table37.xml"/><Relationship Id="rId33" Type="http://schemas.openxmlformats.org/officeDocument/2006/relationships/table" Target="../tables/table38.xml"/><Relationship Id="rId34" Type="http://schemas.openxmlformats.org/officeDocument/2006/relationships/table" Target="../tables/table39.xml"/><Relationship Id="rId35" Type="http://schemas.openxmlformats.org/officeDocument/2006/relationships/table" Target="../tables/table40.xml"/><Relationship Id="rId36" Type="http://schemas.openxmlformats.org/officeDocument/2006/relationships/table" Target="../tables/table41.xml"/><Relationship Id="rId37" Type="http://schemas.openxmlformats.org/officeDocument/2006/relationships/table" Target="../tables/table42.xml"/><Relationship Id="rId38" Type="http://schemas.openxmlformats.org/officeDocument/2006/relationships/table" Target="../tables/table43.xml"/><Relationship Id="rId39" Type="http://schemas.openxmlformats.org/officeDocument/2006/relationships/table" Target="../tables/table44.xml"/><Relationship Id="rId40" Type="http://schemas.openxmlformats.org/officeDocument/2006/relationships/table" Target="../tables/table45.xml"/><Relationship Id="rId41" Type="http://schemas.openxmlformats.org/officeDocument/2006/relationships/table" Target="../tables/table46.xml"/><Relationship Id="rId42" Type="http://schemas.openxmlformats.org/officeDocument/2006/relationships/table" Target="../tables/table47.xml"/><Relationship Id="rId43" Type="http://schemas.openxmlformats.org/officeDocument/2006/relationships/table" Target="../tables/table48.xml"/><Relationship Id="rId44" Type="http://schemas.openxmlformats.org/officeDocument/2006/relationships/table" Target="../tables/table49.xml"/><Relationship Id="rId45" Type="http://schemas.openxmlformats.org/officeDocument/2006/relationships/table" Target="../tables/table67.xml"/><Relationship Id="rId46" Type="http://schemas.openxmlformats.org/officeDocument/2006/relationships/table" Target="../tables/table78.xml"/><Relationship Id="rId47" Type="http://schemas.openxmlformats.org/officeDocument/2006/relationships/table" Target="../tables/table89.x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1.vml"/><Relationship Id="rId3" Type="http://schemas.openxmlformats.org/officeDocument/2006/relationships/table" Target="../tables/table1.xml"/><Relationship Id="rId4" Type="http://schemas.openxmlformats.org/officeDocument/2006/relationships/table" Target="../tables/table6.xml"/><Relationship Id="rId5" Type="http://schemas.openxmlformats.org/officeDocument/2006/relationships/table" Target="../tables/table11.xml"/><Relationship Id="rId6" Type="http://schemas.openxmlformats.org/officeDocument/2006/relationships/table" Target="../tables/table12.xml"/><Relationship Id="rId7" Type="http://schemas.openxmlformats.org/officeDocument/2006/relationships/table" Target="../tables/table23.xml"/><Relationship Id="rId8" Type="http://schemas.openxmlformats.org/officeDocument/2006/relationships/table" Target="../tables/table50.xml"/><Relationship Id="rId9" Type="http://schemas.openxmlformats.org/officeDocument/2006/relationships/table" Target="../tables/table51.xml"/><Relationship Id="rId10" Type="http://schemas.openxmlformats.org/officeDocument/2006/relationships/table" Target="../tables/table52.xml"/><Relationship Id="rId11" Type="http://schemas.openxmlformats.org/officeDocument/2006/relationships/table" Target="../tables/table53.xml"/><Relationship Id="rId12" Type="http://schemas.openxmlformats.org/officeDocument/2006/relationships/table" Target="../tables/table54.xml"/><Relationship Id="rId13" Type="http://schemas.openxmlformats.org/officeDocument/2006/relationships/table" Target="../tables/table55.xml"/><Relationship Id="rId14" Type="http://schemas.openxmlformats.org/officeDocument/2006/relationships/table" Target="../tables/table56.xml"/><Relationship Id="rId15" Type="http://schemas.openxmlformats.org/officeDocument/2006/relationships/table" Target="../tables/table57.xml"/><Relationship Id="rId16" Type="http://schemas.openxmlformats.org/officeDocument/2006/relationships/table" Target="../tables/table58.xml"/><Relationship Id="rId17" Type="http://schemas.openxmlformats.org/officeDocument/2006/relationships/table" Target="../tables/table59.xml"/><Relationship Id="rId18" Type="http://schemas.openxmlformats.org/officeDocument/2006/relationships/table" Target="../tables/table60.xml"/><Relationship Id="rId19" Type="http://schemas.openxmlformats.org/officeDocument/2006/relationships/table" Target="../tables/table61.xml"/><Relationship Id="rId20" Type="http://schemas.openxmlformats.org/officeDocument/2006/relationships/table" Target="../tables/table62.xml"/><Relationship Id="rId21" Type="http://schemas.openxmlformats.org/officeDocument/2006/relationships/table" Target="../tables/table63.xml"/><Relationship Id="rId22" Type="http://schemas.openxmlformats.org/officeDocument/2006/relationships/table" Target="../tables/table64.xml"/><Relationship Id="rId23" Type="http://schemas.openxmlformats.org/officeDocument/2006/relationships/table" Target="../tables/table65.xml"/><Relationship Id="rId24" Type="http://schemas.openxmlformats.org/officeDocument/2006/relationships/table" Target="../tables/table66.xml"/><Relationship Id="rId25" Type="http://schemas.openxmlformats.org/officeDocument/2006/relationships/table" Target="../tables/table68.xml"/><Relationship Id="rId26" Type="http://schemas.openxmlformats.org/officeDocument/2006/relationships/table" Target="../tables/table69.xml"/><Relationship Id="rId27" Type="http://schemas.openxmlformats.org/officeDocument/2006/relationships/table" Target="../tables/table70.xml"/><Relationship Id="rId28" Type="http://schemas.openxmlformats.org/officeDocument/2006/relationships/table" Target="../tables/table71.xml"/><Relationship Id="rId29" Type="http://schemas.openxmlformats.org/officeDocument/2006/relationships/table" Target="../tables/table72.xml"/><Relationship Id="rId30" Type="http://schemas.openxmlformats.org/officeDocument/2006/relationships/table" Target="../tables/table73.xml"/><Relationship Id="rId31" Type="http://schemas.openxmlformats.org/officeDocument/2006/relationships/table" Target="../tables/table74.xml"/><Relationship Id="rId32" Type="http://schemas.openxmlformats.org/officeDocument/2006/relationships/table" Target="../tables/table75.xml"/><Relationship Id="rId33" Type="http://schemas.openxmlformats.org/officeDocument/2006/relationships/table" Target="../tables/table76.xml"/><Relationship Id="rId34" Type="http://schemas.openxmlformats.org/officeDocument/2006/relationships/table" Target="../tables/table77.xml"/><Relationship Id="rId35" Type="http://schemas.openxmlformats.org/officeDocument/2006/relationships/table" Target="../tables/table79.xml"/><Relationship Id="rId36" Type="http://schemas.openxmlformats.org/officeDocument/2006/relationships/table" Target="../tables/table80.xml"/><Relationship Id="rId37" Type="http://schemas.openxmlformats.org/officeDocument/2006/relationships/table" Target="../tables/table81.xml"/><Relationship Id="rId38" Type="http://schemas.openxmlformats.org/officeDocument/2006/relationships/table" Target="../tables/table82.xml"/><Relationship Id="rId39" Type="http://schemas.openxmlformats.org/officeDocument/2006/relationships/table" Target="../tables/table83.xml"/><Relationship Id="rId40" Type="http://schemas.openxmlformats.org/officeDocument/2006/relationships/table" Target="../tables/table84.xml"/><Relationship Id="rId41" Type="http://schemas.openxmlformats.org/officeDocument/2006/relationships/table" Target="../tables/table85.xml"/><Relationship Id="rId42" Type="http://schemas.openxmlformats.org/officeDocument/2006/relationships/table" Target="../tables/table86.xml"/><Relationship Id="rId43" Type="http://schemas.openxmlformats.org/officeDocument/2006/relationships/table" Target="../tables/table87.xml"/><Relationship Id="rId44" Type="http://schemas.openxmlformats.org/officeDocument/2006/relationships/table" Target="../tables/table88.xml"/><Relationship Id="rId45" Type="http://schemas.openxmlformats.org/officeDocument/2006/relationships/table" Target="../tables/table90.xml"/><Relationship Id="rId46" Type="http://schemas.openxmlformats.org/officeDocument/2006/relationships/table" Target="../tables/table91.xml"/><Relationship Id="rId47" Type="http://schemas.openxmlformats.org/officeDocument/2006/relationships/table" Target="../tables/table92.xml"/><Relationship Id="rId48" Type="http://schemas.openxmlformats.org/officeDocument/2006/relationships/table" Target="../tables/table9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1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63" activeCellId="0" sqref="G63"/>
    </sheetView>
  </sheetViews>
  <sheetFormatPr defaultColWidth="9.109375" defaultRowHeight="14.25" zeroHeight="false" outlineLevelRow="0" outlineLevelCol="0"/>
  <cols>
    <col collapsed="false" customWidth="true" hidden="false" outlineLevel="0" max="1" min="1" style="1" width="10.88"/>
    <col collapsed="false" customWidth="true" hidden="false" outlineLevel="0" max="2" min="2" style="2" width="32.67"/>
    <col collapsed="false" customWidth="true" hidden="false" outlineLevel="0" max="3" min="3" style="1" width="14.44"/>
    <col collapsed="false" customWidth="true" hidden="false" outlineLevel="0" max="4" min="4" style="1" width="13.44"/>
    <col collapsed="false" customWidth="true" hidden="false" outlineLevel="0" max="5" min="5" style="1" width="11.89"/>
    <col collapsed="false" customWidth="true" hidden="false" outlineLevel="0" max="6" min="6" style="1" width="14.33"/>
    <col collapsed="false" customWidth="true" hidden="false" outlineLevel="0" max="7" min="7" style="3" width="12.56"/>
    <col collapsed="false" customWidth="true" hidden="false" outlineLevel="0" max="8" min="8" style="1" width="8.44"/>
    <col collapsed="false" customWidth="true" hidden="false" outlineLevel="0" max="9" min="9" style="2" width="6.44"/>
    <col collapsed="false" customWidth="true" hidden="false" outlineLevel="0" max="10" min="10" style="2" width="8.34"/>
    <col collapsed="false" customWidth="true" hidden="false" outlineLevel="0" max="11" min="11" style="2" width="5.56"/>
    <col collapsed="false" customWidth="true" hidden="false" outlineLevel="0" max="12" min="12" style="2" width="5.33"/>
    <col collapsed="false" customWidth="true" hidden="false" outlineLevel="0" max="13" min="13" style="2" width="10.33"/>
    <col collapsed="false" customWidth="true" hidden="false" outlineLevel="0" max="14" min="14" style="2" width="15.33"/>
    <col collapsed="false" customWidth="false" hidden="false" outlineLevel="0" max="16384" min="15" style="2" width="9.11"/>
  </cols>
  <sheetData>
    <row r="1" customFormat="false" ht="23.25" hidden="false" customHeight="true" outlineLevel="0" collapsed="false">
      <c r="A1" s="4" t="s">
        <v>0</v>
      </c>
      <c r="B1" s="4"/>
      <c r="C1" s="4"/>
      <c r="D1" s="4"/>
      <c r="E1" s="4"/>
      <c r="F1" s="4"/>
      <c r="G1" s="4"/>
      <c r="H1" s="4"/>
      <c r="I1" s="5"/>
      <c r="J1" s="6"/>
      <c r="K1" s="7" t="s">
        <v>1</v>
      </c>
      <c r="L1" s="7"/>
      <c r="M1" s="8" t="n">
        <f aca="true">NOW()</f>
        <v>45613.4931940394</v>
      </c>
      <c r="N1" s="8"/>
    </row>
    <row r="2" customFormat="false" ht="25.3" hidden="false" customHeight="false" outlineLevel="0" collapsed="false">
      <c r="A2" s="9" t="s">
        <v>2</v>
      </c>
      <c r="B2" s="10" t="s">
        <v>3</v>
      </c>
      <c r="C2" s="10" t="s">
        <v>4</v>
      </c>
      <c r="D2" s="10" t="s">
        <v>5</v>
      </c>
      <c r="E2" s="10" t="s">
        <v>6</v>
      </c>
      <c r="F2" s="10" t="s">
        <v>7</v>
      </c>
      <c r="G2" s="11" t="s">
        <v>8</v>
      </c>
      <c r="H2" s="10" t="s">
        <v>9</v>
      </c>
      <c r="I2" s="12" t="s">
        <v>10</v>
      </c>
      <c r="J2" s="13" t="s">
        <v>11</v>
      </c>
      <c r="K2" s="13"/>
      <c r="L2" s="13"/>
      <c r="M2" s="13"/>
      <c r="N2" s="13"/>
    </row>
    <row r="3" customFormat="false" ht="14.25" hidden="false" customHeight="false" outlineLevel="0" collapsed="false">
      <c r="A3" s="14" t="s">
        <v>12</v>
      </c>
      <c r="B3" s="15" t="s">
        <v>13</v>
      </c>
      <c r="C3" s="16" t="s">
        <v>14</v>
      </c>
      <c r="D3" s="17" t="s">
        <v>15</v>
      </c>
      <c r="E3" s="17" t="s">
        <v>16</v>
      </c>
      <c r="F3" s="17" t="s">
        <v>17</v>
      </c>
      <c r="G3" s="18" t="s">
        <v>18</v>
      </c>
      <c r="H3" s="19"/>
      <c r="I3" s="20"/>
      <c r="J3" s="21"/>
      <c r="K3" s="22"/>
      <c r="L3" s="23"/>
      <c r="M3" s="24" t="str">
        <f aca="false">IF(J3="Crest at",Forecasted_Data!P111,IF(J3="Falling to",Forecasted_Data!P112,""))</f>
        <v/>
      </c>
      <c r="N3" s="25" t="str">
        <f aca="false">IF(AND(J3="Crest at",Forecasted_Data!O111&lt;14),"(Normal)",IF(AND(J3="Crest at",Forecasted_Data!O111&gt;=14,Forecasted_Data!O111&lt;17),"(Watch)",IF(AND(J3="Crest at",Forecasted_Data!O111&gt;=17),"(Action)",IF(AND(J3="Falling to",Forecasted_Data!O112&lt;14),"(Normal)",IF(AND(J3="Falling to",Forecasted_Data!O112&gt;=14,Forecasted_Data!O112&lt;17),"(Watch)",IF(AND(J3="Falling to",Forecasted_Data!O112&gt;=17),"(Action)",""))))))</f>
        <v/>
      </c>
    </row>
    <row r="4" customFormat="false" ht="14.25" hidden="false" customHeight="false" outlineLevel="0" collapsed="false">
      <c r="A4" s="14"/>
      <c r="B4" s="15"/>
      <c r="C4" s="16"/>
      <c r="D4" s="17"/>
      <c r="E4" s="17"/>
      <c r="F4" s="17"/>
      <c r="G4" s="18"/>
      <c r="H4" s="19"/>
      <c r="I4" s="20"/>
      <c r="J4" s="26"/>
      <c r="K4" s="26"/>
      <c r="L4" s="26"/>
      <c r="M4" s="27" t="str">
        <f aca="false">IF(AND(OR(N3="(Watch)", N3="(Action)"),H3&lt;14),Forecasted_Data!P117,IF(AND(N3="(Action)",H3&gt;=14,H3&lt;17),Forecasted_Data!P118,IF(AND(OR(N3="(Watch)", N3="(Normal)"),H3&gt;=17),Forecasted_Data!P113,IF(AND(N3="(Normal)",H3&gt;=14,H3&lt;17),Forecasted_Data!P114,""))))</f>
        <v/>
      </c>
      <c r="N4" s="27"/>
    </row>
    <row r="5" customFormat="false" ht="14.25" hidden="false" customHeight="false" outlineLevel="0" collapsed="false">
      <c r="A5" s="28" t="s">
        <v>19</v>
      </c>
      <c r="B5" s="29" t="s">
        <v>13</v>
      </c>
      <c r="C5" s="30" t="s">
        <v>20</v>
      </c>
      <c r="D5" s="31" t="s">
        <v>15</v>
      </c>
      <c r="E5" s="31" t="s">
        <v>16</v>
      </c>
      <c r="F5" s="31" t="s">
        <v>17</v>
      </c>
      <c r="G5" s="32" t="s">
        <v>21</v>
      </c>
      <c r="H5" s="33"/>
      <c r="I5" s="34"/>
      <c r="J5" s="35"/>
      <c r="K5" s="36"/>
      <c r="L5" s="37"/>
      <c r="M5" s="38" t="str">
        <f aca="false">M3</f>
        <v/>
      </c>
      <c r="N5" s="39" t="str">
        <f aca="false">N3</f>
        <v/>
      </c>
    </row>
    <row r="6" customFormat="false" ht="14.25" hidden="false" customHeight="false" outlineLevel="0" collapsed="false">
      <c r="A6" s="28"/>
      <c r="B6" s="29"/>
      <c r="C6" s="30"/>
      <c r="D6" s="31"/>
      <c r="E6" s="31"/>
      <c r="F6" s="31"/>
      <c r="G6" s="32"/>
      <c r="H6" s="33"/>
      <c r="I6" s="34"/>
      <c r="J6" s="40"/>
      <c r="K6" s="40"/>
      <c r="L6" s="40"/>
      <c r="M6" s="41" t="str">
        <f aca="false">M4</f>
        <v/>
      </c>
      <c r="N6" s="41"/>
    </row>
    <row r="7" customFormat="false" ht="14.25" hidden="false" customHeight="false" outlineLevel="0" collapsed="false">
      <c r="A7" s="14" t="s">
        <v>22</v>
      </c>
      <c r="B7" s="15" t="s">
        <v>23</v>
      </c>
      <c r="C7" s="16" t="s">
        <v>24</v>
      </c>
      <c r="D7" s="16" t="s">
        <v>25</v>
      </c>
      <c r="E7" s="17" t="s">
        <v>26</v>
      </c>
      <c r="F7" s="17" t="s">
        <v>27</v>
      </c>
      <c r="G7" s="18" t="s">
        <v>28</v>
      </c>
      <c r="H7" s="19"/>
      <c r="I7" s="20"/>
      <c r="J7" s="42"/>
      <c r="K7" s="43"/>
      <c r="L7" s="44"/>
      <c r="M7" s="45" t="str">
        <f aca="false">IF(J7="Crest at",Forecasted_Data!T111,IF(J7="Falling to",Forecasted_Data!T112,""))</f>
        <v/>
      </c>
      <c r="N7" s="25" t="str">
        <f aca="false">IF(AND(J7="Crest at",Forecasted_Data!S111&lt;16),"(Normal)",IF(AND(J7="Crest at",Forecasted_Data!S111&gt;=16,Forecasted_Data!S111&lt;18),"(Watch)",IF(AND(J7="Crest at",Forecasted_Data!S111&gt;=18),"(Action)",IF(AND(J7="Falling to",Forecasted_Data!S112&lt;16),"(Normal)",IF(AND(J7="Falling to",Forecasted_Data!S112&gt;=16,Forecasted_Data!S112&lt;18),"(Watch)",IF(AND(J7="Falling to",Forecasted_Data!S112&gt;=18),"(Action)",""))))))</f>
        <v/>
      </c>
    </row>
    <row r="8" customFormat="false" ht="14.25" hidden="false" customHeight="false" outlineLevel="0" collapsed="false">
      <c r="A8" s="14"/>
      <c r="B8" s="15"/>
      <c r="C8" s="16"/>
      <c r="D8" s="16"/>
      <c r="E8" s="17"/>
      <c r="F8" s="17"/>
      <c r="G8" s="18"/>
      <c r="H8" s="19"/>
      <c r="I8" s="20"/>
      <c r="J8" s="26"/>
      <c r="K8" s="26"/>
      <c r="L8" s="26"/>
      <c r="M8" s="27" t="str">
        <f aca="false">IF(AND(OR(N7="(Watch)", N7="(Action)"),H7&lt;16),Forecasted_Data!T117,IF(AND(N7="(Action)",H7&gt;=16,H7&lt;18),Forecasted_Data!T118,IF(AND(OR(N7="(Watch)", N7="(Normal)"),H7&gt;=18),Forecasted_Data!T113,IF(AND(N7="(Normal)",H7&gt;=16,H7&lt;18),Forecasted_Data!T114,""))))</f>
        <v/>
      </c>
      <c r="N8" s="27"/>
    </row>
    <row r="9" customFormat="false" ht="14.25" hidden="false" customHeight="false" outlineLevel="0" collapsed="false">
      <c r="A9" s="28" t="s">
        <v>29</v>
      </c>
      <c r="B9" s="29" t="s">
        <v>30</v>
      </c>
      <c r="C9" s="46" t="s">
        <v>31</v>
      </c>
      <c r="D9" s="31" t="s">
        <v>32</v>
      </c>
      <c r="E9" s="47" t="s">
        <v>33</v>
      </c>
      <c r="F9" s="47" t="s">
        <v>34</v>
      </c>
      <c r="G9" s="32" t="s">
        <v>35</v>
      </c>
      <c r="H9" s="48"/>
      <c r="I9" s="49"/>
      <c r="J9" s="35"/>
      <c r="K9" s="36"/>
      <c r="L9" s="37"/>
      <c r="M9" s="38" t="str">
        <f aca="false">IF(J9="Crest at",Forecasted_Data!V111,IF(J9="Falling to",Forecasted_Data!V112,""))</f>
        <v/>
      </c>
      <c r="N9" s="39" t="str">
        <f aca="false">IF(AND(J9="Crest at",Forecasted_Data!U111&lt;665),"(Normal)",IF(AND(J9="Crest at",Forecasted_Data!U111&gt;=665,Forecasted_Data!U111&lt;667),"(Watch)",IF(AND(J9="Crest at",Forecasted_Data!U111&gt;=667),"(Action)",IF(AND(J9="Falling to",Forecasted_Data!U112&lt;665),"(Normal)",IF(AND(J9="Falling to",Forecasted_Data!U112&gt;=665,Forecasted_Data!U112&lt;667),"(Watch)",IF(AND(J9="Falling to",Forecasted_Data!U112&gt;=667),"(Action)",""))))))</f>
        <v/>
      </c>
    </row>
    <row r="10" customFormat="false" ht="14.25" hidden="false" customHeight="false" outlineLevel="0" collapsed="false">
      <c r="A10" s="28"/>
      <c r="B10" s="29"/>
      <c r="C10" s="46"/>
      <c r="D10" s="31"/>
      <c r="E10" s="47"/>
      <c r="F10" s="47"/>
      <c r="G10" s="32"/>
      <c r="H10" s="48"/>
      <c r="I10" s="49"/>
      <c r="J10" s="40"/>
      <c r="K10" s="40"/>
      <c r="L10" s="40"/>
      <c r="M10" s="41" t="str">
        <f aca="false">IF(AND(OR(N9="(Watch)", N9="(Action)"),H9&lt;665),Forecasted_Data!V117,IF(AND(N9="(Action)",H9&gt;=665,H9&lt;667),Forecasted_Data!V118,IF(AND(OR(N9="(Watch)", N9="(Normal)"),H9&gt;=667),Forecasted_Data!V113,IF(AND(N9="(Normal)",H9&gt;=665,H9&lt;667),Forecasted_Data!V114,""))))</f>
        <v/>
      </c>
      <c r="N10" s="41"/>
    </row>
    <row r="11" customFormat="false" ht="14.25" hidden="false" customHeight="false" outlineLevel="0" collapsed="false">
      <c r="A11" s="14" t="s">
        <v>36</v>
      </c>
      <c r="B11" s="15" t="s">
        <v>37</v>
      </c>
      <c r="C11" s="16" t="s">
        <v>38</v>
      </c>
      <c r="D11" s="17" t="s">
        <v>39</v>
      </c>
      <c r="E11" s="17" t="s">
        <v>40</v>
      </c>
      <c r="F11" s="17" t="s">
        <v>41</v>
      </c>
      <c r="G11" s="18" t="s">
        <v>42</v>
      </c>
      <c r="H11" s="19"/>
      <c r="I11" s="20"/>
      <c r="J11" s="42"/>
      <c r="K11" s="43"/>
      <c r="L11" s="44"/>
      <c r="M11" s="45" t="str">
        <f aca="false">IF(J11="Crest at",Forecasted_Data!X111,IF(J11="Falling to",Forecasted_Data!X112,""))</f>
        <v/>
      </c>
      <c r="N11" s="25" t="str">
        <f aca="false">IF(AND(J11="Crest at",Forecasted_Data!W111&lt;653),"(Normal)",IF(AND(J11="Crest at",Forecasted_Data!W111&gt;=653,Forecasted_Data!W111&lt;655),"(Watch)",IF(AND(J11="Crest at",Forecasted_Data!W111&gt;=655),"(Action)",IF(AND(J11="Falling to",Forecasted_Data!W112&lt;653),"(Normal)",IF(AND(J11="Falling to",Forecasted_Data!W112&gt;=653,Forecasted_Data!W112&lt;655),"(Watch)",IF(AND(J11="Falling to",Forecasted_Data!W112&gt;=655),"(Action)",""))))))</f>
        <v/>
      </c>
    </row>
    <row r="12" customFormat="false" ht="14.25" hidden="false" customHeight="false" outlineLevel="0" collapsed="false">
      <c r="A12" s="14"/>
      <c r="B12" s="15"/>
      <c r="C12" s="16"/>
      <c r="D12" s="17"/>
      <c r="E12" s="17"/>
      <c r="F12" s="17"/>
      <c r="G12" s="18"/>
      <c r="H12" s="19"/>
      <c r="I12" s="20"/>
      <c r="J12" s="26"/>
      <c r="K12" s="26"/>
      <c r="L12" s="26"/>
      <c r="M12" s="27" t="str">
        <f aca="false">IF(AND(OR(N11="(Watch)", N11="(Action)"),H11&lt;653),Forecasted_Data!X117,IF(AND(N11="(Action)",H11&gt;=653,H11&lt;655),Forecasted_Data!X118,IF(AND(OR(N11="(Watch)", N11="(Normal)"),H11&gt;=655),Forecasted_Data!X113,IF(AND(N11="(Normal)",H11&gt;=653,H11&lt;655),Forecasted_Data!X114,""))))</f>
        <v/>
      </c>
      <c r="N12" s="27"/>
    </row>
    <row r="13" customFormat="false" ht="14.25" hidden="false" customHeight="false" outlineLevel="0" collapsed="false">
      <c r="A13" s="50" t="s">
        <v>43</v>
      </c>
      <c r="B13" s="51" t="s">
        <v>44</v>
      </c>
      <c r="C13" s="30" t="s">
        <v>45</v>
      </c>
      <c r="D13" s="47" t="s">
        <v>46</v>
      </c>
      <c r="E13" s="47" t="s">
        <v>47</v>
      </c>
      <c r="F13" s="47" t="s">
        <v>48</v>
      </c>
      <c r="G13" s="32" t="s">
        <v>49</v>
      </c>
      <c r="H13" s="48"/>
      <c r="I13" s="49"/>
      <c r="J13" s="35"/>
      <c r="K13" s="36"/>
      <c r="L13" s="37"/>
      <c r="M13" s="38" t="str">
        <f aca="false">IF(J13="Crest at",Forecasted_Data!Z111,IF(J13="Falling to",Forecasted_Data!Z112,""))</f>
        <v/>
      </c>
      <c r="N13" s="39" t="str">
        <f aca="false">IF(AND(J13="Crest at",Forecasted_Data!Y111&lt;647),"(Normal)",IF(AND(J13="Crest at",Forecasted_Data!Y111&gt;=647,Forecasted_Data!Y111&lt;649),"(Watch)",IF(AND(J13="Crest at",Forecasted_Data!Y111&gt;=649),"(Action)",IF(AND(J13="Falling to",Forecasted_Data!Y112&lt;647),"(Normal)",IF(AND(J13="Falling to",Forecasted_Data!Y112&gt;=647,Forecasted_Data!Y112&lt;649),"(Watch)",IF(AND(J13="Falling to",Forecasted_Data!Y112&gt;=649),"(Action)",""))))))</f>
        <v/>
      </c>
    </row>
    <row r="14" customFormat="false" ht="14.25" hidden="false" customHeight="false" outlineLevel="0" collapsed="false">
      <c r="A14" s="50"/>
      <c r="B14" s="51"/>
      <c r="C14" s="30"/>
      <c r="D14" s="47"/>
      <c r="E14" s="47"/>
      <c r="F14" s="47"/>
      <c r="G14" s="32"/>
      <c r="H14" s="48"/>
      <c r="I14" s="49"/>
      <c r="J14" s="40"/>
      <c r="K14" s="40"/>
      <c r="L14" s="40"/>
      <c r="M14" s="41" t="str">
        <f aca="false">IF(AND(OR(N13="(Watch)", N13="(Action)"),H13&lt;647),Forecasted_Data!Z117,IF(AND(N13="(Action)",H13&gt;=647,H13&lt;649),Forecasted_Data!Z118,IF(AND(OR(N13="(Watch)", N13="(Normal)"),H13&gt;=649),Forecasted_Data!Z113,IF(AND(N13="(Normal)",H13&gt;=647,H13&lt;649),Forecasted_Data!Z114,""))))</f>
        <v/>
      </c>
      <c r="N14" s="41"/>
    </row>
    <row r="15" customFormat="false" ht="14.25" hidden="false" customHeight="false" outlineLevel="0" collapsed="false">
      <c r="A15" s="14" t="s">
        <v>50</v>
      </c>
      <c r="B15" s="15" t="s">
        <v>51</v>
      </c>
      <c r="C15" s="16" t="s">
        <v>52</v>
      </c>
      <c r="D15" s="17" t="s">
        <v>53</v>
      </c>
      <c r="E15" s="17" t="s">
        <v>54</v>
      </c>
      <c r="F15" s="17" t="s">
        <v>55</v>
      </c>
      <c r="G15" s="18" t="s">
        <v>56</v>
      </c>
      <c r="H15" s="19"/>
      <c r="I15" s="20"/>
      <c r="J15" s="42"/>
      <c r="K15" s="43"/>
      <c r="L15" s="44"/>
      <c r="M15" s="45" t="str">
        <f aca="false">IF(J15="Crest at",Forecasted_Data!AB111,IF(J15="Falling to",Forecasted_Data!AB112,""))</f>
        <v/>
      </c>
      <c r="N15" s="25" t="str">
        <f aca="false">IF(AND(J15="Crest at",Forecasted_Data!AA111&lt;641),"(Normal)",IF(AND(J15="Crest at",Forecasted_Data!AA111&gt;=641,Forecasted_Data!AA111&lt;643),"(Watch)",IF(AND(J15="Crest at",Forecasted_Data!AA111&gt;=643),"(Action)",IF(AND(J15="Falling to",Forecasted_Data!AA112&lt;641),"(Normal)",IF(AND(J15="Falling to",Forecasted_Data!AA112&gt;=641,Forecasted_Data!AA112&lt;643),"(Watch)",IF(AND(J15="Falling to",Forecasted_Data!AA112&gt;=643),"(Action)",""))))))</f>
        <v/>
      </c>
    </row>
    <row r="16" customFormat="false" ht="14.25" hidden="false" customHeight="false" outlineLevel="0" collapsed="false">
      <c r="A16" s="14"/>
      <c r="B16" s="15"/>
      <c r="C16" s="16"/>
      <c r="D16" s="17"/>
      <c r="E16" s="17"/>
      <c r="F16" s="17"/>
      <c r="G16" s="18"/>
      <c r="H16" s="19"/>
      <c r="I16" s="20"/>
      <c r="J16" s="26"/>
      <c r="K16" s="26"/>
      <c r="L16" s="26"/>
      <c r="M16" s="27" t="str">
        <f aca="false">IF(AND(OR(N15="(Watch)", N15="(Action)"),H15&lt;641),Forecasted_Data!AB117,IF(AND(N15="(Action)",H15&gt;=641,H15&lt;643),Forecasted_Data!AB118,IF(AND(OR(N15="(Watch)", N15="(Normal)"),H15&gt;=643),Forecasted_Data!AB113,IF(AND(N15="(Normal)",H15&gt;=641,H15&lt;643),Forecasted_Data!AB114,""))))</f>
        <v/>
      </c>
      <c r="N16" s="27"/>
    </row>
    <row r="17" customFormat="false" ht="14.25" hidden="false" customHeight="false" outlineLevel="0" collapsed="false">
      <c r="A17" s="50" t="s">
        <v>57</v>
      </c>
      <c r="B17" s="51" t="s">
        <v>58</v>
      </c>
      <c r="C17" s="30" t="s">
        <v>59</v>
      </c>
      <c r="D17" s="31" t="s">
        <v>60</v>
      </c>
      <c r="E17" s="47" t="s">
        <v>61</v>
      </c>
      <c r="F17" s="47" t="s">
        <v>62</v>
      </c>
      <c r="G17" s="32" t="s">
        <v>63</v>
      </c>
      <c r="H17" s="48"/>
      <c r="I17" s="49"/>
      <c r="J17" s="35"/>
      <c r="K17" s="36"/>
      <c r="L17" s="37"/>
      <c r="M17" s="38" t="str">
        <f aca="false">IF(J17="Crest at",Forecasted_Data!AD111,IF(J17="Falling to",Forecasted_Data!AD112,""))</f>
        <v/>
      </c>
      <c r="N17" s="39" t="str">
        <f aca="false">IF(AND(J17="Crest at",Forecasted_Data!AC111&lt;634),"(Normal)",IF(AND(J17="Crest at",Forecasted_Data!AC111&gt;=634,Forecasted_Data!AC111&lt;636),"(Watch)",IF(AND(J17="Crest at",Forecasted_Data!AC111&gt;=636),"(Action)",IF(AND(J17="Falling to",Forecasted_Data!AC112&lt;634),"(Normal)",IF(AND(J17="Falling to",Forecasted_Data!AC112&gt;=634,Forecasted_Data!AC112&lt;636),"(Watch)",IF(AND(J17="Falling to",Forecasted_Data!AC112&gt;=636),"(Action)",""))))))</f>
        <v/>
      </c>
    </row>
    <row r="18" customFormat="false" ht="14.25" hidden="false" customHeight="false" outlineLevel="0" collapsed="false">
      <c r="A18" s="50"/>
      <c r="B18" s="51"/>
      <c r="C18" s="30"/>
      <c r="D18" s="31"/>
      <c r="E18" s="47"/>
      <c r="F18" s="47"/>
      <c r="G18" s="32"/>
      <c r="H18" s="48"/>
      <c r="I18" s="49"/>
      <c r="J18" s="40"/>
      <c r="K18" s="40"/>
      <c r="L18" s="40"/>
      <c r="M18" s="41" t="str">
        <f aca="false">IF(AND(OR(N17="(Watch)", N17="(Action)"),H17&lt;634),Forecasted_Data!AD117,IF(AND(N17="(Action)",H17&gt;=634,H17&lt;636),Forecasted_Data!AD118,IF(AND(OR(N17="(Watch)", N17="(Normal)"),H17&gt;=636),Forecasted_Data!AD113,IF(AND(N17="(Normal)",H17&gt;=634,H17&lt;636),Forecasted_Data!AD114,""))))</f>
        <v/>
      </c>
      <c r="N18" s="41"/>
    </row>
    <row r="19" customFormat="false" ht="14.25" hidden="false" customHeight="false" outlineLevel="0" collapsed="false">
      <c r="A19" s="14" t="s">
        <v>64</v>
      </c>
      <c r="B19" s="15" t="s">
        <v>65</v>
      </c>
      <c r="C19" s="16" t="s">
        <v>66</v>
      </c>
      <c r="D19" s="17" t="s">
        <v>67</v>
      </c>
      <c r="E19" s="17" t="s">
        <v>68</v>
      </c>
      <c r="F19" s="17" t="s">
        <v>69</v>
      </c>
      <c r="G19" s="18" t="s">
        <v>70</v>
      </c>
      <c r="H19" s="19"/>
      <c r="I19" s="20"/>
      <c r="J19" s="42"/>
      <c r="K19" s="43"/>
      <c r="L19" s="44"/>
      <c r="M19" s="45" t="str">
        <f aca="false">IF(J19="Crest at",Forecasted_Data!AF111,IF(J19="Falling to",Forecasted_Data!AF112,""))</f>
        <v/>
      </c>
      <c r="N19" s="25" t="str">
        <f aca="false">IF(AND(J19="Crest at",Forecasted_Data!AE111&lt;625),"(Normal)",IF(AND(J19="Crest at",Forecasted_Data!AE111&gt;=625,Forecasted_Data!AE111&lt;628),"(Watch)",IF(AND(J19="Crest at",Forecasted_Data!AE111&gt;=628),"(Action)",IF(AND(J19="Falling to",Forecasted_Data!AE112&lt;625),"(Normal)",IF(AND(J19="Falling to",Forecasted_Data!AE112&gt;=625,Forecasted_Data!AE112&lt;628),"(Watch)",IF(AND(J19="Falling to",Forecasted_Data!AE112&gt;=628),"(Action)",""))))))</f>
        <v/>
      </c>
    </row>
    <row r="20" customFormat="false" ht="14.25" hidden="false" customHeight="false" outlineLevel="0" collapsed="false">
      <c r="A20" s="14"/>
      <c r="B20" s="15"/>
      <c r="C20" s="16"/>
      <c r="D20" s="17"/>
      <c r="E20" s="17"/>
      <c r="F20" s="17"/>
      <c r="G20" s="18"/>
      <c r="H20" s="19"/>
      <c r="I20" s="20"/>
      <c r="J20" s="26"/>
      <c r="K20" s="26"/>
      <c r="L20" s="26"/>
      <c r="M20" s="27" t="str">
        <f aca="false">IF(AND(OR(N19="(Watch)", N19="(Action)"),H19&lt;625),Forecasted_Data!AF117,IF(AND(N19="(Action)",H19&gt;=625,H19&lt;628),Forecasted_Data!AF118,IF(AND(OR(N19="(Watch)", N19="(Normal)"),H19&gt;=628),Forecasted_Data!AF113,IF(AND(N19="(Normal)",H19&gt;=625,H19&lt;628),Forecasted_Data!AF114,""))))</f>
        <v/>
      </c>
      <c r="N20" s="27"/>
    </row>
    <row r="21" customFormat="false" ht="14.25" hidden="false" customHeight="false" outlineLevel="0" collapsed="false">
      <c r="A21" s="50" t="s">
        <v>71</v>
      </c>
      <c r="B21" s="51" t="s">
        <v>72</v>
      </c>
      <c r="C21" s="30" t="s">
        <v>73</v>
      </c>
      <c r="D21" s="47" t="s">
        <v>74</v>
      </c>
      <c r="E21" s="47" t="s">
        <v>75</v>
      </c>
      <c r="F21" s="47" t="s">
        <v>27</v>
      </c>
      <c r="G21" s="32" t="s">
        <v>76</v>
      </c>
      <c r="H21" s="48"/>
      <c r="I21" s="49"/>
      <c r="J21" s="35"/>
      <c r="K21" s="36"/>
      <c r="L21" s="37"/>
      <c r="M21" s="38" t="str">
        <f aca="false">IF(J21="Crest at",Forecasted_Data!AH111,IF(J21="Falling to",Forecasted_Data!AH112,""))</f>
        <v/>
      </c>
      <c r="N21" s="39" t="str">
        <f aca="false">IF(AND(J21="Crest at",Forecasted_Data!AG111&lt;15),"(Normal)",IF(AND(J21="Crest at",Forecasted_Data!AG111&gt;=15,Forecasted_Data!AG111&lt;18),"(Watch)",IF(AND(J21="Crest at",Forecasted_Data!AG111&gt;=18),"(Action)",IF(AND(J21="Falling to",Forecasted_Data!AG112&lt;15),"(Normal)",IF(AND(J21="Falling to",Forecasted_Data!AG112&gt;=15,Forecasted_Data!AG112&lt;18),"(Watch)",IF(AND(J21="Falling to",Forecasted_Data!AG112&gt;=18),"(Action)",""))))))</f>
        <v/>
      </c>
    </row>
    <row r="22" customFormat="false" ht="14.25" hidden="false" customHeight="false" outlineLevel="0" collapsed="false">
      <c r="A22" s="50"/>
      <c r="B22" s="51"/>
      <c r="C22" s="30"/>
      <c r="D22" s="47"/>
      <c r="E22" s="47"/>
      <c r="F22" s="47"/>
      <c r="G22" s="32"/>
      <c r="H22" s="48"/>
      <c r="I22" s="49"/>
      <c r="J22" s="40"/>
      <c r="K22" s="40"/>
      <c r="L22" s="40"/>
      <c r="M22" s="41" t="str">
        <f aca="false">IF(AND(OR(N21="(Watch)", N21="(Action)"),H21&lt;15),Forecasted_Data!AH117,IF(AND(N21="(Action)",H21&gt;=15,H21&lt;18),Forecasted_Data!AH118,IF(AND(OR(N21="(Watch)", N21="(Normal)"),H21&gt;=18),Forecasted_Data!AH113,IF(AND(N21="(Normal)",H21&gt;=15,H21&lt;18),Forecasted_Data!AH114,""))))</f>
        <v/>
      </c>
      <c r="N22" s="41"/>
    </row>
    <row r="23" customFormat="false" ht="14.25" hidden="false" customHeight="false" outlineLevel="0" collapsed="false">
      <c r="A23" s="14" t="s">
        <v>77</v>
      </c>
      <c r="B23" s="15" t="s">
        <v>78</v>
      </c>
      <c r="C23" s="16" t="s">
        <v>79</v>
      </c>
      <c r="D23" s="17" t="s">
        <v>25</v>
      </c>
      <c r="E23" s="17" t="s">
        <v>26</v>
      </c>
      <c r="F23" s="17" t="s">
        <v>27</v>
      </c>
      <c r="G23" s="18" t="n">
        <v>20.8</v>
      </c>
      <c r="H23" s="19"/>
      <c r="I23" s="20"/>
      <c r="J23" s="42"/>
      <c r="K23" s="43"/>
      <c r="L23" s="44"/>
      <c r="M23" s="52" t="str">
        <f aca="false">IF(J23="Crest at",Forecasted_Data!AJ86,IF(J23="Falling to",Forecasted_Data!AJ87,""))</f>
        <v/>
      </c>
      <c r="N23" s="25" t="str">
        <f aca="false">IF(AND(J23="Crest at",Forecasted_Data!AI86&lt;16),"(Normal)",IF(AND(J23="Crest at",Forecasted_Data!AI86&gt;=16,Forecasted_Data!AI86&lt;18),"(Watch)",IF(AND(J23="Crest at",Forecasted_Data!AI86&gt;=18),"(Action)",IF(AND(J23="Falling to",Forecasted_Data!AI87&lt;16),"(Normal)",IF(AND(J23="Falling to",Forecasted_Data!AI87&gt;=16,Forecasted_Data!AI87&lt;18),"(Watch)",IF(AND(J23="Falling to",Forecasted_Data!AI87&gt;=18),"(Action)",""))))))</f>
        <v/>
      </c>
    </row>
    <row r="24" customFormat="false" ht="14.25" hidden="false" customHeight="false" outlineLevel="0" collapsed="false">
      <c r="A24" s="14"/>
      <c r="B24" s="15"/>
      <c r="C24" s="16"/>
      <c r="D24" s="17"/>
      <c r="E24" s="17"/>
      <c r="F24" s="17"/>
      <c r="G24" s="18"/>
      <c r="H24" s="19"/>
      <c r="I24" s="20"/>
      <c r="J24" s="26"/>
      <c r="K24" s="26"/>
      <c r="L24" s="26"/>
      <c r="M24" s="27" t="str">
        <f aca="false">IF(AND(H23&gt;18,H23&lt;G23,Forecasted_Data!AI86&gt;=G23),Forecasted_Data!AJ96,IF(AND(H23&gt;G23,Forecasted_Data!AI87&lt;G23),Forecasted_Data!AJ96,IF(AND(OR(N23="(Watch)", N23="(Action)"),H23&lt;16),Forecasted_Data!AJ97,IF(AND(N23="(Action)",H23&gt;=16,H23&lt;18),Forecasted_Data!AJ93,IF(AND(OR(N23="(Watch)", N23="(Normal)"),H23&gt;=18),Forecasted_Data!AJ88,IF(AND(N23="(Normal)",H23&gt;=16,H23&lt;18),Forecasted_Data!AJ89,""))))))</f>
        <v/>
      </c>
      <c r="N24" s="27"/>
    </row>
    <row r="25" customFormat="false" ht="14.25" hidden="false" customHeight="false" outlineLevel="0" collapsed="false">
      <c r="A25" s="50" t="s">
        <v>80</v>
      </c>
      <c r="B25" s="51" t="s">
        <v>81</v>
      </c>
      <c r="C25" s="30" t="s">
        <v>82</v>
      </c>
      <c r="D25" s="47" t="s">
        <v>83</v>
      </c>
      <c r="E25" s="47" t="s">
        <v>84</v>
      </c>
      <c r="F25" s="47" t="s">
        <v>85</v>
      </c>
      <c r="G25" s="32" t="n">
        <v>18.4</v>
      </c>
      <c r="H25" s="48"/>
      <c r="I25" s="49"/>
      <c r="J25" s="35"/>
      <c r="K25" s="36"/>
      <c r="L25" s="37"/>
      <c r="M25" s="38" t="str">
        <f aca="false">IF(J25="Crest at",Forecasted_Data!AL86,IF(J25="Falling to",Forecasted_Data!AL87,""))</f>
        <v/>
      </c>
      <c r="N25" s="39" t="str">
        <f aca="false">IF(AND(J25="Crest at",Forecasted_Data!AK86&lt;17),"(Normal)",IF(AND(J25="Crest at",Forecasted_Data!AK86&gt;=17,Forecasted_Data!AK86&lt;19),"(Watch)",IF(AND(J25="Crest at",Forecasted_Data!AK86&gt;=19),"(Action)",IF(AND(J25="Falling to",Forecasted_Data!AK87&lt;17),"(Normal)",IF(AND(J25="Falling to",Forecasted_Data!AK87&gt;=17,Forecasted_Data!AK87&lt;19),"(Watch)",IF(AND(J25="Falling to",Forecasted_Data!AK87&gt;=19),"(Action)",""))))))</f>
        <v/>
      </c>
    </row>
    <row r="26" customFormat="false" ht="14.25" hidden="false" customHeight="false" outlineLevel="0" collapsed="false">
      <c r="A26" s="50"/>
      <c r="B26" s="51"/>
      <c r="C26" s="30"/>
      <c r="D26" s="47"/>
      <c r="E26" s="47"/>
      <c r="F26" s="47"/>
      <c r="G26" s="32"/>
      <c r="H26" s="48"/>
      <c r="I26" s="49"/>
      <c r="J26" s="40"/>
      <c r="K26" s="40"/>
      <c r="L26" s="40"/>
      <c r="M26" s="41" t="str">
        <f aca="false">IF(AND(OR(N25="(Watch)", N25="(Action)"),H25&lt;17),Forecasted_Data!AL92,IF(AND(H25&gt;=17,H25&lt;G25,Forecasted_Data!AK86&gt;=G25),Forecasted_Data!AL96,IF(AND(H25&gt;G25,H25&lt;19,Forecasted_Data!AK87&lt;G25),Forecasted_Data!AL97,IF(AND(N25="(Action)",H25&gt;=G25,H25&lt;19),Forecasted_Data!AL93,IF(AND(OR(N25="(Watch)", N25="(Normal)"),H25&gt;=19),Forecasted_Data!AL88,IF(AND(N25="(Normal)",H25&gt;=17,H25&lt;G25),Forecasted_Data!AL89,""))))))</f>
        <v/>
      </c>
      <c r="N26" s="41"/>
    </row>
    <row r="27" customFormat="false" ht="14.25" hidden="false" customHeight="false" outlineLevel="0" collapsed="false">
      <c r="A27" s="14" t="s">
        <v>86</v>
      </c>
      <c r="B27" s="15" t="s">
        <v>87</v>
      </c>
      <c r="C27" s="16" t="s">
        <v>88</v>
      </c>
      <c r="D27" s="17" t="s">
        <v>25</v>
      </c>
      <c r="E27" s="17" t="s">
        <v>26</v>
      </c>
      <c r="F27" s="17" t="s">
        <v>27</v>
      </c>
      <c r="G27" s="18" t="n">
        <v>19</v>
      </c>
      <c r="H27" s="19"/>
      <c r="I27" s="20"/>
      <c r="J27" s="42"/>
      <c r="K27" s="43"/>
      <c r="L27" s="44"/>
      <c r="M27" s="45" t="str">
        <f aca="false">IF(J27="Crest at",Forecasted_Data!AN86,IF(J27="Falling to",Forecasted_Data!AN87,""))</f>
        <v/>
      </c>
      <c r="N27" s="25" t="str">
        <f aca="false">IF(AND(J27="Crest at",Forecasted_Data!AM86&lt;16),"(Normal)",IF(AND(J27="Crest at",Forecasted_Data!AM86&gt;=16,Forecasted_Data!AM86&lt;18),"(Watch)",IF(AND(J27="Crest at",Forecasted_Data!AM86&gt;=18),"(Action)",IF(AND(J27="Falling to",Forecasted_Data!AM87&lt;16),"(Normal)",IF(AND(J27="Falling to",Forecasted_Data!AM87&gt;=16,Forecasted_Data!AM87&lt;18),"(Watch)",IF(AND(J27="Falling to",Forecasted_Data!AM87&gt;=18),"(Action)",""))))))</f>
        <v/>
      </c>
    </row>
    <row r="28" customFormat="false" ht="14.25" hidden="false" customHeight="false" outlineLevel="0" collapsed="false">
      <c r="A28" s="14"/>
      <c r="B28" s="15"/>
      <c r="C28" s="16"/>
      <c r="D28" s="17"/>
      <c r="E28" s="17"/>
      <c r="F28" s="17"/>
      <c r="G28" s="18"/>
      <c r="H28" s="19"/>
      <c r="I28" s="20"/>
      <c r="J28" s="26"/>
      <c r="K28" s="26"/>
      <c r="L28" s="26"/>
      <c r="M28" s="27" t="str">
        <f aca="false">IF(AND(H27&gt;18,H27&lt;G27,Forecasted_Data!AM86&gt;=G27),Forecasted_Data!AN96,IF(AND(H27&gt;G27,Forecasted_Data!AM87&lt;G27),Forecasted_Data!AN97,IF(AND(OR(N27="(Watch)", N27="(Action)"),H27&lt;16),Forecasted_Data!AN92,IF(AND(N27="(Action)",H27&gt;=16,H27&lt;18),Forecasted_Data!AN93,IF(AND(OR(N27="(Watch)", N27="(Normal)"),H27&gt;=18),Forecasted_Data!AN88,IF(AND(N27="(Normal)",H27&gt;=16,H27&lt;18),Forecasted_Data!AN89,""))))))</f>
        <v/>
      </c>
      <c r="N28" s="27"/>
    </row>
    <row r="29" customFormat="false" ht="14.25" hidden="false" customHeight="false" outlineLevel="0" collapsed="false">
      <c r="A29" s="50" t="s">
        <v>89</v>
      </c>
      <c r="B29" s="51" t="s">
        <v>90</v>
      </c>
      <c r="C29" s="30" t="s">
        <v>91</v>
      </c>
      <c r="D29" s="47" t="s">
        <v>92</v>
      </c>
      <c r="E29" s="47" t="s">
        <v>93</v>
      </c>
      <c r="F29" s="47" t="s">
        <v>94</v>
      </c>
      <c r="G29" s="32" t="n">
        <v>14</v>
      </c>
      <c r="H29" s="48"/>
      <c r="I29" s="49"/>
      <c r="J29" s="35"/>
      <c r="K29" s="36"/>
      <c r="L29" s="37"/>
      <c r="M29" s="38" t="str">
        <f aca="false">IF(J29="Crest at",Forecasted_Data!AP86,IF(J29="Falling to",Forecasted_Data!AP87,""))</f>
        <v/>
      </c>
      <c r="N29" s="39" t="str">
        <f aca="false">IF(AND(J29="Crest at",Forecasted_Data!AO86&lt;11),"(Normal)",IF(AND(J29="Crest at",Forecasted_Data!AO86&gt;=11,Forecasted_Data!AO86&lt;13),"(Watch)",IF(AND(J29="Crest at",Forecasted_Data!AO86&gt;=13),"(Action)",IF(AND(J29="Falling to",Forecasted_Data!AO87&lt;11),"(Normal)",IF(AND(J29="Falling to",Forecasted_Data!AO87&gt;=11,Forecasted_Data!AO87&lt;13),"(Watch)",IF(AND(J29="Falling to",Forecasted_Data!AO87&gt;=13),"(Action)",""))))))</f>
        <v/>
      </c>
    </row>
    <row r="30" customFormat="false" ht="14.25" hidden="false" customHeight="false" outlineLevel="0" collapsed="false">
      <c r="A30" s="50"/>
      <c r="B30" s="51"/>
      <c r="C30" s="30"/>
      <c r="D30" s="47"/>
      <c r="E30" s="47"/>
      <c r="F30" s="47"/>
      <c r="G30" s="32"/>
      <c r="H30" s="48"/>
      <c r="I30" s="49"/>
      <c r="J30" s="40"/>
      <c r="K30" s="40"/>
      <c r="L30" s="40"/>
      <c r="M30" s="41" t="str">
        <f aca="false">IF(AND(H29&gt;13,H29&lt;G29,Forecasted_Data!AO86&gt;=G29),Forecasted_Data!AP96,IF(AND(H29&gt;G29,Forecasted_Data!AO87&lt;G29),Forecasted_Data!AP97,IF(AND(OR(N29="(Watch)", N29="(Action)"),H29&lt;11),Forecasted_Data!AP92,IF(AND(N29="(Action)",H29&gt;=11,H29&lt;13),Forecasted_Data!AP93,IF(AND(OR(N29="(Watch)", N29="(Normal)"),H29&gt;=13),Forecasted_Data!AP88,IF(AND(N29="(Normal)",H29&gt;=11,H29&lt;13),Forecasted_Data!AP89,""))))))</f>
        <v/>
      </c>
      <c r="N30" s="41"/>
    </row>
    <row r="31" customFormat="false" ht="14.25" hidden="false" customHeight="false" outlineLevel="0" collapsed="false">
      <c r="A31" s="14" t="s">
        <v>95</v>
      </c>
      <c r="B31" s="15" t="s">
        <v>96</v>
      </c>
      <c r="C31" s="16" t="s">
        <v>97</v>
      </c>
      <c r="D31" s="17" t="s">
        <v>74</v>
      </c>
      <c r="E31" s="17" t="s">
        <v>98</v>
      </c>
      <c r="F31" s="17" t="s">
        <v>17</v>
      </c>
      <c r="G31" s="18" t="n">
        <v>20</v>
      </c>
      <c r="H31" s="19"/>
      <c r="I31" s="20"/>
      <c r="J31" s="42"/>
      <c r="K31" s="43"/>
      <c r="L31" s="44"/>
      <c r="M31" s="45" t="str">
        <f aca="false">IF(J31="Crest at",Forecasted_Data!AR86,IF(J31="Falling to",Forecasted_Data!AR87,""))</f>
        <v/>
      </c>
      <c r="N31" s="25" t="str">
        <f aca="false">IF(AND(J31="Crest at",Forecasted_Data!AQ86&lt;15),"(Normal)",IF(AND(J31="Crest at",Forecasted_Data!AQ86&gt;=15,Forecasted_Data!AQ86&lt;17),"(Watch)",IF(AND(J31="Crest at",Forecasted_Data!AQ86&gt;=17),"(Action)",IF(AND(J31="Falling to",Forecasted_Data!AQ87&lt;15),"(Normal)",IF(AND(J31="Falling to",Forecasted_Data!AQ87&gt;=15,Forecasted_Data!AQ87&lt;17),"(Watch)",IF(AND(J31="Falling to",Forecasted_Data!AQ87&gt;=17),"(Action)",""))))))</f>
        <v/>
      </c>
    </row>
    <row r="32" customFormat="false" ht="14.25" hidden="false" customHeight="false" outlineLevel="0" collapsed="false">
      <c r="A32" s="14"/>
      <c r="B32" s="15"/>
      <c r="C32" s="16"/>
      <c r="D32" s="17"/>
      <c r="E32" s="17"/>
      <c r="F32" s="17"/>
      <c r="G32" s="18"/>
      <c r="H32" s="19"/>
      <c r="I32" s="20"/>
      <c r="J32" s="26"/>
      <c r="K32" s="26"/>
      <c r="L32" s="26"/>
      <c r="M32" s="27" t="str">
        <f aca="false">IF(AND(H31&gt;17,H31&lt;G31,Forecasted_Data!AQ86&gt;=G31),Forecasted_Data!AR96,IF(AND(H31&gt;G31,Forecasted_Data!AQ87&lt;G31),Forecasted_Data!AR97,IF(AND(OR(N31="(Watch)", N31="(Action)"),H31&lt;15),Forecasted_Data!AR92,IF(AND(N31="(Action)",H31&gt;=15,H31&lt;17),Forecasted_Data!AR93,IF(AND(OR(N31="(Watch)", N31="(Normal)"),H31&gt;=17),Forecasted_Data!AR88,IF(AND(N31="(Normal)",H31&gt;=15,H31&lt;17),Forecasted_Data!AR89,""))))))</f>
        <v/>
      </c>
      <c r="N32" s="27"/>
    </row>
    <row r="33" customFormat="false" ht="14.25" hidden="false" customHeight="false" outlineLevel="0" collapsed="false">
      <c r="A33" s="50" t="s">
        <v>99</v>
      </c>
      <c r="B33" s="51" t="s">
        <v>100</v>
      </c>
      <c r="C33" s="30" t="s">
        <v>101</v>
      </c>
      <c r="D33" s="47" t="s">
        <v>74</v>
      </c>
      <c r="E33" s="47" t="s">
        <v>98</v>
      </c>
      <c r="F33" s="47" t="s">
        <v>17</v>
      </c>
      <c r="G33" s="31" t="n">
        <v>17</v>
      </c>
      <c r="H33" s="48"/>
      <c r="I33" s="49"/>
      <c r="J33" s="35"/>
      <c r="K33" s="36"/>
      <c r="L33" s="37"/>
      <c r="M33" s="38" t="str">
        <f aca="false">IF(J33="Crest at",Forecasted_Data!AT86,IF(J33="Falling to",Forecasted_Data!AT87,""))</f>
        <v/>
      </c>
      <c r="N33" s="39" t="str">
        <f aca="false">IF(AND(J33="Crest at",Forecasted_Data!AS86&lt;15),"(Normal)",IF(AND(J33="Crest at",Forecasted_Data!AS86&gt;=15,Forecasted_Data!AS86&lt;17),"(Watch)",IF(AND(J33="Crest at",Forecasted_Data!AS86&gt;=17),"(Action)",IF(AND(J33="Falling to",Forecasted_Data!AS87&lt;15),"(Normal)",IF(AND(J33="Falling to",Forecasted_Data!AS87&gt;=15,Forecasted_Data!AS87&lt;17),"(Watch)",IF(AND(J33="Falling to",Forecasted_Data!AS87&gt;=17),"(Action)",""))))))</f>
        <v/>
      </c>
    </row>
    <row r="34" customFormat="false" ht="14.25" hidden="false" customHeight="false" outlineLevel="0" collapsed="false">
      <c r="A34" s="50"/>
      <c r="B34" s="51"/>
      <c r="C34" s="30"/>
      <c r="D34" s="47"/>
      <c r="E34" s="47"/>
      <c r="F34" s="47"/>
      <c r="G34" s="31"/>
      <c r="H34" s="48"/>
      <c r="I34" s="49"/>
      <c r="J34" s="40"/>
      <c r="K34" s="40"/>
      <c r="L34" s="40"/>
      <c r="M34" s="41" t="str">
        <f aca="false">IF(AND(OR(N33="(Watch)", N33="(Action)"),H33&lt;15),Forecasted_Data!AT92,IF(AND(N33="(Action)",H33&gt;=15,H33&lt;17),Forecasted_Data!AT93,IF(AND(OR(N33="(Watch)", N33="(Normal)"),H33&gt;=17),Forecasted_Data!AT88,IF(AND(N33="(Normal)",H33&gt;=15,H33&lt;17),Forecasted_Data!AT89,IF(H33&gt;17,Forecasted_Data!AT88,"")))))</f>
        <v/>
      </c>
      <c r="N34" s="41"/>
    </row>
    <row r="35" customFormat="false" ht="14.25" hidden="false" customHeight="false" outlineLevel="0" collapsed="false">
      <c r="A35" s="14" t="s">
        <v>102</v>
      </c>
      <c r="B35" s="15" t="s">
        <v>103</v>
      </c>
      <c r="C35" s="16" t="s">
        <v>104</v>
      </c>
      <c r="D35" s="17" t="s">
        <v>15</v>
      </c>
      <c r="E35" s="17" t="s">
        <v>105</v>
      </c>
      <c r="F35" s="17" t="s">
        <v>106</v>
      </c>
      <c r="G35" s="17" t="n">
        <v>18.1</v>
      </c>
      <c r="H35" s="19"/>
      <c r="I35" s="20"/>
      <c r="J35" s="42"/>
      <c r="K35" s="43"/>
      <c r="L35" s="44"/>
      <c r="M35" s="45" t="str">
        <f aca="false">IF(J35="Crest at",Forecasted_Data!AV86,IF(J35="Falling to",Forecasted_Data!AV87,""))</f>
        <v/>
      </c>
      <c r="N35" s="25" t="str">
        <f aca="false">IF(AND(J35="Crest at",Forecasted_Data!AU86&lt;14),"(Normal)",IF(AND(J35="Crest at",Forecasted_Data!AU86&gt;=14,Forecasted_Data!AU86&lt;16),"(Watch)",IF(AND(J35="Crest at",Forecasted_Data!AU86&gt;=16),"(Action)",IF(AND(J35="Falling to",Forecasted_Data!AU87&lt;14),"(Normal)",IF(AND(J35="Falling to",Forecasted_Data!AU87&gt;=14,Forecasted_Data!AU87&lt;16),"(Watch)",IF(AND(J35="Falling to",Forecasted_Data!AU87&gt;=16),"(Action)",""))))))</f>
        <v/>
      </c>
    </row>
    <row r="36" customFormat="false" ht="14.25" hidden="false" customHeight="false" outlineLevel="0" collapsed="false">
      <c r="A36" s="14"/>
      <c r="B36" s="15"/>
      <c r="C36" s="16"/>
      <c r="D36" s="17"/>
      <c r="E36" s="17"/>
      <c r="F36" s="17"/>
      <c r="G36" s="17"/>
      <c r="H36" s="19"/>
      <c r="I36" s="20"/>
      <c r="J36" s="26"/>
      <c r="K36" s="26"/>
      <c r="L36" s="26"/>
      <c r="M36" s="27" t="str">
        <f aca="false">IF(AND(H35&gt;16,H35&lt;G35,Forecasted_Data!AU86&gt;=G35),Forecasted_Data!AV96,IF(AND(H35&gt;G35,Forecasted_Data!AU87&lt;G35),Forecasted_Data!AV97,IF(AND(OR(N35="(Watch)", N35="(Action)"),H35&lt;14),Forecasted_Data!AV92,IF(AND(N35="(Action)",H35&gt;=14,H35&lt;16),Forecasted_Data!AV93,IF(AND(OR(N35="(Watch)", N35="(Normal)"),H35&gt;=16),Forecasted_Data!AV88,IF(AND(N35="(Normal)",H35&gt;=14,H35&lt;16),Forecasted_Data!AV89,""))))))</f>
        <v/>
      </c>
      <c r="N36" s="27"/>
    </row>
    <row r="37" customFormat="false" ht="14.25" hidden="false" customHeight="false" outlineLevel="0" collapsed="false">
      <c r="A37" s="50" t="s">
        <v>107</v>
      </c>
      <c r="B37" s="51" t="s">
        <v>108</v>
      </c>
      <c r="C37" s="30" t="s">
        <v>109</v>
      </c>
      <c r="D37" s="47" t="s">
        <v>110</v>
      </c>
      <c r="E37" s="47" t="s">
        <v>111</v>
      </c>
      <c r="F37" s="47" t="s">
        <v>112</v>
      </c>
      <c r="G37" s="31" t="n">
        <v>14.9</v>
      </c>
      <c r="H37" s="48"/>
      <c r="I37" s="49"/>
      <c r="J37" s="35"/>
      <c r="K37" s="36"/>
      <c r="L37" s="37"/>
      <c r="M37" s="38" t="str">
        <f aca="false">IF(J37="Crest at",Forecasted_Data!AX86,IF(J37="Falling to",Forecasted_Data!AX87,""))</f>
        <v/>
      </c>
      <c r="N37" s="39" t="str">
        <f aca="false">IF(AND(J37="Crest at",Forecasted_Data!AW86&lt;10),"(Normal)",IF(AND(J37="Crest at",Forecasted_Data!AW86&gt;=10,Forecasted_Data!AW86&lt;12),"(Watch)",IF(AND(J37="Crest at",Forecasted_Data!AW86&gt;=12),"(Action)",IF(AND(J37="Falling to",Forecasted_Data!AW87&lt;10),"(Normal)",IF(AND(J37="Falling to",Forecasted_Data!AW87&gt;=10,Forecasted_Data!AW87&lt;12),"(Watch)",IF(AND(J37="Falling to",Forecasted_Data!AW87&gt;=12),"(Action)",""))))))</f>
        <v/>
      </c>
    </row>
    <row r="38" customFormat="false" ht="14.25" hidden="false" customHeight="false" outlineLevel="0" collapsed="false">
      <c r="A38" s="50"/>
      <c r="B38" s="51"/>
      <c r="C38" s="30"/>
      <c r="D38" s="47"/>
      <c r="E38" s="47"/>
      <c r="F38" s="47"/>
      <c r="G38" s="31"/>
      <c r="H38" s="48"/>
      <c r="I38" s="49"/>
      <c r="J38" s="40"/>
      <c r="K38" s="40"/>
      <c r="L38" s="40"/>
      <c r="M38" s="41" t="str">
        <f aca="false">IF(AND(H37&gt;12,H37&lt;G37,Forecasted_Data!AW86&gt;=G37),Forecasted_Data!AX96,IF(AND(H37&gt;G37,Forecasted_Data!AW87&lt;G37),Forecasted_Data!AX97,IF(AND(OR(N37="(Watch)", N37="(Action)"),H37&lt;10),Forecasted_Data!AX92,IF(AND(N37="(Action)",H37&gt;=10,H37&lt;12),Forecasted_Data!AX93,IF(AND(OR(N37="(Watch)", N37="(Normal)"),H37&gt;=12),Forecasted_Data!AX88,IF(AND(N37="(Normal)",H37&gt;=10,H37&lt;12),Forecasted_Data!AX89,""))))))</f>
        <v/>
      </c>
      <c r="N38" s="41"/>
    </row>
    <row r="39" customFormat="false" ht="14.25" hidden="false" customHeight="false" outlineLevel="0" collapsed="false">
      <c r="A39" s="14" t="s">
        <v>113</v>
      </c>
      <c r="B39" s="15" t="s">
        <v>114</v>
      </c>
      <c r="C39" s="16" t="s">
        <v>115</v>
      </c>
      <c r="D39" s="17" t="s">
        <v>25</v>
      </c>
      <c r="E39" s="17" t="s">
        <v>26</v>
      </c>
      <c r="F39" s="17" t="s">
        <v>27</v>
      </c>
      <c r="G39" s="17" t="n">
        <v>21.2</v>
      </c>
      <c r="H39" s="19"/>
      <c r="I39" s="20"/>
      <c r="J39" s="42"/>
      <c r="K39" s="43"/>
      <c r="L39" s="44"/>
      <c r="M39" s="45" t="str">
        <f aca="false">IF(J39="Crest at",Forecasted_Data!AZ86,IF(J39="Falling to",Forecasted_Data!AZ87,""))</f>
        <v/>
      </c>
      <c r="N39" s="25" t="str">
        <f aca="false">IF(AND(J39="Crest at",Forecasted_Data!AY86&lt;16),"(Normal)",IF(AND(J39="Crest at",Forecasted_Data!AY86&gt;=16,Forecasted_Data!AY86&lt;18),"(Watch)",IF(AND(J39="Crest at",Forecasted_Data!AY86&gt;=18),"(Action)",IF(AND(J39="Falling to",Forecasted_Data!AY87&lt;16),"(Normal)",IF(AND(J39="Falling to",Forecasted_Data!AY87&gt;=16,Forecasted_Data!AY87&lt;18),"(Watch)",IF(AND(J39="Falling to",Forecasted_Data!AY87&gt;=18),"(Action)",""))))))</f>
        <v/>
      </c>
    </row>
    <row r="40" customFormat="false" ht="14.25" hidden="false" customHeight="false" outlineLevel="0" collapsed="false">
      <c r="A40" s="14"/>
      <c r="B40" s="15"/>
      <c r="C40" s="16"/>
      <c r="D40" s="17"/>
      <c r="E40" s="17"/>
      <c r="F40" s="17"/>
      <c r="G40" s="17"/>
      <c r="H40" s="19"/>
      <c r="I40" s="20"/>
      <c r="J40" s="26"/>
      <c r="K40" s="26"/>
      <c r="L40" s="26"/>
      <c r="M40" s="27" t="str">
        <f aca="false">IF(AND(H39&gt;18,H39&lt;G39,Forecasted_Data!AY86&gt;=G39),Forecasted_Data!AZ96,IF(AND(H39&gt;G39,Forecasted_Data!AY87&lt;G39),Forecasted_Data!AZ97,IF(AND(OR(N39="(Watch)", N39="(Action)"),H39&lt;16),Forecasted_Data!Z117,IF(AND(N39="(Action)",H39&gt;=16,H39&lt;18),Forecasted_Data!AZ93,IF(AND(OR(N39="(Watch)", N39="(Normal)"),H39&gt;=18),Forecasted_Data!AZ88,IF(AND(N39="(Normal)",H39&gt;=16,H39&lt;18),Forecasted_Data!AZ89,""))))))</f>
        <v/>
      </c>
      <c r="N40" s="27"/>
    </row>
    <row r="41" customFormat="false" ht="14.25" hidden="false" customHeight="false" outlineLevel="0" collapsed="false">
      <c r="A41" s="50" t="s">
        <v>116</v>
      </c>
      <c r="B41" s="51" t="s">
        <v>117</v>
      </c>
      <c r="C41" s="30" t="s">
        <v>118</v>
      </c>
      <c r="D41" s="47" t="s">
        <v>15</v>
      </c>
      <c r="E41" s="47" t="s">
        <v>105</v>
      </c>
      <c r="F41" s="47" t="s">
        <v>106</v>
      </c>
      <c r="G41" s="31" t="n">
        <v>18</v>
      </c>
      <c r="H41" s="48"/>
      <c r="I41" s="34"/>
      <c r="J41" s="35"/>
      <c r="K41" s="36"/>
      <c r="L41" s="37"/>
      <c r="M41" s="38" t="str">
        <f aca="false">IF(J41="Crest at",Forecasted_Data!BB86,IF(J41="Falling to",Forecasted_Data!BB87,""))</f>
        <v/>
      </c>
      <c r="N41" s="39" t="str">
        <f aca="false">IF(AND(J41="Crest at",Forecasted_Data!BA86&lt;14),"(Normal)",IF(AND(J41="Crest at",Forecasted_Data!BA86&gt;=14,Forecasted_Data!BA86&lt;16),"(Watch)",IF(AND(J41="Crest at",Forecasted_Data!BA86&gt;=16),"(Action)",IF(AND(J41="Falling to",Forecasted_Data!BA87&lt;14),"(Normal)",IF(AND(J41="Falling to",Forecasted_Data!BA87&gt;=14,Forecasted_Data!BA87&lt;16),"(Watch)",IF(AND(J41="Falling to",Forecasted_Data!BA87&gt;=16),"(Action)",""))))))</f>
        <v/>
      </c>
    </row>
    <row r="42" customFormat="false" ht="14.25" hidden="false" customHeight="false" outlineLevel="0" collapsed="false">
      <c r="A42" s="50"/>
      <c r="B42" s="51"/>
      <c r="C42" s="30"/>
      <c r="D42" s="47"/>
      <c r="E42" s="47"/>
      <c r="F42" s="47"/>
      <c r="G42" s="31"/>
      <c r="H42" s="48"/>
      <c r="I42" s="34"/>
      <c r="J42" s="40"/>
      <c r="K42" s="40"/>
      <c r="L42" s="40"/>
      <c r="M42" s="41" t="str">
        <f aca="false">IF(AND(H41&gt;16,H41&lt;G41,Forecasted_Data!BA86&gt;=G41),Forecasted_Data!BB96,IF(AND(H41&gt;G41,Forecasted_Data!BA87&lt;G41),Forecasted_Data!BB97,IF(AND(OR(N41="(Watch)", N41="(Action)"),H41&lt;14),Forecasted_Data!BB92,IF(AND(N41="(Action)",H41&gt;=14,H41&lt;16),Forecasted_Data!BB93,IF(AND(OR(N41="(Watch)", N41="(Normal)"),H41&gt;=16),Forecasted_Data!BB88,IF(AND(N41="(Normal)",H41&gt;=14,H41&lt;16),Forecasted_Data!BB89,""))))))</f>
        <v/>
      </c>
      <c r="N42" s="41"/>
    </row>
    <row r="43" customFormat="false" ht="14.25" hidden="false" customHeight="false" outlineLevel="0" collapsed="false">
      <c r="A43" s="14" t="s">
        <v>119</v>
      </c>
      <c r="B43" s="15" t="s">
        <v>120</v>
      </c>
      <c r="C43" s="16" t="s">
        <v>121</v>
      </c>
      <c r="D43" s="17" t="s">
        <v>83</v>
      </c>
      <c r="E43" s="17" t="s">
        <v>122</v>
      </c>
      <c r="F43" s="17" t="s">
        <v>123</v>
      </c>
      <c r="G43" s="17" t="n">
        <v>21.9</v>
      </c>
      <c r="H43" s="19"/>
      <c r="I43" s="20"/>
      <c r="J43" s="42"/>
      <c r="K43" s="43"/>
      <c r="L43" s="44"/>
      <c r="M43" s="45" t="str">
        <f aca="false">IF(J43="Crest at",Forecasted_Data!BD86,IF(J43="Falling to",Forecasted_Data!BD87,""))</f>
        <v/>
      </c>
      <c r="N43" s="25" t="str">
        <f aca="false">IF(AND(J43="Crest at",Forecasted_Data!BC86&lt;17),"(Normal)",IF(AND(J43="Crest at",Forecasted_Data!BC86&gt;=17,Forecasted_Data!BC86&lt;21.9),"(Watch)",IF(AND(J43="Crest at",Forecasted_Data!BC86&gt;=21.9),"(Action)",IF(AND(J43="Falling to",Forecasted_Data!BC87&lt;17),"(Normal)",IF(AND(J43="Falling to",Forecasted_Data!BC87&gt;=17,Forecasted_Data!BC87&lt;21.9),"(Watch)",IF(AND(J43="Falling to",Forecasted_Data!BC87&gt;=21.9),"(Action)",""))))))</f>
        <v/>
      </c>
    </row>
    <row r="44" customFormat="false" ht="14.25" hidden="false" customHeight="false" outlineLevel="0" collapsed="false">
      <c r="A44" s="14"/>
      <c r="B44" s="15"/>
      <c r="C44" s="16"/>
      <c r="D44" s="17"/>
      <c r="E44" s="17"/>
      <c r="F44" s="17"/>
      <c r="G44" s="17"/>
      <c r="H44" s="19"/>
      <c r="I44" s="20"/>
      <c r="J44" s="26"/>
      <c r="K44" s="26"/>
      <c r="L44" s="26"/>
      <c r="M44" s="27" t="str">
        <f aca="false">IF(AND(OR(N43="(Watch)", N43="(Action)"),H43&lt;17),Forecasted_Data!BD92,IF(AND(N43="(Action)",H43&gt;=17,H43&lt;21.9),Forecasted_Data!BD93,IF(AND(OR(N43="(Watch)", N43="(Normal)"),H43&gt;=21.9),Forecasted_Data!BD88,IF(AND(N43="(Normal)",H43&gt;=17,H43&lt;21.9),Forecasted_Data!BD89,IF(H43&gt;21.9,Forecasted_Data!BD88,"")))))</f>
        <v/>
      </c>
      <c r="N44" s="27"/>
    </row>
    <row r="45" customFormat="false" ht="14.25" hidden="false" customHeight="false" outlineLevel="0" collapsed="false">
      <c r="A45" s="50" t="s">
        <v>124</v>
      </c>
      <c r="B45" s="51" t="s">
        <v>125</v>
      </c>
      <c r="C45" s="30" t="s">
        <v>126</v>
      </c>
      <c r="D45" s="47" t="s">
        <v>25</v>
      </c>
      <c r="E45" s="47" t="s">
        <v>127</v>
      </c>
      <c r="F45" s="47" t="s">
        <v>128</v>
      </c>
      <c r="G45" s="31" t="n">
        <v>21.4</v>
      </c>
      <c r="H45" s="48"/>
      <c r="I45" s="49"/>
      <c r="J45" s="35"/>
      <c r="K45" s="36"/>
      <c r="L45" s="37"/>
      <c r="M45" s="38" t="str">
        <f aca="false">IF(J45="Crest at",Forecasted_Data!BF86,IF(J45="Falling to",Forecasted_Data!BF87,""))</f>
        <v/>
      </c>
      <c r="N45" s="39" t="str">
        <f aca="false">IF(AND(J45="Crest at",Forecasted_Data!BE86&lt;16),"(Normal)",IF(AND(J45="Crest at",Forecasted_Data!BE86&gt;=16,Forecasted_Data!BE86&lt;21.4),"(Watch)",IF(AND(J45="Crest at",Forecasted_Data!BE86&gt;=21.4),"(Action)",IF(AND(J45="Falling to",Forecasted_Data!BE87&lt;16),"(Normal)",IF(AND(J45="Falling to",Forecasted_Data!BE87&gt;=16,Forecasted_Data!BE87&lt;21.4),"(Watch)",IF(AND(J45="Falling to",Forecasted_Data!BE87&gt;=21.4),"(Action)",""))))))</f>
        <v/>
      </c>
    </row>
    <row r="46" customFormat="false" ht="14.25" hidden="false" customHeight="false" outlineLevel="0" collapsed="false">
      <c r="A46" s="50"/>
      <c r="B46" s="51"/>
      <c r="C46" s="30"/>
      <c r="D46" s="47"/>
      <c r="E46" s="47"/>
      <c r="F46" s="47"/>
      <c r="G46" s="31"/>
      <c r="H46" s="48"/>
      <c r="I46" s="49"/>
      <c r="J46" s="40"/>
      <c r="K46" s="40"/>
      <c r="L46" s="40"/>
      <c r="M46" s="41" t="str">
        <f aca="false">IF(AND(OR(N45="(Watch)", N45="(Action)"),H45&lt;16),Forecasted_Data!BF92,IF(AND(N45="(Action)",H45&gt;=16,H45&lt;21.4),Forecasted_Data!BF93,IF(AND(OR(N45="(Watch)", N45="(Normal)"),H45&gt;=21.4),Forecasted_Data!BF88,IF(AND(N45="(Normal)",H45&gt;=16,H45&lt;21.4),Forecasted_Data!BF89,IF(H45&gt;21.4,Forecasted_Data!BF88,"")))))</f>
        <v/>
      </c>
      <c r="N46" s="41"/>
    </row>
    <row r="47" customFormat="false" ht="14.25" hidden="false" customHeight="false" outlineLevel="0" collapsed="false">
      <c r="A47" s="14" t="s">
        <v>129</v>
      </c>
      <c r="B47" s="15" t="s">
        <v>130</v>
      </c>
      <c r="C47" s="16" t="s">
        <v>131</v>
      </c>
      <c r="D47" s="17" t="s">
        <v>132</v>
      </c>
      <c r="E47" s="17" t="s">
        <v>133</v>
      </c>
      <c r="F47" s="17" t="s">
        <v>134</v>
      </c>
      <c r="G47" s="17" t="n">
        <v>32.5</v>
      </c>
      <c r="H47" s="19"/>
      <c r="I47" s="20"/>
      <c r="J47" s="42"/>
      <c r="K47" s="43"/>
      <c r="L47" s="44"/>
      <c r="M47" s="45" t="str">
        <f aca="false">IF(J47="Crest at",Forecasted_Data!BH86,IF(J47="Falling to",Forecasted_Data!BH87,""))</f>
        <v/>
      </c>
      <c r="N47" s="25" t="str">
        <f aca="false">IF(AND(J47="Crest at",Forecasted_Data!BG86&lt;25),"(Normal)",IF(AND(J47="Crest at",Forecasted_Data!BG86&gt;=25,Forecasted_Data!BG86&lt;29),"(Watch)",IF(AND(J47="Crest at",Forecasted_Data!BG86&gt;=29),"(Action)",IF(AND(J47="Falling to",Forecasted_Data!BG87&lt;25),"(Normal)",IF(AND(J47="Falling to",Forecasted_Data!BG87&gt;=25,Forecasted_Data!BG87&lt;29),"(Watch)",IF(AND(J47="Falling to",Forecasted_Data!BG87&gt;=29),"(Action)",""))))))</f>
        <v/>
      </c>
    </row>
    <row r="48" customFormat="false" ht="14.25" hidden="false" customHeight="false" outlineLevel="0" collapsed="false">
      <c r="A48" s="14"/>
      <c r="B48" s="15"/>
      <c r="C48" s="16"/>
      <c r="D48" s="17"/>
      <c r="E48" s="17"/>
      <c r="F48" s="17"/>
      <c r="G48" s="17"/>
      <c r="H48" s="19"/>
      <c r="I48" s="20"/>
      <c r="J48" s="26"/>
      <c r="K48" s="26"/>
      <c r="L48" s="26"/>
      <c r="M48" s="27" t="str">
        <f aca="false">IF(AND(H47&gt;29,H47&lt;G47,Forecasted_Data!BG86&gt;=G47),Forecasted_Data!BH96,IF(AND(H47&gt;G47,Forecasted_Data!BG87&lt;G47),Forecasted_Data!BH97,IF(AND(OR(N47="(Watch)", N47="(Action)"),H47&lt;25),Forecasted_Data!BH92,IF(AND(N47="(Action)",H47&gt;=25,H47&lt;29),Forecasted_Data!BH93,IF(AND(OR(N47="(Watch)", N47="(Normal)"),H47&gt;=29),Forecasted_Data!BH88,IF(AND(N47="(Normal)",H47&gt;=25,H47&lt;29),Forecasted_Data!BH89,""))))))</f>
        <v/>
      </c>
      <c r="N48" s="27"/>
    </row>
    <row r="49" customFormat="false" ht="14.25" hidden="false" customHeight="false" outlineLevel="0" collapsed="false">
      <c r="A49" s="50" t="s">
        <v>135</v>
      </c>
      <c r="B49" s="51" t="s">
        <v>136</v>
      </c>
      <c r="C49" s="30" t="s">
        <v>137</v>
      </c>
      <c r="D49" s="47" t="s">
        <v>138</v>
      </c>
      <c r="E49" s="47" t="s">
        <v>139</v>
      </c>
      <c r="F49" s="47" t="s">
        <v>140</v>
      </c>
      <c r="G49" s="31" t="n">
        <v>33.5</v>
      </c>
      <c r="H49" s="48"/>
      <c r="I49" s="49"/>
      <c r="J49" s="35"/>
      <c r="K49" s="36"/>
      <c r="L49" s="37"/>
      <c r="M49" s="38" t="str">
        <f aca="false">IF(J49="Crest at",Forecasted_Data!BJ86,IF(J49="Falling to",Forecasted_Data!BJ87,""))</f>
        <v/>
      </c>
      <c r="N49" s="39" t="str">
        <f aca="false">IF(AND(J49="Crest at",Forecasted_Data!BI86&lt;26),"(Normal)",IF(AND(J49="Crest at",Forecasted_Data!BI86&gt;=26,Forecasted_Data!BI86&lt;33.8),"(Watch)",IF(AND(J49="Crest at",Forecasted_Data!BI86&gt;=33.8),"(Action)",IF(AND(J49="Falling to",Forecasted_Data!BI87&lt;26),"(Normal)",IF(AND(J49="Falling to",Forecasted_Data!BI87&gt;=26,Forecasted_Data!BI87&lt;33.8),"(Watch)",IF(AND(J49="Falling to",Forecasted_Data!BI87&gt;=33.8),"(Action)",""))))))</f>
        <v/>
      </c>
    </row>
    <row r="50" customFormat="false" ht="14.25" hidden="false" customHeight="false" outlineLevel="0" collapsed="false">
      <c r="A50" s="50"/>
      <c r="B50" s="51"/>
      <c r="C50" s="30"/>
      <c r="D50" s="47"/>
      <c r="E50" s="47"/>
      <c r="F50" s="47"/>
      <c r="G50" s="31"/>
      <c r="H50" s="48"/>
      <c r="I50" s="49"/>
      <c r="J50" s="40"/>
      <c r="K50" s="40"/>
      <c r="L50" s="40"/>
      <c r="M50" s="41" t="str">
        <f aca="false">IF(AND(OR(N49="(Watch)", N49="(Action)"),H49&lt;26),Forecasted_Data!BJ92,IF(AND(H49&gt;=26,H49&lt;G49,Forecasted_Data!BI86&gt;=G49),Forecasted_Data!BJ96,IF(AND(H49&gt;G49,H49&lt;33.8,Forecasted_Data!BI87&lt;G49),Forecasted_Data!BJ97,IF(AND(N49="(Action)",H49&gt;=G49,H49&lt;33.8),Forecasted_Data!BJ93,IF(AND(OR(N49="(Watch)", N49="(Normal)"),H49&gt;=33.8),Forecasted_Data!BJ88,IF(AND(N49="(Normal)",H49&gt;=26,H49&lt;33.8),Forecasted_Data!BJ89,""))))))</f>
        <v/>
      </c>
      <c r="N50" s="41"/>
    </row>
    <row r="51" customFormat="false" ht="14.25" hidden="false" customHeight="false" outlineLevel="0" collapsed="false">
      <c r="A51" s="14" t="s">
        <v>141</v>
      </c>
      <c r="B51" s="15" t="s">
        <v>142</v>
      </c>
      <c r="C51" s="16" t="s">
        <v>143</v>
      </c>
      <c r="D51" s="17" t="s">
        <v>144</v>
      </c>
      <c r="E51" s="17" t="s">
        <v>145</v>
      </c>
      <c r="F51" s="17" t="s">
        <v>146</v>
      </c>
      <c r="G51" s="17" t="n">
        <v>34</v>
      </c>
      <c r="H51" s="19"/>
      <c r="I51" s="20"/>
      <c r="J51" s="42"/>
      <c r="K51" s="43"/>
      <c r="L51" s="44"/>
      <c r="M51" s="45" t="str">
        <f aca="false">IF(J51="Crest at",Forecasted_Data!BL86,IF(J51="Falling to",Forecasted_Data!BL87,""))</f>
        <v/>
      </c>
      <c r="N51" s="25" t="str">
        <f aca="false">IF(AND(J51="Crest at",Forecasted_Data!BK86&lt;21),"(Normal)",IF(AND(J51="Crest at",Forecasted_Data!BK86&gt;=21,Forecasted_Data!BK86&lt;36.5),"(Watch)",IF(AND(J51="Crest at",Forecasted_Data!BK86&gt;=36.5),"(Action)",IF(AND(J51="Falling to",Forecasted_Data!BK87&lt;21),"(Normal)",IF(AND(J51="Falling to",Forecasted_Data!BK87&gt;=21,Forecasted_Data!BK87&lt;36.5),"(Watch)",IF(AND(J51="Falling to",Forecasted_Data!BK87&gt;=36.5),"(Action)",""))))))</f>
        <v/>
      </c>
    </row>
    <row r="52" customFormat="false" ht="14.25" hidden="false" customHeight="false" outlineLevel="0" collapsed="false">
      <c r="A52" s="14"/>
      <c r="B52" s="15"/>
      <c r="C52" s="16"/>
      <c r="D52" s="17"/>
      <c r="E52" s="17"/>
      <c r="F52" s="17"/>
      <c r="G52" s="17"/>
      <c r="H52" s="19"/>
      <c r="I52" s="20"/>
      <c r="J52" s="26"/>
      <c r="K52" s="26"/>
      <c r="L52" s="26"/>
      <c r="M52" s="27" t="str">
        <f aca="false">IF(AND(OR(N51="(Watch)", N51="(Action)"),H51&lt;21),Forecasted_Data!BL92,IF(AND(H51&gt;=21,H51&lt;G51,Forecasted_Data!BK86&gt;=G51),Forecasted_Data!BL96,IF(AND(H51&gt;G51,H51&lt;36.5,Forecasted_Data!BK87&lt;G51),Forecasted_Data!BL97,IF(AND(N51="(Action)",H51&gt;=G51,H51&lt;36.5),Forecasted_Data!BL93,IF(AND(OR(N51="(Watch)", N51="(Normal)"),H51&gt;=36.5),Forecasted_Data!BL88,IF(AND(N51="(Normal)",H51&gt;=21,H51&lt;36.5),Forecasted_Data!BL89,""))))))</f>
        <v/>
      </c>
      <c r="N52" s="27"/>
    </row>
    <row r="53" customFormat="false" ht="14.25" hidden="false" customHeight="false" outlineLevel="0" collapsed="false">
      <c r="A53" s="28" t="s">
        <v>147</v>
      </c>
      <c r="B53" s="29" t="s">
        <v>148</v>
      </c>
      <c r="C53" s="46" t="s">
        <v>149</v>
      </c>
      <c r="D53" s="31" t="s">
        <v>150</v>
      </c>
      <c r="E53" s="47" t="s">
        <v>151</v>
      </c>
      <c r="F53" s="31" t="s">
        <v>152</v>
      </c>
      <c r="G53" s="31" t="n">
        <v>38.5</v>
      </c>
      <c r="H53" s="33"/>
      <c r="I53" s="34"/>
      <c r="J53" s="35"/>
      <c r="K53" s="36"/>
      <c r="L53" s="53"/>
      <c r="M53" s="53"/>
      <c r="N53" s="39" t="str">
        <f aca="false">IF(AND(J53="Crest at",Forecasted_Data!BM149&lt;38),"(Normal)",IF(AND(J53="Crest at",Forecasted_Data!BM149&gt;=38,Forecasted_Data!BM149&lt;40),"(Watch)",IF(AND(J53="Crest at",Forecasted_Data!BM149&gt;=40),"(Action)",IF(AND(J53="Falling to",Forecasted_Data!BM150&lt;38),"(Normal)",IF(AND(J53="Falling to",Forecasted_Data!BM150&gt;=38,Forecasted_Data!BM150&lt;40),"(Watch)",IF(AND(J53="Falling to",Forecasted_Data!BM150&gt;=40),"(Action)",""))))))</f>
        <v/>
      </c>
    </row>
    <row r="54" customFormat="false" ht="14.25" hidden="false" customHeight="false" outlineLevel="0" collapsed="false">
      <c r="A54" s="28"/>
      <c r="B54" s="29"/>
      <c r="C54" s="46"/>
      <c r="D54" s="31"/>
      <c r="E54" s="47"/>
      <c r="F54" s="31"/>
      <c r="G54" s="31"/>
      <c r="H54" s="33"/>
      <c r="I54" s="34"/>
      <c r="J54" s="54"/>
      <c r="K54" s="54"/>
      <c r="L54" s="54"/>
      <c r="M54" s="55" t="str">
        <f aca="false">IF(AND(OR(N53="(Watch)", N53="(Action)"),H53&lt;38),Forecasted_Data!BN169,IF(AND(H53&gt;=38,H53&lt;G53,Forecasted_Data!BM149&gt;=G53),Forecasted_Data!BN173,IF(AND(H53&gt;G53,H53&lt;40,Forecasted_Data!BM150&lt;G53),Forecasted_Data!BN174,IF(AND(N53="(Action)",H53&gt;=G53,H53&lt;40),Forecasted_Data!BN170,IF(AND(OR(N53="(Watch)", N53="(Normal)"),H53&gt;=40),Forecasted_Data!BN165,IF(AND(N53="(Normal)",H53&gt;=38,H53&lt;40),Forecasted_Data!BN166,""))))))</f>
        <v/>
      </c>
      <c r="N54" s="55"/>
    </row>
    <row r="55" customFormat="false" ht="26.25" hidden="false" customHeight="true" outlineLevel="0" collapsed="false">
      <c r="A55" s="14" t="s">
        <v>153</v>
      </c>
      <c r="B55" s="15" t="s">
        <v>148</v>
      </c>
      <c r="C55" s="16" t="s">
        <v>154</v>
      </c>
      <c r="D55" s="17" t="s">
        <v>155</v>
      </c>
      <c r="E55" s="56" t="s">
        <v>156</v>
      </c>
      <c r="F55" s="57" t="s">
        <v>157</v>
      </c>
      <c r="G55" s="57" t="s">
        <v>158</v>
      </c>
      <c r="H55" s="19"/>
      <c r="I55" s="20"/>
      <c r="J55" s="42"/>
      <c r="K55" s="43"/>
      <c r="L55" s="44"/>
      <c r="M55" s="45" t="str">
        <f aca="false">IF(J55="Crest at",Forecasted_Data!BN149,IF(J55="Falling to",Forecasted_Data!BN150,""))</f>
        <v/>
      </c>
      <c r="N55" s="25" t="str">
        <f aca="false">IF(AND(J55="Crest at",Forecasted_Data!BM149&lt;20),"(Normal)",IF(AND(J55="Crest at",Forecasted_Data!BM149&gt;=20,Forecasted_Data!BM149&lt;25),"(Watch)",IF(AND(J55="Crest at",Forecasted_Data!BM149&gt;=25,Forecasted_Data!BM149&lt;30),"(Action)",IF(AND(J55="Crest at",Forecasted_Data!BM149&gt;=30),"(Extreme Action)",IF(AND(J55="Falling to",Forecasted_Data!BM150&lt;20),"(Normal)",IF(AND(J55="Falling to",Forecasted_Data!BM150&gt;=20,Forecasted_Data!BM150&lt;25),"(Watch)",IF(AND(J55="Falling to",Forecasted_Data!BM150&gt;=25,Forecasted_Data!BM150&lt;30),"(Action)",IF(AND(J55="Falling to",Forecasted_Data!BM150&gt;=30),"(Extreme Action)",""))))))))</f>
        <v/>
      </c>
    </row>
    <row r="56" customFormat="false" ht="11.25" hidden="false" customHeight="true" outlineLevel="0" collapsed="false">
      <c r="A56" s="14"/>
      <c r="B56" s="15"/>
      <c r="C56" s="16"/>
      <c r="D56" s="16"/>
      <c r="E56" s="56"/>
      <c r="F56" s="57"/>
      <c r="G56" s="57"/>
      <c r="H56" s="19"/>
      <c r="I56" s="20"/>
      <c r="J56" s="26"/>
      <c r="K56" s="26"/>
      <c r="L56" s="26"/>
      <c r="M56" s="58" t="str">
        <f aca="false">IF(AND(H55&lt;38,Forecasted_Data!BM149&gt;=38),Forecasted_Data!BN152,IF(AND(H55&gt;=38,H55&lt;45,Forecasted_Data!BM149&gt;=45),Forecasted_Data!BN153,IF(AND(H55&gt;45,Forecasted_Data!BM150&lt;45),Forecasted_Data!BN154,IF(AND(H55&lt;45,H55&gt;=38,Forecasted_Data!BM150&lt;38),Forecasted_Data!BN151,IF(AND(OR(N55="(Watch)", N55="(ACTION)",N55="(EXTREME ACTION)"),H55&lt;20),Forecasted_Data!BN160,IF(AND(OR(N55="(Action)", N55="(EXTREME ACTION)"),H55&gt;=20,H55&lt;25),Forecasted_Data!BN161,IF(AND(N55="(Extreme Action)",H55&gt;=25,H55&lt;30),Forecasted_Data!BN162,IF(AND(OR(N55="(Action)",N55="(Watch)",N55="(Normal)"),H55&gt;=30),Forecasted_Data!BN155,IF(AND(OR(N55="(Watch)",N55="(Normal)"),H55&gt;=25,H55&lt;30),Forecasted_Data!BN156,IF(AND(N55="(Normal)",H55&gt;=20,H55&lt;25),Forecasted_Data!BN157,""))))))))))</f>
        <v/>
      </c>
      <c r="N56" s="58"/>
    </row>
    <row r="57" customFormat="false" ht="26.25" hidden="false" customHeight="true" outlineLevel="0" collapsed="false">
      <c r="A57" s="14"/>
      <c r="B57" s="15"/>
      <c r="C57" s="16"/>
      <c r="D57" s="16"/>
      <c r="E57" s="56"/>
      <c r="F57" s="57"/>
      <c r="G57" s="59" t="s">
        <v>159</v>
      </c>
      <c r="H57" s="19"/>
      <c r="I57" s="20"/>
      <c r="J57" s="26"/>
      <c r="K57" s="26"/>
      <c r="L57" s="26"/>
      <c r="M57" s="58"/>
      <c r="N57" s="58"/>
    </row>
    <row r="58" customFormat="false" ht="14.25" hidden="false" customHeight="true" outlineLevel="0" collapsed="false">
      <c r="A58" s="60" t="s">
        <v>160</v>
      </c>
      <c r="B58" s="61" t="s">
        <v>148</v>
      </c>
      <c r="C58" s="62" t="s">
        <v>161</v>
      </c>
      <c r="D58" s="62" t="s">
        <v>155</v>
      </c>
      <c r="E58" s="63" t="s">
        <v>156</v>
      </c>
      <c r="F58" s="63" t="s">
        <v>162</v>
      </c>
      <c r="G58" s="64" t="s">
        <v>159</v>
      </c>
      <c r="H58" s="65"/>
      <c r="I58" s="66"/>
      <c r="J58" s="35"/>
      <c r="K58" s="36"/>
      <c r="L58" s="37"/>
      <c r="M58" s="67" t="str">
        <f aca="false">M55</f>
        <v/>
      </c>
      <c r="N58" s="68" t="str">
        <f aca="false">IF(AND(J58="Crest at",Forecasted_Data!BM149&lt;20),"(Normal)",IF(AND(J58="Crest at",Forecasted_Data!BM149&gt;=20,Forecasted_Data!BM149&lt;25),"(Watch)",IF(AND(J58="Crest at",Forecasted_Data!BM149&gt;=25),"(Action)",IF(AND(J58="Falling to",Forecasted_Data!BM150&lt;20),"(Normal)",IF(AND(J58="Falling to",Forecasted_Data!BM150&gt;=20,Forecasted_Data!BM150&lt;25),"(Watch)",IF(AND(J58="Falling to",Forecasted_Data!BM150&gt;=25),"(Action)",""))))))</f>
        <v/>
      </c>
    </row>
    <row r="59" customFormat="false" ht="14.25" hidden="false" customHeight="false" outlineLevel="0" collapsed="false">
      <c r="A59" s="60"/>
      <c r="B59" s="61"/>
      <c r="C59" s="62"/>
      <c r="D59" s="62"/>
      <c r="E59" s="63"/>
      <c r="F59" s="63"/>
      <c r="G59" s="64"/>
      <c r="H59" s="65"/>
      <c r="I59" s="66"/>
      <c r="J59" s="69"/>
      <c r="K59" s="69"/>
      <c r="L59" s="69"/>
      <c r="M59" s="70" t="str">
        <f aca="false">IF(AND(H58&lt;45,Forecasted_Data!BM149&gt;=45),Forecasted_Data!BN153,IF(AND(H58&gt;45,Forecasted_Data!BM150&lt;45),Forecasted_Data!BN154,IF(AND(OR(N58="(Watch)", N58="(Action)"),H58&lt;20),Forecasted_Data!BN160,IF(AND(N58="(Action)",H58&gt;=20,H58&lt;25),Forecasted_Data!BN161,IF(AND(OR(N58="(Watch)", N58="(Normal)"),H58&gt;=25),Forecasted_Data!BN156,IF(AND(N58="(Normal)",H58&gt;=20,H58&lt;25),Forecasted_Data!BN157,""))))))</f>
        <v/>
      </c>
      <c r="N59" s="70"/>
    </row>
    <row r="60" customFormat="false" ht="6" hidden="false" customHeight="true" outlineLevel="0" collapsed="false">
      <c r="A60" s="71"/>
      <c r="B60" s="72"/>
      <c r="C60" s="71"/>
      <c r="D60" s="73"/>
      <c r="E60" s="73"/>
      <c r="F60" s="73"/>
      <c r="G60" s="74"/>
      <c r="H60" s="75"/>
      <c r="I60" s="76"/>
      <c r="J60" s="76"/>
      <c r="K60" s="76"/>
      <c r="L60" s="76"/>
      <c r="M60" s="76"/>
      <c r="N60" s="76"/>
    </row>
    <row r="61" customFormat="false" ht="17.35" hidden="false" customHeight="false" outlineLevel="0" collapsed="false">
      <c r="A61" s="77" t="s">
        <v>163</v>
      </c>
      <c r="B61" s="77"/>
      <c r="C61" s="77"/>
      <c r="D61" s="77"/>
      <c r="E61" s="77"/>
      <c r="F61" s="77"/>
      <c r="G61" s="77"/>
      <c r="H61" s="77"/>
      <c r="I61" s="77"/>
      <c r="J61" s="77"/>
      <c r="K61" s="77"/>
      <c r="L61" s="77"/>
      <c r="M61" s="77"/>
      <c r="N61" s="77"/>
    </row>
    <row r="62" customFormat="false" ht="14.25" hidden="false" customHeight="true" outlineLevel="0" collapsed="false">
      <c r="A62" s="78" t="s">
        <v>2</v>
      </c>
      <c r="B62" s="79"/>
      <c r="C62" s="79"/>
      <c r="D62" s="79" t="s">
        <v>5</v>
      </c>
      <c r="E62" s="79" t="s">
        <v>6</v>
      </c>
      <c r="F62" s="79" t="s">
        <v>7</v>
      </c>
      <c r="G62" s="79" t="s">
        <v>9</v>
      </c>
      <c r="H62" s="79" t="s">
        <v>10</v>
      </c>
      <c r="I62" s="79"/>
      <c r="J62" s="80" t="s">
        <v>11</v>
      </c>
      <c r="K62" s="80"/>
      <c r="L62" s="80"/>
      <c r="M62" s="80"/>
      <c r="N62" s="80"/>
    </row>
    <row r="63" customFormat="false" ht="14.25" hidden="false" customHeight="true" outlineLevel="0" collapsed="false">
      <c r="A63" s="81" t="s">
        <v>164</v>
      </c>
      <c r="B63" s="82" t="s">
        <v>148</v>
      </c>
      <c r="C63" s="83" t="s">
        <v>165</v>
      </c>
      <c r="D63" s="84" t="s">
        <v>166</v>
      </c>
      <c r="E63" s="84" t="s">
        <v>167</v>
      </c>
      <c r="F63" s="85" t="s">
        <v>168</v>
      </c>
      <c r="G63" s="86"/>
      <c r="H63" s="87"/>
      <c r="I63" s="87"/>
      <c r="J63" s="88"/>
      <c r="K63" s="89"/>
      <c r="L63" s="90"/>
      <c r="M63" s="91" t="str">
        <f aca="false">M55</f>
        <v/>
      </c>
      <c r="N63" s="92" t="str">
        <f aca="false">IF(AND(J63="Crest at",Forecasted_Data!G86&lt;=-2),"(Low Action)",IF(AND(J63="Crest at",Forecasted_Data!G86&gt;-2,Forecasted_Data!G86&lt;=0),"(Low Watch)",IF(AND(J63="Crest at",Forecasted_Data!G86&gt;0),"(Normal)",IF(AND(J63="Falling to",Forecasted_Data!G87&lt;=-2),"(Low Action)",IF(AND(J63="Falling to",Forecasted_Data!G87&gt;-2,Forecasted_Data!G87&lt;=0),"(Low Watch)",IF(AND(J63="Falling to",Forecasted_Data!G87&gt;0),"(Normal)",""))))))</f>
        <v/>
      </c>
    </row>
    <row r="64" customFormat="false" ht="14.25" hidden="false" customHeight="false" outlineLevel="0" collapsed="false">
      <c r="A64" s="81"/>
      <c r="B64" s="82"/>
      <c r="C64" s="83"/>
      <c r="D64" s="84"/>
      <c r="E64" s="84"/>
      <c r="F64" s="85"/>
      <c r="G64" s="86"/>
      <c r="H64" s="87"/>
      <c r="I64" s="87"/>
      <c r="J64" s="69"/>
      <c r="K64" s="69"/>
      <c r="L64" s="69"/>
      <c r="M64" s="70" t="str">
        <f aca="false">IF(AND(N63="(Low Watch)",G63&gt;0),Forecasted_Data!BN163,IF(AND(N63="(Low Action)",G63&lt;=0,G63&gt;-2),Forecasted_Data!BN164,IF(AND(N63="(Low Watch)",G63&lt;=-2),Forecasted_Data!BN158,IF(AND(N63="(Normal)",G63&lt;=0,G63&gt;-2),Forecasted_Data!BN159,""))))</f>
        <v/>
      </c>
      <c r="N64" s="70"/>
    </row>
    <row r="65" customFormat="false" ht="14.25" hidden="false" customHeight="false" outlineLevel="0" collapsed="false">
      <c r="A65" s="75"/>
      <c r="B65" s="76"/>
      <c r="C65" s="75"/>
      <c r="D65" s="75"/>
      <c r="E65" s="75"/>
      <c r="F65" s="75"/>
      <c r="G65" s="75"/>
      <c r="H65" s="76"/>
      <c r="I65" s="76"/>
      <c r="J65" s="76"/>
      <c r="K65" s="76"/>
      <c r="L65" s="76"/>
      <c r="M65" s="76"/>
      <c r="N65" s="76"/>
    </row>
    <row r="66" customFormat="false" ht="138" hidden="false" customHeight="true" outlineLevel="0" collapsed="false">
      <c r="A66" s="93" t="s">
        <v>169</v>
      </c>
      <c r="B66" s="93"/>
      <c r="C66" s="93"/>
      <c r="D66" s="93"/>
      <c r="E66" s="93"/>
      <c r="F66" s="93"/>
      <c r="G66" s="93"/>
      <c r="H66" s="93"/>
      <c r="I66" s="93"/>
      <c r="J66" s="93"/>
      <c r="K66" s="93"/>
      <c r="L66" s="93"/>
      <c r="M66" s="93"/>
      <c r="N66" s="93"/>
    </row>
    <row r="67" customFormat="false" ht="15" hidden="false" customHeight="true" outlineLevel="0" collapsed="false">
      <c r="A67" s="2"/>
    </row>
    <row r="68" customFormat="false" ht="14.25" hidden="false" customHeight="false" outlineLevel="0" collapsed="false">
      <c r="A68" s="2"/>
    </row>
    <row r="69" customFormat="false" ht="14.25" hidden="false" customHeight="false" outlineLevel="0" collapsed="false">
      <c r="A69" s="2"/>
    </row>
    <row r="70" customFormat="false" ht="14.25" hidden="false" customHeight="false" outlineLevel="0" collapsed="false">
      <c r="A70" s="2"/>
    </row>
    <row r="71" customFormat="false" ht="14.25" hidden="false" customHeight="false" outlineLevel="0" collapsed="false">
      <c r="A71" s="2"/>
    </row>
    <row r="72" customFormat="false" ht="14.25" hidden="false" customHeight="false" outlineLevel="0" collapsed="false">
      <c r="A72" s="2"/>
    </row>
    <row r="73" customFormat="false" ht="14.25" hidden="false" customHeight="false" outlineLevel="0" collapsed="false">
      <c r="A73" s="2"/>
    </row>
    <row r="74" customFormat="false" ht="14.25" hidden="false" customHeight="false" outlineLevel="0" collapsed="false">
      <c r="A74" s="2"/>
    </row>
    <row r="75" customFormat="false" ht="14.25" hidden="false" customHeight="false" outlineLevel="0" collapsed="false">
      <c r="A75" s="2"/>
    </row>
    <row r="76" customFormat="false" ht="14.25" hidden="false" customHeight="false" outlineLevel="0" collapsed="false">
      <c r="A76" s="2"/>
    </row>
    <row r="80" customFormat="false" ht="13.5" hidden="false" customHeight="false" outlineLevel="0" collapsed="false">
      <c r="B80" s="94"/>
      <c r="C80" s="94"/>
      <c r="D80" s="94"/>
      <c r="E80" s="94"/>
      <c r="F80" s="94"/>
      <c r="G80" s="1"/>
      <c r="H80" s="94"/>
      <c r="I80" s="94"/>
    </row>
    <row r="81" customFormat="false" ht="13.5" hidden="false" customHeight="false" outlineLevel="0" collapsed="false">
      <c r="B81" s="94"/>
      <c r="C81" s="94"/>
      <c r="D81" s="94"/>
      <c r="E81" s="94"/>
      <c r="F81" s="94"/>
      <c r="G81" s="1"/>
      <c r="H81" s="94"/>
      <c r="I81" s="94"/>
    </row>
    <row r="82" customFormat="false" ht="13.5" hidden="false" customHeight="false" outlineLevel="0" collapsed="false">
      <c r="B82" s="94"/>
      <c r="C82" s="94"/>
      <c r="D82" s="94"/>
      <c r="E82" s="94"/>
      <c r="F82" s="94"/>
      <c r="G82" s="1"/>
      <c r="H82" s="94"/>
      <c r="I82" s="94"/>
    </row>
    <row r="83" customFormat="false" ht="13.5" hidden="false" customHeight="false" outlineLevel="0" collapsed="false">
      <c r="B83" s="94"/>
      <c r="C83" s="94"/>
      <c r="D83" s="94"/>
      <c r="E83" s="94"/>
      <c r="F83" s="94"/>
      <c r="G83" s="1"/>
      <c r="H83" s="94"/>
      <c r="I83" s="94"/>
    </row>
    <row r="84" customFormat="false" ht="13.5" hidden="false" customHeight="false" outlineLevel="0" collapsed="false">
      <c r="B84" s="94"/>
      <c r="C84" s="94"/>
      <c r="D84" s="94"/>
      <c r="E84" s="94"/>
      <c r="F84" s="94"/>
      <c r="G84" s="1"/>
      <c r="H84" s="94"/>
      <c r="I84" s="94"/>
    </row>
    <row r="85" customFormat="false" ht="13.5" hidden="false" customHeight="false" outlineLevel="0" collapsed="false">
      <c r="B85" s="94"/>
      <c r="C85" s="94"/>
      <c r="D85" s="94"/>
      <c r="E85" s="94"/>
      <c r="F85" s="94"/>
      <c r="G85" s="1"/>
      <c r="H85" s="94"/>
      <c r="I85" s="94"/>
    </row>
    <row r="86" customFormat="false" ht="13.5" hidden="false" customHeight="false" outlineLevel="0" collapsed="false">
      <c r="B86" s="94"/>
      <c r="C86" s="94"/>
      <c r="D86" s="94"/>
      <c r="E86" s="94"/>
      <c r="F86" s="94"/>
      <c r="G86" s="1"/>
      <c r="H86" s="94"/>
      <c r="I86" s="94"/>
    </row>
    <row r="87" customFormat="false" ht="13.5" hidden="false" customHeight="false" outlineLevel="0" collapsed="false">
      <c r="B87" s="94"/>
      <c r="C87" s="94"/>
      <c r="D87" s="94"/>
      <c r="E87" s="94"/>
      <c r="F87" s="94"/>
      <c r="G87" s="1"/>
      <c r="H87" s="94"/>
      <c r="I87" s="94"/>
    </row>
    <row r="88" customFormat="false" ht="13.5" hidden="false" customHeight="false" outlineLevel="0" collapsed="false">
      <c r="B88" s="94"/>
      <c r="C88" s="94"/>
      <c r="D88" s="94"/>
      <c r="E88" s="94"/>
      <c r="F88" s="94"/>
      <c r="G88" s="1"/>
      <c r="H88" s="94"/>
      <c r="I88" s="94"/>
    </row>
    <row r="89" customFormat="false" ht="13.5" hidden="false" customHeight="false" outlineLevel="0" collapsed="false">
      <c r="B89" s="94"/>
      <c r="C89" s="94"/>
      <c r="D89" s="94"/>
      <c r="E89" s="94"/>
      <c r="F89" s="94"/>
      <c r="G89" s="1"/>
      <c r="H89" s="94"/>
      <c r="I89" s="94"/>
    </row>
    <row r="90" customFormat="false" ht="13.5" hidden="false" customHeight="false" outlineLevel="0" collapsed="false">
      <c r="B90" s="94"/>
      <c r="C90" s="94"/>
      <c r="D90" s="94"/>
      <c r="E90" s="94"/>
      <c r="F90" s="94"/>
      <c r="G90" s="1"/>
      <c r="H90" s="94"/>
      <c r="I90" s="94"/>
    </row>
    <row r="91" customFormat="false" ht="13.5" hidden="false" customHeight="false" outlineLevel="0" collapsed="false">
      <c r="B91" s="94"/>
      <c r="C91" s="94"/>
      <c r="D91" s="94"/>
      <c r="E91" s="94"/>
      <c r="F91" s="94"/>
      <c r="G91" s="1"/>
      <c r="H91" s="94"/>
      <c r="I91" s="94"/>
    </row>
    <row r="92" customFormat="false" ht="13.5" hidden="false" customHeight="false" outlineLevel="0" collapsed="false">
      <c r="B92" s="94"/>
      <c r="C92" s="94"/>
      <c r="D92" s="94"/>
      <c r="E92" s="94"/>
      <c r="F92" s="94"/>
      <c r="G92" s="1"/>
      <c r="H92" s="94"/>
      <c r="I92" s="94"/>
    </row>
    <row r="93" customFormat="false" ht="13.5" hidden="false" customHeight="false" outlineLevel="0" collapsed="false">
      <c r="B93" s="94"/>
      <c r="C93" s="94"/>
      <c r="D93" s="94"/>
      <c r="E93" s="94"/>
      <c r="F93" s="94"/>
      <c r="G93" s="1"/>
      <c r="H93" s="94"/>
      <c r="I93" s="94"/>
    </row>
    <row r="94" customFormat="false" ht="13.5" hidden="false" customHeight="false" outlineLevel="0" collapsed="false">
      <c r="B94" s="94"/>
      <c r="C94" s="94"/>
      <c r="D94" s="94"/>
      <c r="E94" s="94"/>
      <c r="F94" s="94"/>
      <c r="G94" s="1"/>
      <c r="H94" s="94"/>
      <c r="I94" s="94"/>
    </row>
    <row r="95" customFormat="false" ht="13.5" hidden="false" customHeight="false" outlineLevel="0" collapsed="false">
      <c r="B95" s="94"/>
      <c r="C95" s="94"/>
      <c r="D95" s="94"/>
      <c r="E95" s="94"/>
      <c r="F95" s="94"/>
      <c r="G95" s="1"/>
      <c r="H95" s="94"/>
      <c r="I95" s="94"/>
    </row>
    <row r="96" customFormat="false" ht="13.5" hidden="false" customHeight="false" outlineLevel="0" collapsed="false">
      <c r="B96" s="94"/>
      <c r="C96" s="94"/>
      <c r="D96" s="94"/>
      <c r="E96" s="94"/>
      <c r="F96" s="94"/>
      <c r="G96" s="1"/>
      <c r="H96" s="94"/>
      <c r="I96" s="94"/>
    </row>
    <row r="97" customFormat="false" ht="13.5" hidden="false" customHeight="false" outlineLevel="0" collapsed="false">
      <c r="B97" s="94"/>
      <c r="C97" s="94"/>
      <c r="D97" s="94"/>
      <c r="E97" s="94"/>
      <c r="F97" s="94"/>
      <c r="G97" s="1"/>
      <c r="H97" s="94"/>
      <c r="I97" s="94"/>
    </row>
    <row r="98" customFormat="false" ht="13.5" hidden="false" customHeight="false" outlineLevel="0" collapsed="false">
      <c r="B98" s="94"/>
      <c r="C98" s="94"/>
      <c r="D98" s="94"/>
      <c r="E98" s="94"/>
      <c r="F98" s="94"/>
      <c r="G98" s="1"/>
      <c r="H98" s="94"/>
      <c r="I98" s="94"/>
    </row>
    <row r="99" customFormat="false" ht="13.5" hidden="false" customHeight="false" outlineLevel="0" collapsed="false">
      <c r="B99" s="94"/>
      <c r="C99" s="94"/>
      <c r="D99" s="94"/>
      <c r="E99" s="94"/>
      <c r="F99" s="94"/>
      <c r="G99" s="1"/>
      <c r="H99" s="94"/>
      <c r="I99" s="94"/>
    </row>
    <row r="100" customFormat="false" ht="13.5" hidden="false" customHeight="false" outlineLevel="0" collapsed="false">
      <c r="B100" s="94"/>
      <c r="C100" s="94"/>
      <c r="D100" s="94"/>
      <c r="E100" s="94"/>
      <c r="F100" s="94"/>
      <c r="G100" s="1"/>
      <c r="H100" s="94"/>
      <c r="I100" s="94"/>
    </row>
  </sheetData>
  <mergeCells count="326">
    <mergeCell ref="A1:H1"/>
    <mergeCell ref="K1:L1"/>
    <mergeCell ref="M1:N1"/>
    <mergeCell ref="J2:N2"/>
    <mergeCell ref="A3:A4"/>
    <mergeCell ref="B3:B4"/>
    <mergeCell ref="C3:C4"/>
    <mergeCell ref="D3:D4"/>
    <mergeCell ref="E3:E4"/>
    <mergeCell ref="F3:F4"/>
    <mergeCell ref="G3:G4"/>
    <mergeCell ref="H3:H4"/>
    <mergeCell ref="I3:I4"/>
    <mergeCell ref="J4:L4"/>
    <mergeCell ref="M4:N4"/>
    <mergeCell ref="A5:A6"/>
    <mergeCell ref="B5:B6"/>
    <mergeCell ref="C5:C6"/>
    <mergeCell ref="D5:D6"/>
    <mergeCell ref="E5:E6"/>
    <mergeCell ref="F5:F6"/>
    <mergeCell ref="G5:G6"/>
    <mergeCell ref="H5:H6"/>
    <mergeCell ref="I5:I6"/>
    <mergeCell ref="J6:L6"/>
    <mergeCell ref="M6:N6"/>
    <mergeCell ref="A7:A8"/>
    <mergeCell ref="B7:B8"/>
    <mergeCell ref="C7:C8"/>
    <mergeCell ref="D7:D8"/>
    <mergeCell ref="E7:E8"/>
    <mergeCell ref="F7:F8"/>
    <mergeCell ref="G7:G8"/>
    <mergeCell ref="H7:H8"/>
    <mergeCell ref="I7:I8"/>
    <mergeCell ref="J8:L8"/>
    <mergeCell ref="M8:N8"/>
    <mergeCell ref="A9:A10"/>
    <mergeCell ref="B9:B10"/>
    <mergeCell ref="C9:C10"/>
    <mergeCell ref="D9:D10"/>
    <mergeCell ref="E9:E10"/>
    <mergeCell ref="F9:F10"/>
    <mergeCell ref="G9:G10"/>
    <mergeCell ref="H9:H10"/>
    <mergeCell ref="I9:I10"/>
    <mergeCell ref="J10:L10"/>
    <mergeCell ref="M10:N10"/>
    <mergeCell ref="A11:A12"/>
    <mergeCell ref="B11:B12"/>
    <mergeCell ref="C11:C12"/>
    <mergeCell ref="D11:D12"/>
    <mergeCell ref="E11:E12"/>
    <mergeCell ref="F11:F12"/>
    <mergeCell ref="G11:G12"/>
    <mergeCell ref="H11:H12"/>
    <mergeCell ref="I11:I12"/>
    <mergeCell ref="J12:L12"/>
    <mergeCell ref="M12:N12"/>
    <mergeCell ref="A13:A14"/>
    <mergeCell ref="B13:B14"/>
    <mergeCell ref="C13:C14"/>
    <mergeCell ref="D13:D14"/>
    <mergeCell ref="E13:E14"/>
    <mergeCell ref="F13:F14"/>
    <mergeCell ref="G13:G14"/>
    <mergeCell ref="H13:H14"/>
    <mergeCell ref="I13:I14"/>
    <mergeCell ref="J14:L14"/>
    <mergeCell ref="M14:N14"/>
    <mergeCell ref="A15:A16"/>
    <mergeCell ref="B15:B16"/>
    <mergeCell ref="C15:C16"/>
    <mergeCell ref="D15:D16"/>
    <mergeCell ref="E15:E16"/>
    <mergeCell ref="F15:F16"/>
    <mergeCell ref="G15:G16"/>
    <mergeCell ref="H15:H16"/>
    <mergeCell ref="I15:I16"/>
    <mergeCell ref="J16:L16"/>
    <mergeCell ref="M16:N16"/>
    <mergeCell ref="A17:A18"/>
    <mergeCell ref="B17:B18"/>
    <mergeCell ref="C17:C18"/>
    <mergeCell ref="D17:D18"/>
    <mergeCell ref="E17:E18"/>
    <mergeCell ref="F17:F18"/>
    <mergeCell ref="G17:G18"/>
    <mergeCell ref="H17:H18"/>
    <mergeCell ref="I17:I18"/>
    <mergeCell ref="J18:L18"/>
    <mergeCell ref="M18:N18"/>
    <mergeCell ref="A19:A20"/>
    <mergeCell ref="B19:B20"/>
    <mergeCell ref="C19:C20"/>
    <mergeCell ref="D19:D20"/>
    <mergeCell ref="E19:E20"/>
    <mergeCell ref="F19:F20"/>
    <mergeCell ref="G19:G20"/>
    <mergeCell ref="H19:H20"/>
    <mergeCell ref="I19:I20"/>
    <mergeCell ref="J20:L20"/>
    <mergeCell ref="M20:N20"/>
    <mergeCell ref="A21:A22"/>
    <mergeCell ref="B21:B22"/>
    <mergeCell ref="C21:C22"/>
    <mergeCell ref="D21:D22"/>
    <mergeCell ref="E21:E22"/>
    <mergeCell ref="F21:F22"/>
    <mergeCell ref="G21:G22"/>
    <mergeCell ref="H21:H22"/>
    <mergeCell ref="I21:I22"/>
    <mergeCell ref="J22:L22"/>
    <mergeCell ref="M22:N22"/>
    <mergeCell ref="A23:A24"/>
    <mergeCell ref="B23:B24"/>
    <mergeCell ref="C23:C24"/>
    <mergeCell ref="D23:D24"/>
    <mergeCell ref="E23:E24"/>
    <mergeCell ref="F23:F24"/>
    <mergeCell ref="G23:G24"/>
    <mergeCell ref="H23:H24"/>
    <mergeCell ref="I23:I24"/>
    <mergeCell ref="J24:L24"/>
    <mergeCell ref="M24:N24"/>
    <mergeCell ref="A25:A26"/>
    <mergeCell ref="B25:B26"/>
    <mergeCell ref="C25:C26"/>
    <mergeCell ref="D25:D26"/>
    <mergeCell ref="E25:E26"/>
    <mergeCell ref="F25:F26"/>
    <mergeCell ref="G25:G26"/>
    <mergeCell ref="H25:H26"/>
    <mergeCell ref="I25:I26"/>
    <mergeCell ref="J26:L26"/>
    <mergeCell ref="M26:N26"/>
    <mergeCell ref="A27:A28"/>
    <mergeCell ref="B27:B28"/>
    <mergeCell ref="C27:C28"/>
    <mergeCell ref="D27:D28"/>
    <mergeCell ref="E27:E28"/>
    <mergeCell ref="F27:F28"/>
    <mergeCell ref="G27:G28"/>
    <mergeCell ref="H27:H28"/>
    <mergeCell ref="I27:I28"/>
    <mergeCell ref="J28:L28"/>
    <mergeCell ref="M28:N28"/>
    <mergeCell ref="A29:A30"/>
    <mergeCell ref="B29:B30"/>
    <mergeCell ref="C29:C30"/>
    <mergeCell ref="D29:D30"/>
    <mergeCell ref="E29:E30"/>
    <mergeCell ref="F29:F30"/>
    <mergeCell ref="G29:G30"/>
    <mergeCell ref="H29:H30"/>
    <mergeCell ref="I29:I30"/>
    <mergeCell ref="J30:L30"/>
    <mergeCell ref="M30:N30"/>
    <mergeCell ref="A31:A32"/>
    <mergeCell ref="B31:B32"/>
    <mergeCell ref="C31:C32"/>
    <mergeCell ref="D31:D32"/>
    <mergeCell ref="E31:E32"/>
    <mergeCell ref="F31:F32"/>
    <mergeCell ref="G31:G32"/>
    <mergeCell ref="H31:H32"/>
    <mergeCell ref="I31:I32"/>
    <mergeCell ref="J32:L32"/>
    <mergeCell ref="M32:N32"/>
    <mergeCell ref="A33:A34"/>
    <mergeCell ref="B33:B34"/>
    <mergeCell ref="C33:C34"/>
    <mergeCell ref="D33:D34"/>
    <mergeCell ref="E33:E34"/>
    <mergeCell ref="F33:F34"/>
    <mergeCell ref="G33:G34"/>
    <mergeCell ref="H33:H34"/>
    <mergeCell ref="I33:I34"/>
    <mergeCell ref="J34:L34"/>
    <mergeCell ref="M34:N34"/>
    <mergeCell ref="A35:A36"/>
    <mergeCell ref="B35:B36"/>
    <mergeCell ref="C35:C36"/>
    <mergeCell ref="D35:D36"/>
    <mergeCell ref="E35:E36"/>
    <mergeCell ref="F35:F36"/>
    <mergeCell ref="G35:G36"/>
    <mergeCell ref="H35:H36"/>
    <mergeCell ref="I35:I36"/>
    <mergeCell ref="J36:L36"/>
    <mergeCell ref="M36:N36"/>
    <mergeCell ref="A37:A38"/>
    <mergeCell ref="B37:B38"/>
    <mergeCell ref="C37:C38"/>
    <mergeCell ref="D37:D38"/>
    <mergeCell ref="E37:E38"/>
    <mergeCell ref="F37:F38"/>
    <mergeCell ref="G37:G38"/>
    <mergeCell ref="H37:H38"/>
    <mergeCell ref="I37:I38"/>
    <mergeCell ref="J38:L38"/>
    <mergeCell ref="M38:N38"/>
    <mergeCell ref="A39:A40"/>
    <mergeCell ref="B39:B40"/>
    <mergeCell ref="C39:C40"/>
    <mergeCell ref="D39:D40"/>
    <mergeCell ref="E39:E40"/>
    <mergeCell ref="F39:F40"/>
    <mergeCell ref="G39:G40"/>
    <mergeCell ref="H39:H40"/>
    <mergeCell ref="I39:I40"/>
    <mergeCell ref="J40:L40"/>
    <mergeCell ref="M40:N40"/>
    <mergeCell ref="A41:A42"/>
    <mergeCell ref="B41:B42"/>
    <mergeCell ref="C41:C42"/>
    <mergeCell ref="D41:D42"/>
    <mergeCell ref="E41:E42"/>
    <mergeCell ref="F41:F42"/>
    <mergeCell ref="G41:G42"/>
    <mergeCell ref="H41:H42"/>
    <mergeCell ref="I41:I42"/>
    <mergeCell ref="J42:L42"/>
    <mergeCell ref="M42:N42"/>
    <mergeCell ref="A43:A44"/>
    <mergeCell ref="B43:B44"/>
    <mergeCell ref="C43:C44"/>
    <mergeCell ref="D43:D44"/>
    <mergeCell ref="E43:E44"/>
    <mergeCell ref="F43:F44"/>
    <mergeCell ref="G43:G44"/>
    <mergeCell ref="H43:H44"/>
    <mergeCell ref="I43:I44"/>
    <mergeCell ref="J44:L44"/>
    <mergeCell ref="M44:N44"/>
    <mergeCell ref="A45:A46"/>
    <mergeCell ref="B45:B46"/>
    <mergeCell ref="C45:C46"/>
    <mergeCell ref="D45:D46"/>
    <mergeCell ref="E45:E46"/>
    <mergeCell ref="F45:F46"/>
    <mergeCell ref="G45:G46"/>
    <mergeCell ref="H45:H46"/>
    <mergeCell ref="I45:I46"/>
    <mergeCell ref="J46:L46"/>
    <mergeCell ref="M46:N46"/>
    <mergeCell ref="A47:A48"/>
    <mergeCell ref="B47:B48"/>
    <mergeCell ref="C47:C48"/>
    <mergeCell ref="D47:D48"/>
    <mergeCell ref="E47:E48"/>
    <mergeCell ref="F47:F48"/>
    <mergeCell ref="G47:G48"/>
    <mergeCell ref="H47:H48"/>
    <mergeCell ref="I47:I48"/>
    <mergeCell ref="J48:L48"/>
    <mergeCell ref="M48:N48"/>
    <mergeCell ref="A49:A50"/>
    <mergeCell ref="B49:B50"/>
    <mergeCell ref="C49:C50"/>
    <mergeCell ref="D49:D50"/>
    <mergeCell ref="E49:E50"/>
    <mergeCell ref="F49:F50"/>
    <mergeCell ref="G49:G50"/>
    <mergeCell ref="H49:H50"/>
    <mergeCell ref="I49:I50"/>
    <mergeCell ref="J50:L50"/>
    <mergeCell ref="M50:N50"/>
    <mergeCell ref="A51:A52"/>
    <mergeCell ref="B51:B52"/>
    <mergeCell ref="C51:C52"/>
    <mergeCell ref="D51:D52"/>
    <mergeCell ref="E51:E52"/>
    <mergeCell ref="F51:F52"/>
    <mergeCell ref="G51:G52"/>
    <mergeCell ref="H51:H52"/>
    <mergeCell ref="I51:I52"/>
    <mergeCell ref="J52:L52"/>
    <mergeCell ref="M52:N52"/>
    <mergeCell ref="A53:A54"/>
    <mergeCell ref="B53:B54"/>
    <mergeCell ref="C53:C54"/>
    <mergeCell ref="D53:D54"/>
    <mergeCell ref="E53:E54"/>
    <mergeCell ref="F53:F54"/>
    <mergeCell ref="G53:G54"/>
    <mergeCell ref="H53:H54"/>
    <mergeCell ref="I53:I54"/>
    <mergeCell ref="J54:L54"/>
    <mergeCell ref="M54:N54"/>
    <mergeCell ref="A55:A57"/>
    <mergeCell ref="B55:B57"/>
    <mergeCell ref="C55:C57"/>
    <mergeCell ref="D55:D57"/>
    <mergeCell ref="E55:E57"/>
    <mergeCell ref="F55:F57"/>
    <mergeCell ref="G55:G56"/>
    <mergeCell ref="H55:H57"/>
    <mergeCell ref="I55:I57"/>
    <mergeCell ref="J56:L57"/>
    <mergeCell ref="M56:N57"/>
    <mergeCell ref="A58:A59"/>
    <mergeCell ref="B58:B59"/>
    <mergeCell ref="C58:C59"/>
    <mergeCell ref="D58:D59"/>
    <mergeCell ref="E58:E59"/>
    <mergeCell ref="F58:F59"/>
    <mergeCell ref="G58:G59"/>
    <mergeCell ref="H58:H59"/>
    <mergeCell ref="I58:I59"/>
    <mergeCell ref="J59:L59"/>
    <mergeCell ref="M59:N59"/>
    <mergeCell ref="A61:N61"/>
    <mergeCell ref="H62:I62"/>
    <mergeCell ref="J62:N62"/>
    <mergeCell ref="A63:A64"/>
    <mergeCell ref="B63:B64"/>
    <mergeCell ref="C63:C64"/>
    <mergeCell ref="D63:D64"/>
    <mergeCell ref="E63:E64"/>
    <mergeCell ref="F63:F64"/>
    <mergeCell ref="G63:G64"/>
    <mergeCell ref="H63:I64"/>
    <mergeCell ref="J64:L64"/>
    <mergeCell ref="M64:N64"/>
    <mergeCell ref="A66:N66"/>
  </mergeCells>
  <conditionalFormatting sqref="G57">
    <cfRule type="expression" priority="2" aboveAverage="0" equalAverage="0" bottom="0" percent="0" rank="0" text="" dxfId="0">
      <formula>H55&gt;=45</formula>
    </cfRule>
  </conditionalFormatting>
  <conditionalFormatting sqref="G55:G56">
    <cfRule type="expression" priority="4" aboveAverage="0" equalAverage="0" bottom="0" percent="0" rank="0" text="" dxfId="2">
      <formula>H55&gt;=38</formula>
    </cfRule>
  </conditionalFormatting>
  <conditionalFormatting sqref="F55:F57">
    <cfRule type="expression" priority="6" aboveAverage="0" equalAverage="0" bottom="0" percent="0" rank="0" text="" dxfId="4">
      <formula>H55&gt;=30</formula>
    </cfRule>
  </conditionalFormatting>
  <conditionalFormatting sqref="G58">
    <cfRule type="expression" priority="7" aboveAverage="0" equalAverage="0" bottom="0" percent="0" rank="0" text="" dxfId="5">
      <formula>H58&gt;=45</formula>
    </cfRule>
  </conditionalFormatting>
  <conditionalFormatting sqref="F58">
    <cfRule type="expression" priority="9" aboveAverage="0" equalAverage="0" bottom="0" percent="0" rank="0" text="" dxfId="7">
      <formula>H58&gt;=25</formula>
    </cfRule>
  </conditionalFormatting>
  <conditionalFormatting sqref="E58">
    <cfRule type="expression" priority="10" aboveAverage="0" equalAverage="0" bottom="0" percent="0" rank="0" text="" dxfId="8">
      <formula>AND(H58&gt;=20,H58&lt;25)</formula>
    </cfRule>
  </conditionalFormatting>
  <conditionalFormatting sqref="D58">
    <cfRule type="expression" priority="11" aboveAverage="0" equalAverage="0" bottom="0" percent="0" rank="0" text="" dxfId="9">
      <formula>H58&lt;20</formula>
    </cfRule>
  </conditionalFormatting>
  <conditionalFormatting sqref="G53">
    <cfRule type="expression" priority="12" aboveAverage="0" equalAverage="0" bottom="0" percent="0" rank="0" text="" dxfId="10">
      <formula>$H$53&gt;=38.5</formula>
    </cfRule>
  </conditionalFormatting>
  <conditionalFormatting sqref="G51">
    <cfRule type="expression" priority="14" aboveAverage="0" equalAverage="0" bottom="0" percent="0" rank="0" text="" dxfId="12">
      <formula>$H$51&gt;=34</formula>
    </cfRule>
  </conditionalFormatting>
  <conditionalFormatting sqref="G49">
    <cfRule type="expression" priority="16" aboveAverage="0" equalAverage="0" bottom="0" percent="0" rank="0" text="" dxfId="14">
      <formula>$H$49&gt;=33.5</formula>
    </cfRule>
  </conditionalFormatting>
  <conditionalFormatting sqref="G47">
    <cfRule type="expression" priority="18" aboveAverage="0" equalAverage="0" bottom="0" percent="0" rank="0" text="" dxfId="16">
      <formula>$H$47&gt;=32.5</formula>
    </cfRule>
  </conditionalFormatting>
  <conditionalFormatting sqref="G45">
    <cfRule type="expression" priority="20" aboveAverage="0" equalAverage="0" bottom="0" percent="0" rank="0" text="" dxfId="18">
      <formula>$H$45&gt;=21.4</formula>
    </cfRule>
  </conditionalFormatting>
  <conditionalFormatting sqref="G43">
    <cfRule type="expression" priority="22" aboveAverage="0" equalAverage="0" bottom="0" percent="0" rank="0" text="" dxfId="20">
      <formula>$H$43&gt;=21.9</formula>
    </cfRule>
  </conditionalFormatting>
  <conditionalFormatting sqref="G41">
    <cfRule type="expression" priority="24" aboveAverage="0" equalAverage="0" bottom="0" percent="0" rank="0" text="" dxfId="22">
      <formula>$H$41&gt;=18</formula>
    </cfRule>
  </conditionalFormatting>
  <conditionalFormatting sqref="G39">
    <cfRule type="expression" priority="26" aboveAverage="0" equalAverage="0" bottom="0" percent="0" rank="0" text="" dxfId="24">
      <formula>$H$39&gt;=21.2</formula>
    </cfRule>
  </conditionalFormatting>
  <conditionalFormatting sqref="G37">
    <cfRule type="expression" priority="28" aboveAverage="0" equalAverage="0" bottom="0" percent="0" rank="0" text="" dxfId="26">
      <formula>$H$37&gt;=14.9</formula>
    </cfRule>
  </conditionalFormatting>
  <conditionalFormatting sqref="G35">
    <cfRule type="expression" priority="30" aboveAverage="0" equalAverage="0" bottom="0" percent="0" rank="0" text="" dxfId="28">
      <formula>$H$35&gt;=18.1</formula>
    </cfRule>
  </conditionalFormatting>
  <conditionalFormatting sqref="G33">
    <cfRule type="expression" priority="32" aboveAverage="0" equalAverage="0" bottom="0" percent="0" rank="0" text="" dxfId="30">
      <formula>$H$33&gt;=17</formula>
    </cfRule>
  </conditionalFormatting>
  <conditionalFormatting sqref="G31">
    <cfRule type="expression" priority="34" aboveAverage="0" equalAverage="0" bottom="0" percent="0" rank="0" text="" dxfId="32">
      <formula>$H$31&gt;=20</formula>
    </cfRule>
  </conditionalFormatting>
  <conditionalFormatting sqref="G29">
    <cfRule type="expression" priority="36" aboveAverage="0" equalAverage="0" bottom="0" percent="0" rank="0" text="" dxfId="34">
      <formula>$H$29&gt;=14</formula>
    </cfRule>
  </conditionalFormatting>
  <conditionalFormatting sqref="G27">
    <cfRule type="expression" priority="38" aboveAverage="0" equalAverage="0" bottom="0" percent="0" rank="0" text="" dxfId="36">
      <formula>$H$27&gt;=19</formula>
    </cfRule>
  </conditionalFormatting>
  <conditionalFormatting sqref="G25">
    <cfRule type="expression" priority="40" aboveAverage="0" equalAverage="0" bottom="0" percent="0" rank="0" text="" dxfId="38">
      <formula>$H$25&gt;=18.4</formula>
    </cfRule>
  </conditionalFormatting>
  <conditionalFormatting sqref="G23">
    <cfRule type="expression" priority="42" aboveAverage="0" equalAverage="0" bottom="0" percent="0" rank="0" text="" dxfId="40">
      <formula>$H$23&gt;=20.8</formula>
    </cfRule>
  </conditionalFormatting>
  <conditionalFormatting sqref="F63">
    <cfRule type="expression" priority="44" aboveAverage="0" equalAverage="0" bottom="0" percent="0" rank="0" text="" dxfId="42">
      <formula>AND($G$63&lt;=-2)</formula>
    </cfRule>
  </conditionalFormatting>
  <conditionalFormatting sqref="E63">
    <cfRule type="expression" priority="45" aboveAverage="0" equalAverage="0" bottom="0" percent="0" rank="0" text="" dxfId="43">
      <formula>AND($G$63&gt;-2,$G$63&lt;=0)</formula>
    </cfRule>
  </conditionalFormatting>
  <conditionalFormatting sqref="D63">
    <cfRule type="expression" priority="46" aboveAverage="0" equalAverage="0" bottom="0" percent="0" rank="0" text="" dxfId="44">
      <formula>AND($G$63&gt;0)</formula>
    </cfRule>
  </conditionalFormatting>
  <conditionalFormatting sqref="F53">
    <cfRule type="expression" priority="47" aboveAverage="0" equalAverage="0" bottom="0" percent="0" rank="0" text="" dxfId="45">
      <formula>$H$53&gt;=40</formula>
    </cfRule>
  </conditionalFormatting>
  <conditionalFormatting sqref="F55">
    <cfRule type="expression" priority="48" aboveAverage="0" equalAverage="0" bottom="0" percent="0" rank="0" text="" dxfId="46">
      <formula>AND(H55&gt;=25,H55&lt;30)</formula>
    </cfRule>
  </conditionalFormatting>
  <conditionalFormatting sqref="F51">
    <cfRule type="expression" priority="49" aboveAverage="0" equalAverage="0" bottom="0" percent="0" rank="0" text="" dxfId="47">
      <formula>$H$51&gt;=36.5</formula>
    </cfRule>
  </conditionalFormatting>
  <conditionalFormatting sqref="F49">
    <cfRule type="expression" priority="50" aboveAverage="0" equalAverage="0" bottom="0" percent="0" rank="0" text="" dxfId="48">
      <formula>$H$49&gt;=33.8</formula>
    </cfRule>
  </conditionalFormatting>
  <conditionalFormatting sqref="F47">
    <cfRule type="expression" priority="51" aboveAverage="0" equalAverage="0" bottom="0" percent="0" rank="0" text="" dxfId="49">
      <formula>$H$47&gt;=29</formula>
    </cfRule>
  </conditionalFormatting>
  <conditionalFormatting sqref="F45">
    <cfRule type="expression" priority="52" aboveAverage="0" equalAverage="0" bottom="0" percent="0" rank="0" text="" dxfId="50">
      <formula>$H$45&gt;=21.4</formula>
    </cfRule>
  </conditionalFormatting>
  <conditionalFormatting sqref="F43">
    <cfRule type="expression" priority="53" aboveAverage="0" equalAverage="0" bottom="0" percent="0" rank="0" text="" dxfId="51">
      <formula>$H$43&gt;=21.9</formula>
    </cfRule>
  </conditionalFormatting>
  <conditionalFormatting sqref="F41">
    <cfRule type="expression" priority="54" aboveAverage="0" equalAverage="0" bottom="0" percent="0" rank="0" text="" dxfId="52">
      <formula>$H$41&gt;=16</formula>
    </cfRule>
  </conditionalFormatting>
  <conditionalFormatting sqref="F39">
    <cfRule type="expression" priority="55" aboveAverage="0" equalAverage="0" bottom="0" percent="0" rank="0" text="" dxfId="53">
      <formula>$H$39&gt;=18</formula>
    </cfRule>
  </conditionalFormatting>
  <conditionalFormatting sqref="F37">
    <cfRule type="expression" priority="56" aboveAverage="0" equalAverage="0" bottom="0" percent="0" rank="0" text="" dxfId="54">
      <formula>$H$37&gt;=12</formula>
    </cfRule>
  </conditionalFormatting>
  <conditionalFormatting sqref="F35">
    <cfRule type="expression" priority="57" aboveAverage="0" equalAverage="0" bottom="0" percent="0" rank="0" text="" dxfId="55">
      <formula>$H$35&gt;=16</formula>
    </cfRule>
  </conditionalFormatting>
  <conditionalFormatting sqref="F33">
    <cfRule type="expression" priority="58" aboveAverage="0" equalAverage="0" bottom="0" percent="0" rank="0" text="" dxfId="56">
      <formula>$H$33&gt;=17</formula>
    </cfRule>
  </conditionalFormatting>
  <conditionalFormatting sqref="F31">
    <cfRule type="expression" priority="59" aboveAverage="0" equalAverage="0" bottom="0" percent="0" rank="0" text="" dxfId="57">
      <formula>$H$31&gt;=17</formula>
    </cfRule>
  </conditionalFormatting>
  <conditionalFormatting sqref="F29">
    <cfRule type="expression" priority="60" aboveAverage="0" equalAverage="0" bottom="0" percent="0" rank="0" text="" dxfId="58">
      <formula>$H$29&gt;=13</formula>
    </cfRule>
  </conditionalFormatting>
  <conditionalFormatting sqref="F27">
    <cfRule type="expression" priority="61" aboveAverage="0" equalAverage="0" bottom="0" percent="0" rank="0" text="" dxfId="59">
      <formula>$H$27&gt;=18</formula>
    </cfRule>
  </conditionalFormatting>
  <conditionalFormatting sqref="F25">
    <cfRule type="expression" priority="62" aboveAverage="0" equalAverage="0" bottom="0" percent="0" rank="0" text="" dxfId="60">
      <formula>$H$25&gt;=19</formula>
    </cfRule>
  </conditionalFormatting>
  <conditionalFormatting sqref="F23">
    <cfRule type="expression" priority="63" aboveAverage="0" equalAverage="0" bottom="0" percent="0" rank="0" text="" dxfId="61">
      <formula>$H$23&gt;=18</formula>
    </cfRule>
  </conditionalFormatting>
  <conditionalFormatting sqref="F21">
    <cfRule type="expression" priority="64" aboveAverage="0" equalAverage="0" bottom="0" percent="0" rank="0" text="" dxfId="62">
      <formula>$H$21&gt;=18</formula>
    </cfRule>
  </conditionalFormatting>
  <conditionalFormatting sqref="F19">
    <cfRule type="expression" priority="65" aboveAverage="0" equalAverage="0" bottom="0" percent="0" rank="0" text="" dxfId="63">
      <formula>$H$19&gt;=628</formula>
    </cfRule>
  </conditionalFormatting>
  <conditionalFormatting sqref="F17">
    <cfRule type="expression" priority="66" aboveAverage="0" equalAverage="0" bottom="0" percent="0" rank="0" text="" dxfId="64">
      <formula>$H$17&gt;=636</formula>
    </cfRule>
  </conditionalFormatting>
  <conditionalFormatting sqref="F15">
    <cfRule type="expression" priority="67" aboveAverage="0" equalAverage="0" bottom="0" percent="0" rank="0" text="" dxfId="65">
      <formula>$H$15&gt;=643</formula>
    </cfRule>
  </conditionalFormatting>
  <conditionalFormatting sqref="F13">
    <cfRule type="expression" priority="68" aboveAverage="0" equalAverage="0" bottom="0" percent="0" rank="0" text="" dxfId="66">
      <formula>$H$13&gt;=649</formula>
    </cfRule>
  </conditionalFormatting>
  <conditionalFormatting sqref="F11">
    <cfRule type="expression" priority="69" aboveAverage="0" equalAverage="0" bottom="0" percent="0" rank="0" text="" dxfId="67">
      <formula>$H$11&gt;=655</formula>
    </cfRule>
  </conditionalFormatting>
  <conditionalFormatting sqref="F9">
    <cfRule type="expression" priority="70" aboveAverage="0" equalAverage="0" bottom="0" percent="0" rank="0" text="" dxfId="68">
      <formula>$H$9&gt;=667</formula>
    </cfRule>
  </conditionalFormatting>
  <conditionalFormatting sqref="F7">
    <cfRule type="expression" priority="71" aboveAverage="0" equalAverage="0" bottom="0" percent="0" rank="0" text="" dxfId="69">
      <formula>$H$7&gt;=18</formula>
    </cfRule>
  </conditionalFormatting>
  <conditionalFormatting sqref="D53">
    <cfRule type="expression" priority="72" aboveAverage="0" equalAverage="0" bottom="0" percent="0" rank="0" text="" dxfId="70">
      <formula>AND($H$53&lt;38)</formula>
    </cfRule>
  </conditionalFormatting>
  <conditionalFormatting sqref="E55">
    <cfRule type="expression" priority="73" aboveAverage="0" equalAverage="0" bottom="0" percent="0" rank="0" text="" dxfId="71">
      <formula>AND(H55&gt;=20,H55&lt;25)</formula>
    </cfRule>
  </conditionalFormatting>
  <conditionalFormatting sqref="E53">
    <cfRule type="expression" priority="74" aboveAverage="0" equalAverage="0" bottom="0" percent="0" rank="0" text="" dxfId="72">
      <formula>AND($H$53&gt;=38,$H$53&lt;40)</formula>
    </cfRule>
  </conditionalFormatting>
  <conditionalFormatting sqref="E51">
    <cfRule type="expression" priority="75" aboveAverage="0" equalAverage="0" bottom="0" percent="0" rank="0" text="" dxfId="73">
      <formula>AND($H$51&gt;=21,$H$51&lt;36.5)</formula>
    </cfRule>
  </conditionalFormatting>
  <conditionalFormatting sqref="E49">
    <cfRule type="expression" priority="76" aboveAverage="0" equalAverage="0" bottom="0" percent="0" rank="0" text="" dxfId="74">
      <formula>AND($H$49&gt;=26,$H$49&lt;33.8)</formula>
    </cfRule>
  </conditionalFormatting>
  <conditionalFormatting sqref="E47">
    <cfRule type="expression" priority="77" aboveAverage="0" equalAverage="0" bottom="0" percent="0" rank="0" text="" dxfId="75">
      <formula>AND($H$47&gt;=25,$H$47&lt;29)</formula>
    </cfRule>
  </conditionalFormatting>
  <conditionalFormatting sqref="E45">
    <cfRule type="expression" priority="78" aboveAverage="0" equalAverage="0" bottom="0" percent="0" rank="0" text="" dxfId="76">
      <formula>AND($H$45&gt;=16,$H$45&lt;21.4)</formula>
    </cfRule>
  </conditionalFormatting>
  <conditionalFormatting sqref="E43">
    <cfRule type="expression" priority="79" aboveAverage="0" equalAverage="0" bottom="0" percent="0" rank="0" text="" dxfId="77">
      <formula>AND($H$43&gt;=17,$H$43 &lt;21.9)</formula>
    </cfRule>
  </conditionalFormatting>
  <conditionalFormatting sqref="E41">
    <cfRule type="expression" priority="80" aboveAverage="0" equalAverage="0" bottom="0" percent="0" rank="0" text="" dxfId="78">
      <formula>AND($H$41&gt;=14,$H$41&lt;16)</formula>
    </cfRule>
  </conditionalFormatting>
  <conditionalFormatting sqref="E39">
    <cfRule type="expression" priority="81" aboveAverage="0" equalAverage="0" bottom="0" percent="0" rank="0" text="" dxfId="79">
      <formula>AND($H$39&gt;=16,$H$39&lt;18)</formula>
    </cfRule>
  </conditionalFormatting>
  <conditionalFormatting sqref="E37">
    <cfRule type="expression" priority="82" aboveAverage="0" equalAverage="0" bottom="0" percent="0" rank="0" text="" dxfId="80">
      <formula>AND($H$37&gt;=10,$H$37&lt;12)</formula>
    </cfRule>
  </conditionalFormatting>
  <conditionalFormatting sqref="E35">
    <cfRule type="expression" priority="83" aboveAverage="0" equalAverage="0" bottom="0" percent="0" rank="0" text="" dxfId="81">
      <formula>AND($H$35&gt;=14,$H$35&lt;16)</formula>
    </cfRule>
  </conditionalFormatting>
  <conditionalFormatting sqref="E33">
    <cfRule type="expression" priority="84" aboveAverage="0" equalAverage="0" bottom="0" percent="0" rank="0" text="" dxfId="82">
      <formula>AND($H$33&gt;=15,$H$33&lt;17)</formula>
    </cfRule>
  </conditionalFormatting>
  <conditionalFormatting sqref="E31">
    <cfRule type="expression" priority="85" aboveAverage="0" equalAverage="0" bottom="0" percent="0" rank="0" text="" dxfId="83">
      <formula>AND($H$31&gt;=15,$H$31&lt;17)</formula>
    </cfRule>
  </conditionalFormatting>
  <conditionalFormatting sqref="E29">
    <cfRule type="expression" priority="86" aboveAverage="0" equalAverage="0" bottom="0" percent="0" rank="0" text="" dxfId="84">
      <formula>AND($H$29&gt;=11,$H$29&lt;13)</formula>
    </cfRule>
  </conditionalFormatting>
  <conditionalFormatting sqref="E25">
    <cfRule type="expression" priority="87" aboveAverage="0" equalAverage="0" bottom="0" percent="0" rank="0" text="" dxfId="85">
      <formula>AND($H$25&gt;=17,$H$25&lt;19)</formula>
    </cfRule>
  </conditionalFormatting>
  <conditionalFormatting sqref="E27">
    <cfRule type="expression" priority="88" aboveAverage="0" equalAverage="0" bottom="0" percent="0" rank="0" text="" dxfId="86">
      <formula>AND($H$27&gt;=16,$H$27&lt;18)</formula>
    </cfRule>
  </conditionalFormatting>
  <conditionalFormatting sqref="E23">
    <cfRule type="expression" priority="89" aboveAverage="0" equalAverage="0" bottom="0" percent="0" rank="0" text="" dxfId="87">
      <formula>AND($H$23&gt;=16,$H$23&lt;18)</formula>
    </cfRule>
  </conditionalFormatting>
  <conditionalFormatting sqref="E21">
    <cfRule type="expression" priority="90" aboveAverage="0" equalAverage="0" bottom="0" percent="0" rank="0" text="" dxfId="88">
      <formula>AND($H$21&gt;=15,$H$21&lt;18)</formula>
    </cfRule>
  </conditionalFormatting>
  <conditionalFormatting sqref="E19">
    <cfRule type="expression" priority="91" aboveAverage="0" equalAverage="0" bottom="0" percent="0" rank="0" text="" dxfId="89">
      <formula>AND($H$19&gt;=625,$H$19&lt;628)</formula>
    </cfRule>
  </conditionalFormatting>
  <conditionalFormatting sqref="E17">
    <cfRule type="expression" priority="92" aboveAverage="0" equalAverage="0" bottom="0" percent="0" rank="0" text="" dxfId="90">
      <formula>AND($H$17&gt;=634,$H$17&lt;636)</formula>
    </cfRule>
  </conditionalFormatting>
  <conditionalFormatting sqref="E15">
    <cfRule type="expression" priority="93" aboveAverage="0" equalAverage="0" bottom="0" percent="0" rank="0" text="" dxfId="91">
      <formula>AND($H$15&gt;=641,$H$15&lt;643)</formula>
    </cfRule>
  </conditionalFormatting>
  <conditionalFormatting sqref="E13">
    <cfRule type="expression" priority="94" aboveAverage="0" equalAverage="0" bottom="0" percent="0" rank="0" text="" dxfId="92">
      <formula>AND($H$13&gt;=647,$H$13&lt;649)</formula>
    </cfRule>
  </conditionalFormatting>
  <conditionalFormatting sqref="E11">
    <cfRule type="expression" priority="95" aboveAverage="0" equalAverage="0" bottom="0" percent="0" rank="0" text="" dxfId="93">
      <formula>AND($H$11&gt;=653,$H$11&lt;655)</formula>
    </cfRule>
  </conditionalFormatting>
  <conditionalFormatting sqref="E9">
    <cfRule type="expression" priority="96" aboveAverage="0" equalAverage="0" bottom="0" percent="0" rank="0" text="" dxfId="94">
      <formula>AND($H$9&gt;=665,$H$9&lt;667)</formula>
    </cfRule>
  </conditionalFormatting>
  <conditionalFormatting sqref="D55">
    <cfRule type="expression" priority="97" aboveAverage="0" equalAverage="0" bottom="0" percent="0" rank="0" text="" dxfId="95">
      <formula>AND($H$55&lt;20)</formula>
    </cfRule>
  </conditionalFormatting>
  <conditionalFormatting sqref="D51">
    <cfRule type="expression" priority="98" aboveAverage="0" equalAverage="0" bottom="0" percent="0" rank="0" text="" dxfId="96">
      <formula>AND($H$51&lt;21)</formula>
    </cfRule>
  </conditionalFormatting>
  <conditionalFormatting sqref="D49">
    <cfRule type="expression" priority="99" aboveAverage="0" equalAverage="0" bottom="0" percent="0" rank="0" text="" dxfId="97">
      <formula>AND($H$49&lt;26)</formula>
    </cfRule>
  </conditionalFormatting>
  <conditionalFormatting sqref="D47">
    <cfRule type="expression" priority="100" aboveAverage="0" equalAverage="0" bottom="0" percent="0" rank="0" text="" dxfId="98">
      <formula>AND($H$47&lt;25)</formula>
    </cfRule>
  </conditionalFormatting>
  <conditionalFormatting sqref="D45">
    <cfRule type="expression" priority="101" aboveAverage="0" equalAverage="0" bottom="0" percent="0" rank="0" text="" dxfId="99">
      <formula>AND($H$45&lt;16)</formula>
    </cfRule>
  </conditionalFormatting>
  <conditionalFormatting sqref="D43">
    <cfRule type="expression" priority="102" aboveAverage="0" equalAverage="0" bottom="0" percent="0" rank="0" text="" dxfId="100">
      <formula>AND($H$43&lt;17)</formula>
    </cfRule>
  </conditionalFormatting>
  <conditionalFormatting sqref="D41">
    <cfRule type="expression" priority="103" aboveAverage="0" equalAverage="0" bottom="0" percent="0" rank="0" text="" dxfId="101">
      <formula>AND($H$41&lt;14)</formula>
    </cfRule>
  </conditionalFormatting>
  <conditionalFormatting sqref="D39">
    <cfRule type="expression" priority="104" aboveAverage="0" equalAverage="0" bottom="0" percent="0" rank="0" text="" dxfId="102">
      <formula>AND($H$39&lt;16)</formula>
    </cfRule>
  </conditionalFormatting>
  <conditionalFormatting sqref="D37">
    <cfRule type="expression" priority="105" aboveAverage="0" equalAverage="0" bottom="0" percent="0" rank="0" text="" dxfId="103">
      <formula>AND($H$37&lt;10)</formula>
    </cfRule>
  </conditionalFormatting>
  <conditionalFormatting sqref="D35">
    <cfRule type="expression" priority="106" aboveAverage="0" equalAverage="0" bottom="0" percent="0" rank="0" text="" dxfId="104">
      <formula>AND(H$35&lt;14)</formula>
    </cfRule>
  </conditionalFormatting>
  <conditionalFormatting sqref="D33">
    <cfRule type="expression" priority="107" aboveAverage="0" equalAverage="0" bottom="0" percent="0" rank="0" text="" dxfId="105">
      <formula>AND($H$33&lt;15)</formula>
    </cfRule>
  </conditionalFormatting>
  <conditionalFormatting sqref="D31">
    <cfRule type="expression" priority="108" aboveAverage="0" equalAverage="0" bottom="0" percent="0" rank="0" text="" dxfId="106">
      <formula>AND($H$31&lt;15)</formula>
    </cfRule>
  </conditionalFormatting>
  <conditionalFormatting sqref="D29">
    <cfRule type="expression" priority="109" aboveAverage="0" equalAverage="0" bottom="0" percent="0" rank="0" text="" dxfId="107">
      <formula>AND($H$29&lt;11)</formula>
    </cfRule>
  </conditionalFormatting>
  <conditionalFormatting sqref="D27">
    <cfRule type="expression" priority="110" aboveAverage="0" equalAverage="0" bottom="0" percent="0" rank="0" text="" dxfId="108">
      <formula>AND($H$27&lt;16)</formula>
    </cfRule>
  </conditionalFormatting>
  <conditionalFormatting sqref="D25">
    <cfRule type="expression" priority="111" aboveAverage="0" equalAverage="0" bottom="0" percent="0" rank="0" text="" dxfId="109">
      <formula>AND($H$25&lt;17)</formula>
    </cfRule>
  </conditionalFormatting>
  <conditionalFormatting sqref="D23">
    <cfRule type="expression" priority="112" aboveAverage="0" equalAverage="0" bottom="0" percent="0" rank="0" text="" dxfId="110">
      <formula>AND($H$23&lt;16)</formula>
    </cfRule>
  </conditionalFormatting>
  <conditionalFormatting sqref="D21">
    <cfRule type="expression" priority="113" aboveAverage="0" equalAverage="0" bottom="0" percent="0" rank="0" text="" dxfId="111">
      <formula>AND($H$21&lt;15)</formula>
    </cfRule>
  </conditionalFormatting>
  <conditionalFormatting sqref="D19">
    <cfRule type="expression" priority="114" aboveAverage="0" equalAverage="0" bottom="0" percent="0" rank="0" text="" dxfId="112">
      <formula>AND($H$19&lt;625)</formula>
    </cfRule>
  </conditionalFormatting>
  <conditionalFormatting sqref="D17">
    <cfRule type="expression" priority="115" aboveAverage="0" equalAverage="0" bottom="0" percent="0" rank="0" text="" dxfId="113">
      <formula>AND($H$17&lt;634)</formula>
    </cfRule>
  </conditionalFormatting>
  <conditionalFormatting sqref="D15">
    <cfRule type="expression" priority="116" aboveAverage="0" equalAverage="0" bottom="0" percent="0" rank="0" text="" dxfId="114">
      <formula>AND($H$15&lt;641)</formula>
    </cfRule>
  </conditionalFormatting>
  <conditionalFormatting sqref="D13">
    <cfRule type="expression" priority="117" aboveAverage="0" equalAverage="0" bottom="0" percent="0" rank="0" text="" dxfId="115">
      <formula>AND($H$13&lt;647)</formula>
    </cfRule>
  </conditionalFormatting>
  <conditionalFormatting sqref="D11">
    <cfRule type="expression" priority="118" aboveAverage="0" equalAverage="0" bottom="0" percent="0" rank="0" text="" dxfId="116">
      <formula>AND($H$11&lt;653)</formula>
    </cfRule>
  </conditionalFormatting>
  <conditionalFormatting sqref="D9">
    <cfRule type="expression" priority="119" aboveAverage="0" equalAverage="0" bottom="0" percent="0" rank="0" text="" dxfId="117">
      <formula>AND($H$9&lt;665)</formula>
    </cfRule>
  </conditionalFormatting>
  <conditionalFormatting sqref="E7">
    <cfRule type="expression" priority="120" aboveAverage="0" equalAverage="0" bottom="0" percent="0" rank="0" text="" dxfId="118">
      <formula>AND($H$7&gt;=16,$H$7&lt;18)</formula>
    </cfRule>
  </conditionalFormatting>
  <conditionalFormatting sqref="D7">
    <cfRule type="expression" priority="121" aboveAverage="0" equalAverage="0" bottom="0" percent="0" rank="0" text="" dxfId="119">
      <formula>AND($H$7&lt;16)</formula>
    </cfRule>
  </conditionalFormatting>
  <conditionalFormatting sqref="F5">
    <cfRule type="expression" priority="122" aboveAverage="0" equalAverage="0" bottom="0" percent="0" rank="0" text="" dxfId="120">
      <formula>$H$5&gt;=17</formula>
    </cfRule>
  </conditionalFormatting>
  <conditionalFormatting sqref="E5">
    <cfRule type="expression" priority="123" aboveAverage="0" equalAverage="0" bottom="0" percent="0" rank="0" text="" dxfId="121">
      <formula>AND($H$5&gt;=14,$H$5&lt;17)</formula>
    </cfRule>
  </conditionalFormatting>
  <conditionalFormatting sqref="D5">
    <cfRule type="expression" priority="124" aboveAverage="0" equalAverage="0" bottom="0" percent="0" rank="0" text="" dxfId="122">
      <formula>AND($H$5&lt;14)</formula>
    </cfRule>
  </conditionalFormatting>
  <conditionalFormatting sqref="F3">
    <cfRule type="expression" priority="125" aboveAverage="0" equalAverage="0" bottom="0" percent="0" rank="0" text="" dxfId="123">
      <formula>$H$3&gt;=17</formula>
    </cfRule>
  </conditionalFormatting>
  <conditionalFormatting sqref="E3">
    <cfRule type="expression" priority="126" aboveAverage="0" equalAverage="0" bottom="0" percent="0" rank="0" text="" dxfId="124">
      <formula>AND($H$3&gt;=14,$H$3&lt;17)</formula>
    </cfRule>
  </conditionalFormatting>
  <conditionalFormatting sqref="D3">
    <cfRule type="expression" priority="127" aboveAverage="0" equalAverage="0" bottom="0" percent="0" rank="0" text="" dxfId="125">
      <formula>AND($H$3&lt;14)</formula>
    </cfRule>
  </conditionalFormatting>
  <dataValidations count="1">
    <dataValidation allowBlank="true" errorStyle="stop" operator="between" prompt="Do not modify this cell, the data is automatically carried over from cell H29" showDropDown="false" showErrorMessage="true" showInputMessage="true" sqref="H53:M53 J54 M54 G63" type="none">
      <formula1>0</formula1>
      <formula2>0</formula2>
    </dataValidation>
  </dataValidations>
  <hyperlinks>
    <hyperlink ref="B3" r:id="rId1" display="St. Paul (STPM5)"/>
    <hyperlink ref="B5" r:id="rId2" display="St. Paul (STPM5)"/>
    <hyperlink ref="B7" r:id="rId3" display="Alma (ALMW3)"/>
    <hyperlink ref="B9" r:id="rId4" display="Minnesota City (MSCM5)"/>
    <hyperlink ref="B11" r:id="rId5" display="Winona Dam 5A (WIDM5)"/>
    <hyperlink ref="B13" r:id="rId6" display="Trempealaeu (TREW3)"/>
    <hyperlink ref="B15" r:id="rId7" display="La Crescent (LCRM5)"/>
    <hyperlink ref="B17" r:id="rId8" display="Genoa (GENW3)"/>
    <hyperlink ref="B19" r:id="rId9" display="Lynxville (LYNW3)"/>
    <hyperlink ref="B21" r:id="rId10" display="Guttenberg (GTTI4)"/>
    <hyperlink ref="B23" r:id="rId11" display="Dubuque L&amp;D 11 (DLDI4)"/>
    <hyperlink ref="B25" r:id="rId12" display="Bellevue (BLVI4)"/>
    <hyperlink ref="B27" r:id="rId13" display="Fulton (FLTI2)"/>
    <hyperlink ref="B29" r:id="rId14" display="LeClaire (LECI4)"/>
    <hyperlink ref="B31" r:id="rId15" display="Rock Island (RCKI2)"/>
    <hyperlink ref="B33" r:id="rId16" display="Illinois City (ILNI2)"/>
    <hyperlink ref="B35" r:id="rId17" display="New Boston (NBOI2)"/>
    <hyperlink ref="B37" r:id="rId18" display="Gladstone (GLDI2)"/>
    <hyperlink ref="B39" r:id="rId19" display="Keokuk (EOKI4)"/>
    <hyperlink ref="B41" r:id="rId20" display="Canton L&amp;D 20 (CANM7)"/>
    <hyperlink ref="B43" r:id="rId21" display="Quincy L&amp;D 21 (QLDI2)"/>
    <hyperlink ref="B45" r:id="rId22" display="Saverton L&amp;D 22 (SVRM7)"/>
    <hyperlink ref="B47" r:id="rId23" display="Clarksville L&amp;D 24 (CLKM7)"/>
    <hyperlink ref="B49" r:id="rId24" display="Winfield L&amp;D 25 (CAGM7)"/>
    <hyperlink ref="B51" r:id="rId25" display="Mel Price (Alton) L&amp;D (ALNI2)"/>
    <hyperlink ref="B53" r:id="rId26" display="St. Louis (EADM7)"/>
    <hyperlink ref="B55" r:id="rId27" display="St. Louis (EADM7)"/>
    <hyperlink ref="B58" r:id="rId28" display="St. Louis (EADM7)"/>
    <hyperlink ref="B63" r:id="rId29" display="St. Louis (EADM7)"/>
  </hyperlinks>
  <printOptions headings="false" gridLines="false" gridLinesSet="true" horizontalCentered="true" verticalCentered="true"/>
  <pageMargins left="0.25" right="0.25" top="0.25" bottom="0.2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3" id="{646640E2-A3FC-4CCD-97CD-AB823F7DC8D4}">
            <xm:f>AND(Forecasted_Data!BM149&gt;=45,H55&lt;45)</xm:f>
            <x14:dxf>
              <fill>
                <patternFill>
                  <bgColor rgb="FFFFFF00"/>
                </patternFill>
              </fill>
            </x14:dxf>
          </x14:cfRule>
          <xm:sqref>G57</xm:sqref>
        </x14:conditionalFormatting>
        <x14:conditionalFormatting xmlns:xm="http://schemas.microsoft.com/office/excel/2006/main">
          <x14:cfRule type="expression" priority="5" id="{8EF0487C-5111-48C5-9197-20E14030C2DB}">
            <xm:f>AND(Forecasted_Data!BM149&gt;=38,H55&lt;38)</xm:f>
            <x14:dxf>
              <fill>
                <patternFill>
                  <bgColor rgb="FF92D050"/>
                </patternFill>
              </fill>
            </x14:dxf>
          </x14:cfRule>
          <xm:sqref>G55:G56</xm:sqref>
        </x14:conditionalFormatting>
        <x14:conditionalFormatting xmlns:xm="http://schemas.microsoft.com/office/excel/2006/main">
          <x14:cfRule type="expression" priority="8" id="{3154F760-1621-448B-9757-FD77F21A1D14}">
            <xm:f>AND(Forecasted_Data!BM149&gt;=45,H58&lt;45)</xm:f>
            <x14:dxf>
              <fill>
                <patternFill>
                  <bgColor rgb="FFFF0000"/>
                </patternFill>
              </fill>
            </x14:dxf>
          </x14:cfRule>
          <xm:sqref>G58</xm:sqref>
        </x14:conditionalFormatting>
        <x14:conditionalFormatting xmlns:xm="http://schemas.microsoft.com/office/excel/2006/main">
          <x14:cfRule type="expression" priority="13" id="{8A21EB47-57E3-44FE-8C8B-D0B7DA12A5FD}">
            <xm:f>AND(Forecasted_Data!BM149&gt;=38.5,H53&lt;38.5)</xm:f>
            <x14:dxf>
              <fill>
                <patternFill>
                  <bgColor rgb="FFFF0000"/>
                </patternFill>
              </fill>
            </x14:dxf>
          </x14:cfRule>
          <xm:sqref>G53</xm:sqref>
        </x14:conditionalFormatting>
        <x14:conditionalFormatting xmlns:xm="http://schemas.microsoft.com/office/excel/2006/main">
          <x14:cfRule type="expression" priority="15" id="{FB5F71DD-2A80-4D70-BA85-DADF28594046}">
            <xm:f>AND(Forecasted_Data!BK86&gt;=34,H51&lt;34)</xm:f>
            <x14:dxf>
              <fill>
                <patternFill>
                  <bgColor rgb="FFFFFF00"/>
                </patternFill>
              </fill>
            </x14:dxf>
          </x14:cfRule>
          <xm:sqref>G51</xm:sqref>
        </x14:conditionalFormatting>
        <x14:conditionalFormatting xmlns:xm="http://schemas.microsoft.com/office/excel/2006/main">
          <x14:cfRule type="expression" priority="17" id="{89E8C457-52AD-4B67-B31E-3B5C91DE5535}">
            <xm:f>AND(Forecasted_Data!BI86&gt;=33.5,H49&lt;33.5)</xm:f>
            <x14:dxf>
              <fill>
                <patternFill>
                  <bgColor rgb="FF92D050"/>
                </patternFill>
              </fill>
            </x14:dxf>
          </x14:cfRule>
          <xm:sqref>G49</xm:sqref>
        </x14:conditionalFormatting>
        <x14:conditionalFormatting xmlns:xm="http://schemas.microsoft.com/office/excel/2006/main">
          <x14:cfRule type="expression" priority="19" id="{308F3ACF-383D-4DD1-A01F-D8F3AA56FC34}">
            <xm:f>AND(Forecasted_Data!BG86&gt;=32.5,H47&lt;32.5)</xm:f>
            <x14:dxf>
              <fill>
                <patternFill>
                  <bgColor rgb="FFFF0000"/>
                </patternFill>
              </fill>
            </x14:dxf>
          </x14:cfRule>
          <xm:sqref>G47</xm:sqref>
        </x14:conditionalFormatting>
        <x14:conditionalFormatting xmlns:xm="http://schemas.microsoft.com/office/excel/2006/main">
          <x14:cfRule type="expression" priority="21" id="{54104E5E-9F79-4BED-9130-CC76C5FD90A8}">
            <xm:f>AND(Forecasted_Data!BE86&gt;=21.4,H45&lt;21.4)</xm:f>
            <x14:dxf>
              <fill>
                <patternFill>
                  <bgColor rgb="FF92D050"/>
                </patternFill>
              </fill>
            </x14:dxf>
          </x14:cfRule>
          <xm:sqref>G45</xm:sqref>
        </x14:conditionalFormatting>
        <x14:conditionalFormatting xmlns:xm="http://schemas.microsoft.com/office/excel/2006/main">
          <x14:cfRule type="expression" priority="23" id="{3EF46199-838D-426A-BC32-B166C5D38E32}">
            <xm:f>AND(Forecasted_Data!BC86&gt;=21.9,H43&lt;21.9)</xm:f>
            <x14:dxf>
              <fill>
                <patternFill>
                  <bgColor rgb="FFFF0000"/>
                </patternFill>
              </fill>
            </x14:dxf>
          </x14:cfRule>
          <xm:sqref>G43</xm:sqref>
        </x14:conditionalFormatting>
        <x14:conditionalFormatting xmlns:xm="http://schemas.microsoft.com/office/excel/2006/main">
          <x14:cfRule type="expression" priority="25" id="{19EB20AB-7AF4-42B9-88E3-1640D9B4EE48}">
            <xm:f>AND(Forecasted_Data!BA86&gt;=18,H41&lt;18)</xm:f>
            <x14:dxf>
              <fill>
                <patternFill>
                  <bgColor rgb="FFFFFF00"/>
                </patternFill>
              </fill>
            </x14:dxf>
          </x14:cfRule>
          <xm:sqref>G41</xm:sqref>
        </x14:conditionalFormatting>
        <x14:conditionalFormatting xmlns:xm="http://schemas.microsoft.com/office/excel/2006/main">
          <x14:cfRule type="expression" priority="27" id="{96FC20C2-C951-42FB-A7E3-1F5F491B386F}">
            <xm:f>AND(Forecasted_Data!AY86&gt;=21.2,H39&lt;21.2)</xm:f>
            <x14:dxf>
              <fill>
                <patternFill>
                  <bgColor rgb="FFFF0000"/>
                </patternFill>
              </fill>
            </x14:dxf>
          </x14:cfRule>
          <xm:sqref>G39</xm:sqref>
        </x14:conditionalFormatting>
        <x14:conditionalFormatting xmlns:xm="http://schemas.microsoft.com/office/excel/2006/main">
          <x14:cfRule type="expression" priority="29" id="{CD40AA81-F2A4-4F4B-A3E3-C8CF3C9D5DA9}">
            <xm:f>AND(Forecasted_Data!AW86&gt;=14.9,H37&lt;14.9)</xm:f>
            <x14:dxf>
              <fill>
                <patternFill>
                  <bgColor rgb="FF92D050"/>
                </patternFill>
              </fill>
            </x14:dxf>
          </x14:cfRule>
          <xm:sqref>G37</xm:sqref>
        </x14:conditionalFormatting>
        <x14:conditionalFormatting xmlns:xm="http://schemas.microsoft.com/office/excel/2006/main">
          <x14:cfRule type="expression" priority="31" id="{AF633FAF-E1B6-48B9-A8E7-ACCE71FAD9C2}">
            <xm:f>AND(Forecasted_Data!AU86&gt;=18.1,H35&lt;18.1)</xm:f>
            <x14:dxf>
              <fill>
                <patternFill>
                  <bgColor rgb="FFFFFF00"/>
                </patternFill>
              </fill>
            </x14:dxf>
          </x14:cfRule>
          <xm:sqref>G35</xm:sqref>
        </x14:conditionalFormatting>
        <x14:conditionalFormatting xmlns:xm="http://schemas.microsoft.com/office/excel/2006/main">
          <x14:cfRule type="expression" priority="33" id="{72E94E62-F6F7-4A60-AD1E-9088599896CB}">
            <xm:f>AND(Forecasted_Data!AS86&gt;=17,H33&lt;17)</xm:f>
            <x14:dxf>
              <fill>
                <patternFill>
                  <bgColor rgb="FFFF0000"/>
                </patternFill>
              </fill>
            </x14:dxf>
          </x14:cfRule>
          <xm:sqref>G33</xm:sqref>
        </x14:conditionalFormatting>
        <x14:conditionalFormatting xmlns:xm="http://schemas.microsoft.com/office/excel/2006/main">
          <x14:cfRule type="expression" priority="35" id="{5D1DEC89-3CD1-4191-AA32-C6372B3CD34D}">
            <xm:f>AND(Forecasted_Data!AQ86&gt;=20,H31&lt;20)</xm:f>
            <x14:dxf>
              <fill>
                <patternFill>
                  <bgColor rgb="FFFFFF00"/>
                </patternFill>
              </fill>
            </x14:dxf>
          </x14:cfRule>
          <xm:sqref>G31</xm:sqref>
        </x14:conditionalFormatting>
        <x14:conditionalFormatting xmlns:xm="http://schemas.microsoft.com/office/excel/2006/main">
          <x14:cfRule type="expression" priority="37" id="{83E7A38A-403B-422D-B65B-2AC312158B4A}">
            <xm:f>AND(Forecasted_Data!AO86&gt;=14,H29&lt;14)</xm:f>
            <x14:dxf>
              <fill>
                <patternFill>
                  <bgColor rgb="FF92D050"/>
                </patternFill>
              </fill>
            </x14:dxf>
          </x14:cfRule>
          <xm:sqref>G29</xm:sqref>
        </x14:conditionalFormatting>
        <x14:conditionalFormatting xmlns:xm="http://schemas.microsoft.com/office/excel/2006/main">
          <x14:cfRule type="expression" priority="39" id="{92E93026-EDB5-4FD5-A6CE-182A8E99807F}">
            <xm:f>AND(Forecasted_Data!AM86&gt;=19,H27&lt;19)</xm:f>
            <x14:dxf>
              <fill>
                <patternFill>
                  <bgColor rgb="FF92D050"/>
                </patternFill>
              </fill>
            </x14:dxf>
          </x14:cfRule>
          <xm:sqref>G27</xm:sqref>
        </x14:conditionalFormatting>
        <x14:conditionalFormatting xmlns:xm="http://schemas.microsoft.com/office/excel/2006/main">
          <x14:cfRule type="expression" priority="41" id="{ACFB8015-D439-43E4-B810-6050125FC5C0}">
            <xm:f>AND(Forecasted_Data!AK86&gt;=18.4,H25&lt;18.4)</xm:f>
            <x14:dxf>
              <fill>
                <patternFill>
                  <bgColor rgb="FFFFFF00"/>
                </patternFill>
              </fill>
            </x14:dxf>
          </x14:cfRule>
          <xm:sqref>G25</xm:sqref>
        </x14:conditionalFormatting>
        <x14:conditionalFormatting xmlns:xm="http://schemas.microsoft.com/office/excel/2006/main">
          <x14:cfRule type="expression" priority="43" id="{E0C6E51E-E0C2-4897-BE86-5FFE4EF1C117}">
            <xm:f>AND(Forecasted_Data!AI86&gt;=20.8,H23&lt;20.8)</xm:f>
            <x14:dxf>
              <fill>
                <patternFill>
                  <bgColor rgb="FFFF0000"/>
                </patternFill>
              </fill>
            </x14:dxf>
          </x14:cfRule>
          <xm:sqref>G23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R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3" activeCellId="0" sqref="J3"/>
    </sheetView>
  </sheetViews>
  <sheetFormatPr defaultColWidth="9.109375" defaultRowHeight="19.5" zeroHeight="false" outlineLevelRow="0" outlineLevelCol="0"/>
  <cols>
    <col collapsed="false" customWidth="true" hidden="false" outlineLevel="0" max="1" min="1" style="95" width="9"/>
    <col collapsed="false" customWidth="true" hidden="false" outlineLevel="0" max="2" min="2" style="95" width="23.11"/>
    <col collapsed="false" customWidth="true" hidden="false" outlineLevel="0" max="5" min="3" style="95" width="14.44"/>
    <col collapsed="false" customWidth="true" hidden="false" outlineLevel="0" max="6" min="6" style="95" width="10.88"/>
    <col collapsed="false" customWidth="true" hidden="false" outlineLevel="0" max="7" min="7" style="95" width="12"/>
    <col collapsed="false" customWidth="true" hidden="false" outlineLevel="0" max="9" min="8" style="95" width="14.33"/>
    <col collapsed="false" customWidth="true" hidden="false" outlineLevel="0" max="10" min="10" style="96" width="8.44"/>
    <col collapsed="false" customWidth="true" hidden="false" outlineLevel="0" max="11" min="11" style="95" width="6.44"/>
    <col collapsed="false" customWidth="true" hidden="false" outlineLevel="0" max="12" min="12" style="95" width="27.67"/>
    <col collapsed="false" customWidth="true" hidden="false" outlineLevel="0" max="13" min="13" style="95" width="4.56"/>
    <col collapsed="false" customWidth="true" hidden="false" outlineLevel="0" max="14" min="14" style="95" width="5.33"/>
    <col collapsed="false" customWidth="true" hidden="false" outlineLevel="0" max="15" min="15" style="95" width="10.33"/>
    <col collapsed="false" customWidth="true" hidden="false" outlineLevel="0" max="16" min="16" style="95" width="11.67"/>
    <col collapsed="false" customWidth="false" hidden="false" outlineLevel="0" max="17" min="17" style="95" width="9.11"/>
    <col collapsed="false" customWidth="true" hidden="false" outlineLevel="0" max="18" min="18" style="95" width="10.66"/>
    <col collapsed="false" customWidth="false" hidden="false" outlineLevel="0" max="16384" min="19" style="95" width="9.11"/>
  </cols>
  <sheetData>
    <row r="1" customFormat="false" ht="19.5" hidden="false" customHeight="true" outlineLevel="0" collapsed="false">
      <c r="A1" s="4" t="s">
        <v>170</v>
      </c>
      <c r="B1" s="4"/>
      <c r="C1" s="4"/>
      <c r="D1" s="4"/>
      <c r="E1" s="4"/>
      <c r="F1" s="4"/>
      <c r="G1" s="4"/>
      <c r="H1" s="4"/>
      <c r="I1" s="4"/>
      <c r="J1" s="4"/>
      <c r="K1" s="5"/>
      <c r="L1" s="6"/>
      <c r="M1" s="7" t="s">
        <v>1</v>
      </c>
      <c r="N1" s="7"/>
      <c r="O1" s="8" t="n">
        <f aca="true">NOW()</f>
        <v>45613.493194213</v>
      </c>
      <c r="P1" s="8"/>
    </row>
    <row r="2" s="2" customFormat="true" ht="25.3" hidden="false" customHeight="false" outlineLevel="0" collapsed="false">
      <c r="A2" s="9" t="s">
        <v>171</v>
      </c>
      <c r="B2" s="10" t="s">
        <v>3</v>
      </c>
      <c r="C2" s="10" t="s">
        <v>172</v>
      </c>
      <c r="D2" s="10" t="s">
        <v>173</v>
      </c>
      <c r="E2" s="10" t="s">
        <v>174</v>
      </c>
      <c r="F2" s="10" t="s">
        <v>5</v>
      </c>
      <c r="G2" s="10" t="s">
        <v>175</v>
      </c>
      <c r="H2" s="10" t="s">
        <v>176</v>
      </c>
      <c r="I2" s="12" t="s">
        <v>177</v>
      </c>
      <c r="J2" s="10" t="s">
        <v>9</v>
      </c>
      <c r="K2" s="12" t="s">
        <v>10</v>
      </c>
      <c r="L2" s="13" t="s">
        <v>178</v>
      </c>
      <c r="M2" s="13"/>
      <c r="N2" s="13"/>
      <c r="O2" s="13"/>
      <c r="P2" s="13"/>
    </row>
    <row r="3" s="2" customFormat="true" ht="27" hidden="false" customHeight="true" outlineLevel="0" collapsed="false">
      <c r="A3" s="50" t="s">
        <v>179</v>
      </c>
      <c r="B3" s="51" t="s">
        <v>180</v>
      </c>
      <c r="C3" s="30" t="s">
        <v>181</v>
      </c>
      <c r="D3" s="30" t="s">
        <v>182</v>
      </c>
      <c r="E3" s="30" t="s">
        <v>183</v>
      </c>
      <c r="F3" s="30" t="s">
        <v>184</v>
      </c>
      <c r="G3" s="30" t="s">
        <v>185</v>
      </c>
      <c r="H3" s="30" t="s">
        <v>186</v>
      </c>
      <c r="I3" s="97" t="s">
        <v>187</v>
      </c>
      <c r="J3" s="98" t="n">
        <f aca="false">[1]ilr!I2</f>
        <v>16.28</v>
      </c>
      <c r="K3" s="34"/>
      <c r="L3" s="99"/>
      <c r="M3" s="100"/>
      <c r="N3" s="101"/>
      <c r="O3" s="102" t="str">
        <f aca="false">IF(L3="Crest at",Forecasted_Data!N86,IF(L3="Falling to",Forecasted_Data!N87,""))</f>
        <v/>
      </c>
      <c r="P3" s="39" t="str">
        <f aca="false">IF(AND(L3="Crest at",Forecasted_Data!M86&lt;=14.2),"(Low Action)",IF(AND(L3="Crest at",Forecasted_Data!M86&gt;14.2,Forecasted_Data!M86&lt;=15.2),"(Low Watch)",IF(AND(L3="Crest at",Forecasted_Data!M86&gt;15.2,Forecasted_Data!M86&lt;18),"(Normal)",IF(AND(L3="Crest at",Forecasted_Data!M86&gt;=18,Forecasted_Data!M86&lt;22),"(Watch)",IF(AND(L3="Crest at",Forecasted_Data!M86&gt;=22),"(Action)",IF(AND(L3="Falling to",Forecasted_Data!M87&lt;=14.2),"(Low Action)",IF(AND(L3="Falling to",Forecasted_Data!M87&gt;14.2,Forecasted_Data!M87&lt;=15.2),"(Low Watch)",IF(AND(L3="Falling to",Forecasted_Data!M87&gt;15.2,Forecasted_Data!M87&lt;18),"(Normal)",IF(AND(L3="Falling to",Forecasted_Data!M87&gt;=18,Forecasted_Data!M87&lt;22),"(Watch)",IF(AND(L3="Falling to",Forecasted_Data!M87&gt;=22),"(Action)",""))))))))))</f>
        <v/>
      </c>
    </row>
    <row r="4" s="2" customFormat="true" ht="27" hidden="false" customHeight="true" outlineLevel="0" collapsed="false">
      <c r="A4" s="50"/>
      <c r="B4" s="51"/>
      <c r="C4" s="30"/>
      <c r="D4" s="30"/>
      <c r="E4" s="30"/>
      <c r="F4" s="30"/>
      <c r="G4" s="30"/>
      <c r="H4" s="30"/>
      <c r="I4" s="97"/>
      <c r="J4" s="98"/>
      <c r="K4" s="34"/>
      <c r="L4" s="40"/>
      <c r="M4" s="40"/>
      <c r="N4" s="40"/>
      <c r="O4" s="41" t="str">
        <f aca="false">IF(AND(OR(P3="(Watch)",P3="(Action)"),J3&gt;15.2,J3&lt;18),Forecasted_Data!N92,IF(AND(P3="(Action)",J3&gt;=18,J3&lt;22),Forecasted_Data!N93,IF(AND(OR(P3="(Watch)",P3="(Normal)"),J3&gt;=22),Forecasted_Data!N88,IF(AND(P3="(Normal)",J3&gt;=18,J3&lt;22),Forecasted_Data!N89,IF(AND(OR(P3="(Low Watch)",P3="(Low Action)"),J3&gt;15.2,J3&lt;18),Forecasted_Data!N94,IF(AND(P3="(Low Action)",J3&lt;=15.2,J3&gt;14.2),Forecasted_Data!N95,IF(AND(OR(P3="(Low Watch)",P3="(Normal)"),J3&lt;=14.2),Forecasted_Data!N90,IF(AND(P3="(Normal)",J3&lt;=15.2,J3&gt;14.2),Forecasted_Data!N91,""))))))))</f>
        <v/>
      </c>
      <c r="P4" s="41"/>
    </row>
    <row r="5" s="2" customFormat="true" ht="25.3" hidden="false" customHeight="false" outlineLevel="0" collapsed="false">
      <c r="A5" s="14" t="s">
        <v>188</v>
      </c>
      <c r="B5" s="15" t="s">
        <v>189</v>
      </c>
      <c r="C5" s="16" t="s">
        <v>190</v>
      </c>
      <c r="D5" s="16" t="s">
        <v>191</v>
      </c>
      <c r="E5" s="16" t="s">
        <v>192</v>
      </c>
      <c r="F5" s="16" t="s">
        <v>193</v>
      </c>
      <c r="G5" s="16" t="s">
        <v>194</v>
      </c>
      <c r="H5" s="16" t="s">
        <v>195</v>
      </c>
      <c r="I5" s="103" t="s">
        <v>196</v>
      </c>
      <c r="J5" s="104" t="n">
        <f aca="false">[1]ilr!I3</f>
        <v>20.13</v>
      </c>
      <c r="K5" s="20"/>
      <c r="L5" s="105"/>
      <c r="M5" s="106"/>
      <c r="N5" s="52"/>
      <c r="O5" s="45" t="str">
        <f aca="false">IF(L5="Crest at",Forecasted_Data!L86,IF(L5="Falling to",Forecasted_Data!L87,""))</f>
        <v/>
      </c>
      <c r="P5" s="25" t="str">
        <f aca="false">IF(AND(L5="Crest at",Forecasted_Data!K86&lt;=18.1),"(Low Action)",IF(AND(L5="Crest at",Forecasted_Data!K86&gt;18.1,Forecasted_Data!K86&lt;=19),"(Low Watch)",IF(AND(L5="Crest at",Forecasted_Data!K86&gt;19,Forecasted_Data!K86&lt;25),"(Normal)",IF(AND(L5="Crest at",Forecasted_Data!K86&gt;=25,Forecasted_Data!K86&lt;33),"(Watch)",IF(AND(L5="Crest at",Forecasted_Data!K86&gt;=33),"(Action)",IF(AND(L5="Falling to",Forecasted_Data!K87&lt;=18.1),"(Low Action)",IF(AND(L5="Falling to",Forecasted_Data!K87&gt;18.1,Forecasted_Data!K87&lt;=19),"(Low Watch)",IF(AND(L5="Falling to",Forecasted_Data!K87&gt;19,Forecasted_Data!K87&lt;25),"(Normal)",IF(AND(L5="Falling to",Forecasted_Data!K87&gt;=25,Forecasted_Data!K87&lt;33),"(Watch)",IF(AND(L5="Falling to",Forecasted_Data!K87&gt;=33),"(Action)",""))))))))))</f>
        <v/>
      </c>
    </row>
    <row r="6" s="2" customFormat="true" ht="25.3" hidden="false" customHeight="false" outlineLevel="0" collapsed="false">
      <c r="A6" s="14"/>
      <c r="B6" s="15"/>
      <c r="C6" s="16"/>
      <c r="D6" s="16"/>
      <c r="E6" s="16"/>
      <c r="F6" s="16"/>
      <c r="G6" s="16"/>
      <c r="H6" s="16"/>
      <c r="I6" s="103" t="s">
        <v>197</v>
      </c>
      <c r="J6" s="104"/>
      <c r="K6" s="20"/>
      <c r="L6" s="26"/>
      <c r="M6" s="26"/>
      <c r="N6" s="26"/>
      <c r="O6" s="27" t="str">
        <f aca="false">IF(AND(J5&lt;34,Forecasted_Data!K86&gt;=34),Forecasted_Data!L96,IF(AND(J5&gt;=34,J5&lt;35.5,Forecasted_Data!K86&gt;=35.5),Forecasted_Data!L97,IF(AND(J5&gt;35.5,Forecasted_Data!K87&lt;35.5),Forecasted_Data!L98,IF(AND(J5&lt;35.5,J5&gt;=34,Forecasted_Data!K87&lt;34),Forecasted_Data!L99,IF(AND(OR(P5="(Watch)",P5="(Action)"),J5&gt;19,J5&lt;25),Forecasted_Data!L92,IF(AND(P5="(Action)",J5&gt;=25,J5&lt;33),Forecasted_Data!L93,IF(AND(OR(P5="(Watch)",P5="(Normal)"),J5&gt;=33),Forecasted_Data!L88,IF(AND(P5="(Normal)",J5&gt;=25,J5&lt;33),Forecasted_Data!L89,IF(AND(OR(P5="(Low Watch)",P5="(Low Action)"),J5&gt;19,J5&lt;25),Forecasted_Data!L94,IF(AND(P5="(Low Action)",J5&lt;=19,J5&gt;18.1),Forecasted_Data!L95,IF(AND(OR(P5="(Low Watch)",P5="(Normal)"),J5&lt;=18.1),Forecasted_Data!L90,IF(AND(P5="(Normal)",J5&lt;=19,J5&gt;18.1),Forecasted_Data!L91,""))))))))))))</f>
        <v/>
      </c>
      <c r="P6" s="27"/>
    </row>
    <row r="7" s="2" customFormat="true" ht="25.3" hidden="false" customHeight="false" outlineLevel="0" collapsed="false">
      <c r="A7" s="50" t="s">
        <v>198</v>
      </c>
      <c r="B7" s="51" t="s">
        <v>199</v>
      </c>
      <c r="C7" s="30" t="s">
        <v>200</v>
      </c>
      <c r="D7" s="30" t="s">
        <v>201</v>
      </c>
      <c r="E7" s="30" t="s">
        <v>202</v>
      </c>
      <c r="F7" s="107" t="s">
        <v>203</v>
      </c>
      <c r="G7" s="30" t="s">
        <v>204</v>
      </c>
      <c r="H7" s="30" t="s">
        <v>205</v>
      </c>
      <c r="I7" s="108" t="s">
        <v>206</v>
      </c>
      <c r="J7" s="104" t="n">
        <f aca="false">[1]ilr!I4</f>
        <v>3.21</v>
      </c>
      <c r="K7" s="34"/>
      <c r="L7" s="109"/>
      <c r="M7" s="110"/>
      <c r="N7" s="111"/>
      <c r="O7" s="38" t="str">
        <f aca="false">IF(L7="Crest at",Forecasted_Data!J86,IF(L7="Falling to",Forecasted_Data!J87,""))</f>
        <v/>
      </c>
      <c r="P7" s="39" t="str">
        <f aca="false">IF(AND(L7="Crest at",Forecasted_Data!I86&lt;=1),"(Low Action)",IF(AND(L7="Crest at",Forecasted_Data!I86&gt;1,Forecasted_Data!I86&lt;=2),"(Low Watch)",IF(AND(L7="Crest at",Forecasted_Data!I86&gt;2,Forecasted_Data!I86&lt;14),"(Normal)",IF(AND(L7="Crest at",Forecasted_Data!I86&gt;=14,Forecasted_Data!I86&lt;23),"(Watch)",IF(AND(L7="Crest at",Forecasted_Data!I86&gt;=23),"(Action)",IF(AND(L7="Falling to",Forecasted_Data!I87&lt;=1),"(Low Action)",IF(AND(L7="Falling to",Forecasted_Data!I87&gt;1,Forecasted_Data!I87&lt;=2),"(Low Watch)",IF(AND(L7="Falling to",Forecasted_Data!I87&gt;2,Forecasted_Data!I87&lt;14),"(Normal)",IF(AND(L7="Falling to",Forecasted_Data!I87&gt;=14,Forecasted_Data!I87&lt;23),"(Watch)",IF(AND(L7="Falling to",Forecasted_Data!I87&gt;=23),"(Action)",""))))))))))</f>
        <v/>
      </c>
      <c r="R7" s="112"/>
    </row>
    <row r="8" s="2" customFormat="true" ht="25.3" hidden="false" customHeight="false" outlineLevel="0" collapsed="false">
      <c r="A8" s="50"/>
      <c r="B8" s="51"/>
      <c r="C8" s="30"/>
      <c r="D8" s="30"/>
      <c r="E8" s="30"/>
      <c r="F8" s="107"/>
      <c r="G8" s="30"/>
      <c r="H8" s="30"/>
      <c r="I8" s="108" t="s">
        <v>207</v>
      </c>
      <c r="J8" s="104"/>
      <c r="K8" s="34"/>
      <c r="L8" s="40"/>
      <c r="M8" s="40"/>
      <c r="N8" s="40"/>
      <c r="O8" s="41" t="str">
        <f aca="false">IF(AND(J7&lt;25,Forecasted_Data!I86&gt;=25),Forecasted_Data!J96,IF(AND(J7&gt;=25,J7&lt;26,Forecasted_Data!I86&gt;=26),Forecasted_Data!J97,IF(AND(J7&gt;26,Forecasted_Data!I87&lt;26),Forecasted_Data!J98,IF(AND(J7&lt;26,J7&gt;=25,Forecasted_Data!I87&lt;25),Forecasted_Data!J99,IF(AND(OR(P7="(Watch)",P7="(Action)"),J7&gt;2,J7&lt;14),Forecasted_Data!J92,IF(AND(P7="(Action)",J7&gt;=14,J7&lt;23),Forecasted_Data!J93,IF(AND(OR(P7="(Watch)",P7="(Normal)"),J7&gt;=23),Forecasted_Data!J88,IF(AND(P7="(Normal)",J7&gt;=14,J7&lt;23),Forecasted_Data!J89,IF(AND(OR(P7="(Low Watch)",P7="(Low Action)"),J7&gt;2,J7&lt;14),Forecasted_Data!J94,IF(AND(P7="(Low Action)",J7&lt;=2,J7&gt;1),Forecasted_Data!J95,IF(AND(OR(P7="(Low Watch)",P7="(Normal)"),J7&lt;=1),Forecasted_Data!J90,IF(AND(P7="(Normal)",J7&lt;=2,J7&gt;1),Forecasted_Data!J91,""))))))))))))</f>
        <v/>
      </c>
      <c r="P8" s="41"/>
      <c r="R8" s="112"/>
    </row>
    <row r="9" s="2" customFormat="true" ht="25.3" hidden="false" customHeight="false" outlineLevel="0" collapsed="false">
      <c r="A9" s="14" t="s">
        <v>208</v>
      </c>
      <c r="B9" s="15" t="s">
        <v>209</v>
      </c>
      <c r="C9" s="16" t="s">
        <v>210</v>
      </c>
      <c r="D9" s="16" t="s">
        <v>211</v>
      </c>
      <c r="E9" s="16" t="s">
        <v>212</v>
      </c>
      <c r="F9" s="16" t="s">
        <v>213</v>
      </c>
      <c r="G9" s="16" t="s">
        <v>214</v>
      </c>
      <c r="H9" s="16" t="s">
        <v>186</v>
      </c>
      <c r="I9" s="103" t="s">
        <v>215</v>
      </c>
      <c r="J9" s="104" t="n">
        <f aca="false">[1]ilr!I5</f>
        <v>9.7</v>
      </c>
      <c r="K9" s="20"/>
      <c r="L9" s="105"/>
      <c r="M9" s="106"/>
      <c r="N9" s="52"/>
      <c r="O9" s="45" t="str">
        <f aca="false">IF(L9="Crest at",Forecasted_Data!H86,IF(L9="Falling to",Forecasted_Data!H87,""))</f>
        <v/>
      </c>
      <c r="P9" s="25" t="str">
        <f aca="false">IF(AND(L9="Crest at",Forecasted_Data!G86&lt;=7.6),"(Low Action)",IF(AND(L9="Crest at",Forecasted_Data!G86&gt;7.6,Forecasted_Data!G86&lt;=9.1),"(Low Watch)",IF(AND(L9="Crest at",Forecasted_Data!G86&gt;9.1,Forecasted_Data!G86&lt;14),"(Normal)",IF(AND(L9="Crest at",Forecasted_Data!G86&gt;=14,Forecasted_Data!G86&lt;22),"(Watch)",IF(AND(L9="Crest at",Forecasted_Data!G86&gt;=22),"(Action)",IF(AND(L9="Falling to",Forecasted_Data!G87&lt;=7.6),"(Low Action)",IF(AND(L9="Falling to",Forecasted_Data!G87&gt;7.6,Forecasted_Data!G87&lt;=9.1),"(Low Watch)",IF(AND(L9="Falling to",Forecasted_Data!G87&gt;9.1,Forecasted_Data!G87&lt;14),"(Normal)",IF(AND(L9="Falling to",Forecasted_Data!G87&gt;=14,Forecasted_Data!G87&lt;22),"(Watch)",IF(AND(L9="Falling to",Forecasted_Data!G87&gt;=22),"(Action)",""))))))))))</f>
        <v/>
      </c>
      <c r="R9" s="112"/>
    </row>
    <row r="10" s="2" customFormat="true" ht="25.3" hidden="false" customHeight="false" outlineLevel="0" collapsed="false">
      <c r="A10" s="14"/>
      <c r="B10" s="15"/>
      <c r="C10" s="16"/>
      <c r="D10" s="16"/>
      <c r="E10" s="16"/>
      <c r="F10" s="16"/>
      <c r="G10" s="16"/>
      <c r="H10" s="16"/>
      <c r="I10" s="103" t="s">
        <v>216</v>
      </c>
      <c r="J10" s="104"/>
      <c r="K10" s="20"/>
      <c r="L10" s="26"/>
      <c r="M10" s="26"/>
      <c r="N10" s="26"/>
      <c r="O10" s="58" t="str">
        <f aca="false">IF(AND(J9&lt;26,Forecasted_Data!G86&gt;=26),Forecasted_Data!H96,IF(AND(J9&gt;=26,J9&lt;27,Forecasted_Data!G86&gt;=27),Forecasted_Data!H97,IF(AND(J9&gt;27,Forecasted_Data!G87&lt;27),Forecasted_Data!H98,IF(AND(J9&lt;27,J9&gt;=26,Forecasted_Data!G87&lt;26),Forecasted_Data!H99,IF(AND(OR(P9="(Watch)",P9="(Normal)"),J9&gt;2,J9&lt;14),Forecasted_Data!H92,IF(AND(P9="(Action)",J9&gt;=14,J9&lt;23),Forecasted_Data!H93,IF(AND(OR(P9="(Watch)",P9="(Normal)"),J9&gt;=23),Forecasted_Data!H88,IF(AND(P9="(Normal)",J9&gt;=14,J9&lt;23),Forecasted_Data!H89,IF(AND(OR(P9="(Low Watch)",P9="(Low Action)"),J9&gt;2,J9&lt;14),Forecasted_Data!H94,IF(AND(P9="(Low Action)",J9&lt;=2,J9&gt;1),Forecasted_Data!H95,IF(AND(OR(P9="(Low Watch)",P9="(Normal)"),J9&lt;=1),Forecasted_Data!H90,IF(AND(P9="(Normal)",J9&lt;=2,J9&gt;1),Forecasted_Data!H91,""))))))))))))</f>
        <v/>
      </c>
      <c r="P10" s="58"/>
    </row>
    <row r="11" s="2" customFormat="true" ht="25.3" hidden="false" customHeight="false" outlineLevel="0" collapsed="false">
      <c r="A11" s="50" t="s">
        <v>217</v>
      </c>
      <c r="B11" s="51" t="s">
        <v>218</v>
      </c>
      <c r="C11" s="30" t="s">
        <v>219</v>
      </c>
      <c r="D11" s="30" t="s">
        <v>220</v>
      </c>
      <c r="E11" s="30" t="s">
        <v>221</v>
      </c>
      <c r="F11" s="30" t="s">
        <v>222</v>
      </c>
      <c r="G11" s="30" t="s">
        <v>223</v>
      </c>
      <c r="H11" s="30" t="s">
        <v>224</v>
      </c>
      <c r="I11" s="108" t="s">
        <v>225</v>
      </c>
      <c r="J11" s="98" t="n">
        <f aca="false">[1]ilr!I6</f>
        <v>5.17</v>
      </c>
      <c r="K11" s="34"/>
      <c r="L11" s="109"/>
      <c r="M11" s="110"/>
      <c r="N11" s="111"/>
      <c r="O11" s="38" t="str">
        <f aca="false">IF(L11="Crest at",Forecasted_Data!F86,IF(L11="Falling to",Forecasted_Data!F87,""))</f>
        <v/>
      </c>
      <c r="P11" s="39" t="str">
        <f aca="false">IF(AND(L11="Crest at",Forecasted_Data!E86&lt;=3.3),"(Low Action)",IF(AND(L11="Crest at",Forecasted_Data!E86&gt;3.3,Forecasted_Data!E86&lt;=4.8),"(Low Watch)",IF(AND(L11="Crest at",Forecasted_Data!E86&gt;4.8,Forecasted_Data!E86&lt;14),"(Normal)",IF(AND(L11="Crest at",Forecasted_Data!E86&gt;=14,Forecasted_Data!E86&lt;20),"(Watch)",IF(AND(L11="Crest at",Forecasted_Data!E86&gt;=20),"(Action)",IF(AND(L11="Falling to",Forecasted_Data!E87&lt;=3.3),"(Low Action)",IF(AND(L11="Falling to",Forecasted_Data!E87&gt;3.3,Forecasted_Data!E87&lt;=4.8),"(Low Watch)",IF(AND(L11="Falling to",Forecasted_Data!E87&gt;4.8,Forecasted_Data!E87&lt;14),"(Normal)",IF(AND(L11="Falling to",Forecasted_Data!E87&gt;=14,Forecasted_Data!E87&lt;20),"(Watch)",IF(AND(L11="Falling to",Forecasted_Data!E87&gt;=20),"(Action)",""))))))))))</f>
        <v/>
      </c>
      <c r="R11" s="112"/>
    </row>
    <row r="12" s="2" customFormat="true" ht="25.3" hidden="false" customHeight="false" outlineLevel="0" collapsed="false">
      <c r="A12" s="50"/>
      <c r="B12" s="51"/>
      <c r="C12" s="30"/>
      <c r="D12" s="30"/>
      <c r="E12" s="30"/>
      <c r="F12" s="30"/>
      <c r="G12" s="30"/>
      <c r="H12" s="30"/>
      <c r="I12" s="108" t="s">
        <v>207</v>
      </c>
      <c r="J12" s="98"/>
      <c r="K12" s="34"/>
      <c r="L12" s="40"/>
      <c r="M12" s="40"/>
      <c r="N12" s="40"/>
      <c r="O12" s="41" t="str">
        <f aca="false">IF(AND(J11&lt;24.5,Forecasted_Data!E86&gt;=24.5),Forecasted_Data!F96,IF(AND(J11&gt;=24.5,J11&lt;26,Forecasted_Data!E86&gt;=26),Forecasted_Data!F97,IF(AND(J11&gt;26,Forecasted_Data!E87&lt;26),Forecasted_Data!F98,IF(AND(J11&lt;26,J11&gt;=24.5,Forecasted_Data!E87&lt;24.5),Forecasted_Data!F99,IF(AND(OR(P11="(Watch)",P11="(Action)"),J11&gt;4.8,J11&lt;14),Forecasted_Data!F92,IF(AND(P11="(Action)",J11&gt;=14,J11&lt;20),Forecasted_Data!F93,IF(AND(OR(P11="(Watch)",P11="(Normal)"),J11&gt;=20),Forecasted_Data!F88,IF(AND(P11="(Normal)",J11&gt;=14,J11&lt;20),Forecasted_Data!F89,IF(AND(OR(P11="(Low Watch)",P11="(Low Action)"),J11&gt;4.8,J11&lt;14),Forecasted_Data!F94,IF(AND(P11="(Low Action)",J11&lt;=4.8,J11&gt;3.3),Forecasted_Data!F95,IF(AND(OR(P11="(Low Watch)",P11="(Normal)"),J11&lt;=3.3),Forecasted_Data!F90,IF(AND(P11="(Normal)",J11&lt;=4.8,J11&gt;3.3),Forecasted_Data!F91,""))))))))))))</f>
        <v/>
      </c>
      <c r="P12" s="41"/>
    </row>
    <row r="13" s="2" customFormat="true" ht="27" hidden="false" customHeight="true" outlineLevel="0" collapsed="false">
      <c r="A13" s="14" t="s">
        <v>226</v>
      </c>
      <c r="B13" s="15" t="s">
        <v>227</v>
      </c>
      <c r="C13" s="16" t="s">
        <v>228</v>
      </c>
      <c r="D13" s="16" t="s">
        <v>229</v>
      </c>
      <c r="E13" s="16" t="s">
        <v>230</v>
      </c>
      <c r="F13" s="16" t="s">
        <v>231</v>
      </c>
      <c r="G13" s="16" t="s">
        <v>232</v>
      </c>
      <c r="H13" s="113" t="s">
        <v>233</v>
      </c>
      <c r="I13" s="103" t="s">
        <v>187</v>
      </c>
      <c r="J13" s="104" t="n">
        <f aca="false">[1]ilr!I7</f>
        <v>2.12</v>
      </c>
      <c r="K13" s="114"/>
      <c r="L13" s="115"/>
      <c r="M13" s="116"/>
      <c r="N13" s="117"/>
      <c r="O13" s="118"/>
      <c r="P13" s="119"/>
    </row>
    <row r="14" s="2" customFormat="true" ht="25.3" hidden="false" customHeight="false" outlineLevel="0" collapsed="false">
      <c r="A14" s="120" t="s">
        <v>234</v>
      </c>
      <c r="B14" s="61" t="s">
        <v>235</v>
      </c>
      <c r="C14" s="121" t="s">
        <v>236</v>
      </c>
      <c r="D14" s="121" t="s">
        <v>237</v>
      </c>
      <c r="E14" s="121" t="s">
        <v>238</v>
      </c>
      <c r="F14" s="121" t="s">
        <v>239</v>
      </c>
      <c r="G14" s="121" t="s">
        <v>185</v>
      </c>
      <c r="H14" s="121" t="s">
        <v>186</v>
      </c>
      <c r="I14" s="97" t="s">
        <v>240</v>
      </c>
      <c r="J14" s="122" t="n">
        <f aca="false">[1]ilr!I8</f>
        <v>12.04</v>
      </c>
      <c r="K14" s="123"/>
      <c r="L14" s="109"/>
      <c r="M14" s="110"/>
      <c r="N14" s="111"/>
      <c r="O14" s="38" t="str">
        <f aca="false">IF(L14="Crest at",Forecasted_Data!B86,IF(L14="Falling to",Forecasted_Data!B87,""))</f>
        <v/>
      </c>
      <c r="P14" s="39" t="str">
        <f aca="false">IF(AND(L14="Crest at",Forecasted_Data!A86&lt;=10),"(Low Action)",IF(AND(L14="Crest at",Forecasted_Data!A86&gt;10,Forecasted_Data!A86&lt;=11.6),"(Low Watch)",IF(AND(L14="Crest at",Forecasted_Data!A86&gt;11.6,Forecasted_Data!A86&lt;18),"(Normal)",IF(AND(L14="Crest at",Forecasted_Data!A86&gt;=18,Forecasted_Data!A86&lt;22),"(Watch)",IF(AND(L14="Crest at",Forecasted_Data!A86&gt;=22),"(Action)",IF(AND(L14="Falling to",Forecasted_Data!A87&lt;=10),"(Low Action)",IF(AND(L14="Falling to",Forecasted_Data!A87&gt;10,Forecasted_Data!A87&lt;=11.6),"(Low Watch)",IF(AND(L14="Falling to",Forecasted_Data!A87&gt;11.6,Forecasted_Data!A87&lt;18),"(Normal)",IF(AND(L14="Falling to",Forecasted_Data!A87&gt;=18,Forecasted_Data!A87&lt;22),"(Watch)",IF(AND(L14="Falling to",Forecasted_Data!A87&gt;=22),"(Action)",""))))))))))</f>
        <v/>
      </c>
      <c r="R14" s="112"/>
    </row>
    <row r="15" s="2" customFormat="true" ht="25.3" hidden="false" customHeight="false" outlineLevel="0" collapsed="false">
      <c r="A15" s="120"/>
      <c r="B15" s="61"/>
      <c r="C15" s="121"/>
      <c r="D15" s="121"/>
      <c r="E15" s="121"/>
      <c r="F15" s="121"/>
      <c r="G15" s="121"/>
      <c r="H15" s="121"/>
      <c r="I15" s="124" t="s">
        <v>216</v>
      </c>
      <c r="J15" s="122"/>
      <c r="K15" s="123"/>
      <c r="L15" s="69"/>
      <c r="M15" s="69"/>
      <c r="N15" s="69"/>
      <c r="O15" s="70" t="str">
        <f aca="false">IF(AND(J14&lt;25.5,Forecasted_Data!A86&gt;=25.5),Forecasted_Data!B96,IF(AND(J14&gt;=25.5,J14&lt;26,Forecasted_Data!A86&gt;=27),Forecasted_Data!B97,IF(AND(J14&gt;27,Forecasted_Data!A87&lt;27),Forecasted_Data!B98,IF(AND(J14&lt;27,J14&gt;=25.5,Forecasted_Data!A87&lt;25.5),Forecasted_Data!B99,IF(AND(OR(P14="(Watch)",P14="(Action)"),J14&gt;11.6,J14&lt;18),Forecasted_Data!B92,IF(AND(P14="(Action)",J14&gt;=18,J14&lt;22),Forecasted_Data!B93,IF(AND(OR(P14="(Watch)",P14="(Normal)"),J14&gt;=22),Forecasted_Data!B88,IF(AND(P14="(Normal)",J14&gt;=18,J14&lt;22),Forecasted_Data!B89,IF(AND(OR(P14="(Low Watch)",P14="(Low Action)"),J14&gt;11.6,J14&lt;18),Forecasted_Data!B94,IF(AND(P14="(Low Action)",J14&lt;=11.6,J14&gt;10),Forecasted_Data!B95,IF(AND(OR(P14="(Low Watch)",P14="(Normal)"),J14&lt;=10),Forecasted_Data!B90,IF(AND(P14="(Normal)",J14&lt;=11.6,J14&gt;10),Forecasted_Data!B91,""))))))))))))</f>
        <v/>
      </c>
      <c r="P15" s="70"/>
    </row>
    <row r="16" customFormat="false" ht="18.75" hidden="false" customHeight="true" outlineLevel="0" collapsed="false">
      <c r="A16" s="125" t="s">
        <v>241</v>
      </c>
      <c r="B16" s="125"/>
      <c r="C16" s="125"/>
      <c r="D16" s="125"/>
      <c r="E16" s="125"/>
      <c r="F16" s="125"/>
      <c r="G16" s="125"/>
      <c r="H16" s="125"/>
      <c r="I16" s="125"/>
      <c r="J16" s="126"/>
      <c r="K16" s="125"/>
      <c r="L16" s="125"/>
      <c r="M16" s="125"/>
      <c r="N16" s="125"/>
      <c r="O16" s="125"/>
      <c r="P16" s="125"/>
    </row>
    <row r="17" customFormat="false" ht="26.25" hidden="false" customHeight="true" outlineLevel="0" collapsed="false">
      <c r="A17" s="125"/>
      <c r="B17" s="125"/>
      <c r="C17" s="125"/>
      <c r="D17" s="125"/>
      <c r="E17" s="125"/>
      <c r="F17" s="125"/>
      <c r="G17" s="125"/>
      <c r="H17" s="125"/>
      <c r="I17" s="125"/>
      <c r="J17" s="125"/>
      <c r="K17" s="125"/>
      <c r="L17" s="125"/>
      <c r="M17" s="125"/>
      <c r="N17" s="125"/>
      <c r="O17" s="125"/>
      <c r="P17" s="125"/>
    </row>
  </sheetData>
  <mergeCells count="78">
    <mergeCell ref="A1:J1"/>
    <mergeCell ref="M1:N1"/>
    <mergeCell ref="O1:P1"/>
    <mergeCell ref="L2:P2"/>
    <mergeCell ref="A3:A4"/>
    <mergeCell ref="B3:B4"/>
    <mergeCell ref="C3:C4"/>
    <mergeCell ref="D3:D4"/>
    <mergeCell ref="E3:E4"/>
    <mergeCell ref="F3:F4"/>
    <mergeCell ref="G3:G4"/>
    <mergeCell ref="H3:H4"/>
    <mergeCell ref="I3:I4"/>
    <mergeCell ref="J3:J4"/>
    <mergeCell ref="K3:K4"/>
    <mergeCell ref="L4:N4"/>
    <mergeCell ref="O4:P4"/>
    <mergeCell ref="A5:A6"/>
    <mergeCell ref="B5:B6"/>
    <mergeCell ref="C5:C6"/>
    <mergeCell ref="D5:D6"/>
    <mergeCell ref="E5:E6"/>
    <mergeCell ref="F5:F6"/>
    <mergeCell ref="G5:G6"/>
    <mergeCell ref="H5:H6"/>
    <mergeCell ref="J5:J6"/>
    <mergeCell ref="K5:K6"/>
    <mergeCell ref="L6:N6"/>
    <mergeCell ref="O6:P6"/>
    <mergeCell ref="A7:A8"/>
    <mergeCell ref="B7:B8"/>
    <mergeCell ref="C7:C8"/>
    <mergeCell ref="D7:D8"/>
    <mergeCell ref="E7:E8"/>
    <mergeCell ref="F7:F8"/>
    <mergeCell ref="G7:G8"/>
    <mergeCell ref="H7:H8"/>
    <mergeCell ref="J7:J8"/>
    <mergeCell ref="K7:K8"/>
    <mergeCell ref="L8:N8"/>
    <mergeCell ref="O8:P8"/>
    <mergeCell ref="A9:A10"/>
    <mergeCell ref="B9:B10"/>
    <mergeCell ref="C9:C10"/>
    <mergeCell ref="D9:D10"/>
    <mergeCell ref="E9:E10"/>
    <mergeCell ref="F9:F10"/>
    <mergeCell ref="G9:G10"/>
    <mergeCell ref="H9:H10"/>
    <mergeCell ref="J9:J10"/>
    <mergeCell ref="K9:K10"/>
    <mergeCell ref="L10:N10"/>
    <mergeCell ref="O10:P10"/>
    <mergeCell ref="A11:A12"/>
    <mergeCell ref="B11:B12"/>
    <mergeCell ref="C11:C12"/>
    <mergeCell ref="D11:D12"/>
    <mergeCell ref="E11:E12"/>
    <mergeCell ref="F11:F12"/>
    <mergeCell ref="G11:G12"/>
    <mergeCell ref="H11:H12"/>
    <mergeCell ref="J11:J12"/>
    <mergeCell ref="K11:K12"/>
    <mergeCell ref="L12:N12"/>
    <mergeCell ref="O12:P12"/>
    <mergeCell ref="A14:A15"/>
    <mergeCell ref="B14:B15"/>
    <mergeCell ref="C14:C15"/>
    <mergeCell ref="D14:D15"/>
    <mergeCell ref="E14:E15"/>
    <mergeCell ref="F14:F15"/>
    <mergeCell ref="G14:G15"/>
    <mergeCell ref="H14:H15"/>
    <mergeCell ref="J14:J15"/>
    <mergeCell ref="K14:K15"/>
    <mergeCell ref="L15:N15"/>
    <mergeCell ref="O15:P15"/>
    <mergeCell ref="A16:P17"/>
  </mergeCells>
  <conditionalFormatting sqref="H13">
    <cfRule type="expression" priority="2" aboveAverage="0" equalAverage="0" bottom="0" percent="0" rank="0" text="" dxfId="126">
      <formula>J13&gt;=16.4</formula>
    </cfRule>
  </conditionalFormatting>
  <conditionalFormatting sqref="H14:H15">
    <cfRule type="expression" priority="3" aboveAverage="0" equalAverage="0" bottom="0" percent="0" rank="0" text="" dxfId="127">
      <formula>J14&gt;=22</formula>
    </cfRule>
  </conditionalFormatting>
  <conditionalFormatting sqref="H11:H12">
    <cfRule type="expression" priority="4" aboveAverage="0" equalAverage="0" bottom="0" percent="0" rank="0" text="" dxfId="128">
      <formula>J11&gt;=20</formula>
    </cfRule>
  </conditionalFormatting>
  <conditionalFormatting sqref="H9:H10">
    <cfRule type="expression" priority="5" aboveAverage="0" equalAverage="0" bottom="0" percent="0" rank="0" text="" dxfId="129">
      <formula>J9&gt;=22</formula>
    </cfRule>
  </conditionalFormatting>
  <conditionalFormatting sqref="H7:H8">
    <cfRule type="expression" priority="6" aboveAverage="0" equalAverage="0" bottom="0" percent="0" rank="0" text="" dxfId="130">
      <formula>J7&gt;=23</formula>
    </cfRule>
  </conditionalFormatting>
  <conditionalFormatting sqref="H5:H6">
    <cfRule type="expression" priority="7" aboveAverage="0" equalAverage="0" bottom="0" percent="0" rank="0" text="" dxfId="131">
      <formula>J5&gt;=33</formula>
    </cfRule>
  </conditionalFormatting>
  <conditionalFormatting sqref="I15">
    <cfRule type="expression" priority="8" aboveAverage="0" equalAverage="0" bottom="0" percent="0" rank="0" text="" dxfId="132">
      <formula>J14&gt;=27</formula>
    </cfRule>
  </conditionalFormatting>
  <conditionalFormatting sqref="I14">
    <cfRule type="expression" priority="10" aboveAverage="0" equalAverage="0" bottom="0" percent="0" rank="0" text="" dxfId="134">
      <formula>AND(J14&gt;=25.5,J14&lt;27)</formula>
    </cfRule>
  </conditionalFormatting>
  <conditionalFormatting sqref="I12">
    <cfRule type="expression" priority="12" aboveAverage="0" equalAverage="0" bottom="0" percent="0" rank="0" text="" dxfId="136">
      <formula>J11&gt;=26</formula>
    </cfRule>
  </conditionalFormatting>
  <conditionalFormatting sqref="I11">
    <cfRule type="expression" priority="14" aboveAverage="0" equalAverage="0" bottom="0" percent="0" rank="0" text="" dxfId="138">
      <formula>AND(J11&gt;=24.5,J11&lt;26)</formula>
    </cfRule>
  </conditionalFormatting>
  <conditionalFormatting sqref="I10">
    <cfRule type="expression" priority="16" aboveAverage="0" equalAverage="0" bottom="0" percent="0" rank="0" text="" dxfId="140">
      <formula>J9&gt;=27</formula>
    </cfRule>
  </conditionalFormatting>
  <conditionalFormatting sqref="I9">
    <cfRule type="expression" priority="18" aboveAverage="0" equalAverage="0" bottom="0" percent="0" rank="0" text="" dxfId="142">
      <formula>AND(J9&gt;=26,J9&lt;27)</formula>
    </cfRule>
  </conditionalFormatting>
  <conditionalFormatting sqref="I7">
    <cfRule type="expression" priority="20" aboveAverage="0" equalAverage="0" bottom="0" percent="0" rank="0" text="" dxfId="144">
      <formula>AND(J7&gt;=25,J7&lt;26)</formula>
    </cfRule>
  </conditionalFormatting>
  <conditionalFormatting sqref="I8">
    <cfRule type="expression" priority="22" aboveAverage="0" equalAverage="0" bottom="0" percent="0" rank="0" text="" dxfId="146">
      <formula>J7&gt;=26</formula>
    </cfRule>
  </conditionalFormatting>
  <conditionalFormatting sqref="I6">
    <cfRule type="expression" priority="24" aboveAverage="0" equalAverage="0" bottom="0" percent="0" rank="0" text="" dxfId="148">
      <formula>J5&gt;=35.5</formula>
    </cfRule>
  </conditionalFormatting>
  <conditionalFormatting sqref="I5">
    <cfRule type="expression" priority="26" aboveAverage="0" equalAverage="0" bottom="0" percent="0" rank="0" text="" dxfId="150">
      <formula>AND(J5&gt;=34,J5&lt;35.5)</formula>
    </cfRule>
  </conditionalFormatting>
  <conditionalFormatting sqref="E14">
    <cfRule type="expression" priority="28" aboveAverage="0" equalAverage="0" bottom="0" percent="0" rank="0" text="" dxfId="152">
      <formula>AND(J14&gt;10,J14&lt;=11.6)</formula>
    </cfRule>
  </conditionalFormatting>
  <conditionalFormatting sqref="E13">
    <cfRule type="expression" priority="29" aboveAverage="0" equalAverage="0" bottom="0" percent="0" rank="0" text="" dxfId="153">
      <formula>AND(J13&gt;0,J13&lt;=1.5)</formula>
    </cfRule>
  </conditionalFormatting>
  <conditionalFormatting sqref="E11">
    <cfRule type="expression" priority="30" aboveAverage="0" equalAverage="0" bottom="0" percent="0" rank="0" text="" dxfId="154">
      <formula>AND(J11&gt;3.3,J11&lt;=4.8)</formula>
    </cfRule>
  </conditionalFormatting>
  <conditionalFormatting sqref="E9">
    <cfRule type="expression" priority="31" aboveAverage="0" equalAverage="0" bottom="0" percent="0" rank="0" text="" dxfId="155">
      <formula>AND(J9&gt;7.6,J9&lt;=9.1)</formula>
    </cfRule>
  </conditionalFormatting>
  <conditionalFormatting sqref="E7">
    <cfRule type="expression" priority="32" aboveAverage="0" equalAverage="0" bottom="0" percent="0" rank="0" text="" dxfId="156">
      <formula>AND(J7&gt;1,J7&lt;=2)</formula>
    </cfRule>
  </conditionalFormatting>
  <conditionalFormatting sqref="E5">
    <cfRule type="expression" priority="33" aboveAverage="0" equalAverage="0" bottom="0" percent="0" rank="0" text="" dxfId="157">
      <formula>AND(J5&gt;18.1,J5&lt;=19)</formula>
    </cfRule>
  </conditionalFormatting>
  <conditionalFormatting sqref="D14">
    <cfRule type="expression" priority="34" aboveAverage="0" equalAverage="0" bottom="0" percent="0" rank="0" text="" dxfId="158">
      <formula>AND(J14&lt;=10)</formula>
    </cfRule>
  </conditionalFormatting>
  <conditionalFormatting sqref="D13">
    <cfRule type="expression" priority="35" aboveAverage="0" equalAverage="0" bottom="0" percent="0" rank="0" text="" dxfId="159">
      <formula>AND($J$13&lt;=0)</formula>
    </cfRule>
  </conditionalFormatting>
  <conditionalFormatting sqref="D11">
    <cfRule type="expression" priority="36" aboveAverage="0" equalAverage="0" bottom="0" percent="0" rank="0" text="" dxfId="160">
      <formula>AND($J$11&lt;=3.3)</formula>
    </cfRule>
  </conditionalFormatting>
  <conditionalFormatting sqref="D9">
    <cfRule type="expression" priority="37" aboveAverage="0" equalAverage="0" bottom="0" percent="0" rank="0" text="" dxfId="161">
      <formula>AND($J$9&lt;=7.6)</formula>
    </cfRule>
  </conditionalFormatting>
  <conditionalFormatting sqref="D7">
    <cfRule type="expression" priority="38" aboveAverage="0" equalAverage="0" bottom="0" percent="0" rank="0" text="" dxfId="162">
      <formula>AND($J$7&lt;=1)</formula>
    </cfRule>
  </conditionalFormatting>
  <conditionalFormatting sqref="D5">
    <cfRule type="expression" priority="39" aboveAverage="0" equalAverage="0" bottom="0" percent="0" rank="0" text="" dxfId="163">
      <formula>AND($J$5&lt;=18.1)</formula>
    </cfRule>
  </conditionalFormatting>
  <conditionalFormatting sqref="D3">
    <cfRule type="expression" priority="40" aboveAverage="0" equalAverage="0" bottom="0" percent="0" rank="0" text="" dxfId="164">
      <formula>AND($J$3&lt;=14.2)</formula>
    </cfRule>
  </conditionalFormatting>
  <conditionalFormatting sqref="E3">
    <cfRule type="expression" priority="41" aboveAverage="0" equalAverage="0" bottom="0" percent="0" rank="0" text="" dxfId="165">
      <formula>AND(J3&gt;14.2,J3&lt;=15.2)</formula>
    </cfRule>
  </conditionalFormatting>
  <conditionalFormatting sqref="G14">
    <cfRule type="expression" priority="42" aboveAverage="0" equalAverage="0" bottom="0" percent="0" rank="0" text="" dxfId="166">
      <formula>AND(J14&gt;=18,J14&lt;22)</formula>
    </cfRule>
  </conditionalFormatting>
  <conditionalFormatting sqref="F14">
    <cfRule type="expression" priority="43" aboveAverage="0" equalAverage="0" bottom="0" percent="0" rank="0" text="" dxfId="167">
      <formula>AND(J14&gt;11.6,J14&lt;18)</formula>
    </cfRule>
  </conditionalFormatting>
  <conditionalFormatting sqref="G13">
    <cfRule type="expression" priority="44" aboveAverage="0" equalAverage="0" bottom="0" percent="0" rank="0" text="" dxfId="168">
      <formula>AND(J13&gt;=13,J13&lt;16.4)</formula>
    </cfRule>
  </conditionalFormatting>
  <conditionalFormatting sqref="F13">
    <cfRule type="expression" priority="45" aboveAverage="0" equalAverage="0" bottom="0" percent="0" rank="0" text="" dxfId="169">
      <formula>AND(J13&gt;1.5, J13&lt;13)</formula>
    </cfRule>
  </conditionalFormatting>
  <conditionalFormatting sqref="G11">
    <cfRule type="expression" priority="46" aboveAverage="0" equalAverage="0" bottom="0" percent="0" rank="0" text="" dxfId="170">
      <formula>AND(J11&gt;=14,J11&lt;20)</formula>
    </cfRule>
  </conditionalFormatting>
  <conditionalFormatting sqref="F11">
    <cfRule type="expression" priority="47" aboveAverage="0" equalAverage="0" bottom="0" percent="0" rank="0" text="" dxfId="171">
      <formula>AND(J11&gt;4.8,J11&lt;14)</formula>
    </cfRule>
  </conditionalFormatting>
  <conditionalFormatting sqref="G9">
    <cfRule type="expression" priority="48" aboveAverage="0" equalAverage="0" bottom="0" percent="0" rank="0" text="" dxfId="172">
      <formula>AND(J9&gt;=14,J9&lt;22)</formula>
    </cfRule>
  </conditionalFormatting>
  <conditionalFormatting sqref="F9">
    <cfRule type="expression" priority="49" aboveAverage="0" equalAverage="0" bottom="0" percent="0" rank="0" text="" dxfId="173">
      <formula>AND(J9&gt;9.1,J9&lt;14)</formula>
    </cfRule>
  </conditionalFormatting>
  <conditionalFormatting sqref="G7">
    <cfRule type="expression" priority="50" aboveAverage="0" equalAverage="0" bottom="0" percent="0" rank="0" text="" dxfId="174">
      <formula>AND(J7&gt;=14,J7&lt;23)</formula>
    </cfRule>
  </conditionalFormatting>
  <conditionalFormatting sqref="F7">
    <cfRule type="expression" priority="51" aboveAverage="0" equalAverage="0" bottom="0" percent="0" rank="0" text="" dxfId="175">
      <formula>AND(J7&gt;2,J7&lt;14)</formula>
    </cfRule>
  </conditionalFormatting>
  <conditionalFormatting sqref="G5">
    <cfRule type="expression" priority="52" aboveAverage="0" equalAverage="0" bottom="0" percent="0" rank="0" text="" dxfId="176">
      <formula>AND(J5&gt;=25,J5&lt;33)</formula>
    </cfRule>
  </conditionalFormatting>
  <conditionalFormatting sqref="F5">
    <cfRule type="expression" priority="53" aboveAverage="0" equalAverage="0" bottom="0" percent="0" rank="0" text="" dxfId="177">
      <formula>AND(J5&gt;19,J5&lt;25)</formula>
    </cfRule>
  </conditionalFormatting>
  <conditionalFormatting sqref="H3">
    <cfRule type="expression" priority="54" aboveAverage="0" equalAverage="0" bottom="0" percent="0" rank="0" text="" dxfId="178">
      <formula>J3&gt;=22</formula>
    </cfRule>
  </conditionalFormatting>
  <conditionalFormatting sqref="G3">
    <cfRule type="expression" priority="55" aboveAverage="0" equalAverage="0" bottom="0" percent="0" rank="0" text="" dxfId="179">
      <formula>AND(J3&gt;=18,J3&lt;22)</formula>
    </cfRule>
  </conditionalFormatting>
  <conditionalFormatting sqref="F3">
    <cfRule type="expression" priority="56" aboveAverage="0" equalAverage="0" bottom="0" percent="0" rank="0" text="" dxfId="180">
      <formula>AND(J3&gt;15.2,J3&lt;18)</formula>
    </cfRule>
  </conditionalFormatting>
  <hyperlinks>
    <hyperlink ref="B3" r:id="rId1" display="Grafton (GRFI2)"/>
    <hyperlink ref="B5" r:id="rId2" display="Hardin (HARI2)"/>
    <hyperlink ref="B7" r:id="rId3" display="Meredosia (MROI2)"/>
    <hyperlink ref="B9" r:id="rId4" display="Beardstown (BEAI2)"/>
    <hyperlink ref="B11" r:id="rId5" display="Havana (HAVI2)"/>
    <hyperlink ref="B13" r:id="rId6" display="Copperas (COPI2)"/>
    <hyperlink ref="B14" r:id="rId7" display="Peoria (PIAI2)"/>
  </hyperlinks>
  <printOptions headings="false" gridLines="false" gridLinesSet="true" horizontalCentered="tru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9" id="{3B9C2094-308A-438B-B41F-D64AFA90AFB8}">
            <xm:f>Forecasted_Data!A86&gt;=27</xm:f>
            <x14:dxf>
              <fill>
                <patternFill>
                  <bgColor rgb="FFFFFF00"/>
                </patternFill>
              </fill>
            </x14:dxf>
          </x14:cfRule>
          <xm:sqref>I15</xm:sqref>
        </x14:conditionalFormatting>
        <x14:conditionalFormatting xmlns:xm="http://schemas.microsoft.com/office/excel/2006/main">
          <x14:cfRule type="expression" priority="11" id="{28E096FC-936A-48D0-ABEB-2D796944EBAC}">
            <xm:f>AND(Forecasted_Data!A86&gt;=25.5,J14&lt;27)</xm:f>
            <x14:dxf>
              <fill>
                <patternFill>
                  <bgColor rgb="FFFF0000"/>
                </patternFill>
              </fill>
            </x14:dxf>
          </x14:cfRule>
          <xm:sqref>I14</xm:sqref>
        </x14:conditionalFormatting>
        <x14:conditionalFormatting xmlns:xm="http://schemas.microsoft.com/office/excel/2006/main">
          <x14:cfRule type="expression" priority="13" id="{F019F03D-C078-4046-B499-F41A128A26A3}">
            <xm:f>Forecasted_Data!E86&gt;=26</xm:f>
            <x14:dxf>
              <fill>
                <patternFill>
                  <bgColor rgb="FF92D050"/>
                </patternFill>
              </fill>
            </x14:dxf>
          </x14:cfRule>
          <xm:sqref>I12</xm:sqref>
        </x14:conditionalFormatting>
        <x14:conditionalFormatting xmlns:xm="http://schemas.microsoft.com/office/excel/2006/main">
          <x14:cfRule type="expression" priority="15" id="{8CA910D0-DE4F-4BF8-B548-B0B6F087E778}">
            <xm:f>AND(Forecasted_Data!E86&gt;=24.5,J11&lt;26)</xm:f>
            <x14:dxf>
              <fill>
                <patternFill>
                  <bgColor rgb="FFFFFF00"/>
                </patternFill>
              </fill>
            </x14:dxf>
          </x14:cfRule>
          <xm:sqref>I11</xm:sqref>
        </x14:conditionalFormatting>
        <x14:conditionalFormatting xmlns:xm="http://schemas.microsoft.com/office/excel/2006/main">
          <x14:cfRule type="expression" priority="17" id="{3D698361-A016-4FE7-9FF6-74FDA3FB2430}">
            <xm:f>Forecasted_Data!G86&gt;=27</xm:f>
            <x14:dxf>
              <fill>
                <patternFill>
                  <bgColor rgb="FFFF0000"/>
                </patternFill>
              </fill>
            </x14:dxf>
          </x14:cfRule>
          <xm:sqref>I10</xm:sqref>
        </x14:conditionalFormatting>
        <x14:conditionalFormatting xmlns:xm="http://schemas.microsoft.com/office/excel/2006/main">
          <x14:cfRule type="expression" priority="19" id="{46BFC09A-813F-4953-8E46-4333CB3FB840}">
            <xm:f>AND(Forecasted_Data!G86&gt;=26,J9&lt;27)</xm:f>
            <x14:dxf>
              <fill>
                <patternFill>
                  <bgColor rgb="FFFFFF00"/>
                </patternFill>
              </fill>
            </x14:dxf>
          </x14:cfRule>
          <xm:sqref>I9</xm:sqref>
        </x14:conditionalFormatting>
        <x14:conditionalFormatting xmlns:xm="http://schemas.microsoft.com/office/excel/2006/main">
          <x14:cfRule type="expression" priority="21" id="{A04FD2AA-BA36-415D-BBEE-D0952D2A7C75}">
            <xm:f>AND(Forecasted_Data!I86&gt;=25,J7&lt;26)</xm:f>
            <x14:dxf>
              <fill>
                <patternFill>
                  <bgColor rgb="FF92D050"/>
                </patternFill>
              </fill>
            </x14:dxf>
          </x14:cfRule>
          <xm:sqref>I7</xm:sqref>
        </x14:conditionalFormatting>
        <x14:conditionalFormatting xmlns:xm="http://schemas.microsoft.com/office/excel/2006/main">
          <x14:cfRule type="expression" priority="23" id="{9F40E679-55C8-4757-A6E1-13409545AD56}">
            <xm:f>Forecasted_Data!I86&gt;=26</xm:f>
            <x14:dxf>
              <fill>
                <patternFill>
                  <bgColor rgb="FF92D050"/>
                </patternFill>
              </fill>
            </x14:dxf>
          </x14:cfRule>
          <xm:sqref>I8</xm:sqref>
        </x14:conditionalFormatting>
        <x14:conditionalFormatting xmlns:xm="http://schemas.microsoft.com/office/excel/2006/main">
          <x14:cfRule type="expression" priority="25" id="{2733EBE4-95AA-4A85-B6EC-471B6FBA89C8}">
            <xm:f>Forecasted_Data!K86&gt;=35.5</xm:f>
            <x14:dxf>
              <fill>
                <patternFill>
                  <bgColor rgb="FFFFFF00"/>
                </patternFill>
              </fill>
            </x14:dxf>
          </x14:cfRule>
          <xm:sqref>I6</xm:sqref>
        </x14:conditionalFormatting>
        <x14:conditionalFormatting xmlns:xm="http://schemas.microsoft.com/office/excel/2006/main">
          <x14:cfRule type="expression" priority="27" id="{89D8698B-9538-4870-9D7A-C267C2A8F462}">
            <xm:f>AND(Forecasted_Data!K86&gt;=34,J5&lt;35.5)</xm:f>
            <x14:dxf>
              <fill>
                <patternFill>
                  <bgColor rgb="FFFF0000"/>
                </patternFill>
              </fill>
            </x14:dxf>
          </x14:cfRule>
          <xm:sqref>I5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R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47" activeCellId="0" sqref="H47"/>
    </sheetView>
  </sheetViews>
  <sheetFormatPr defaultColWidth="9.109375" defaultRowHeight="19.5" zeroHeight="false" outlineLevelRow="0" outlineLevelCol="0"/>
  <cols>
    <col collapsed="false" customWidth="true" hidden="false" outlineLevel="0" max="1" min="1" style="127" width="17.44"/>
    <col collapsed="false" customWidth="true" hidden="false" outlineLevel="0" max="2" min="2" style="127" width="23.56"/>
    <col collapsed="false" customWidth="true" hidden="false" outlineLevel="0" max="3" min="3" style="128" width="11.67"/>
    <col collapsed="false" customWidth="true" hidden="false" outlineLevel="0" max="4" min="4" style="128" width="11.44"/>
    <col collapsed="false" customWidth="true" hidden="false" outlineLevel="0" max="5" min="5" style="128" width="10.33"/>
    <col collapsed="false" customWidth="true" hidden="false" outlineLevel="0" max="6" min="6" style="128" width="11.33"/>
    <col collapsed="false" customWidth="true" hidden="false" outlineLevel="0" max="7" min="7" style="128" width="13.67"/>
    <col collapsed="false" customWidth="true" hidden="false" outlineLevel="0" max="8" min="8" style="1" width="8.44"/>
    <col collapsed="false" customWidth="true" hidden="false" outlineLevel="0" max="9" min="9" style="1" width="6.44"/>
    <col collapsed="false" customWidth="true" hidden="false" outlineLevel="0" max="10" min="10" style="1" width="8.34"/>
    <col collapsed="false" customWidth="true" hidden="false" outlineLevel="0" max="11" min="11" style="1" width="4.56"/>
    <col collapsed="false" customWidth="true" hidden="false" outlineLevel="0" max="12" min="12" style="1" width="5.33"/>
    <col collapsed="false" customWidth="true" hidden="false" outlineLevel="0" max="13" min="13" style="1" width="10.33"/>
    <col collapsed="false" customWidth="true" hidden="false" outlineLevel="0" max="14" min="14" style="1" width="11.67"/>
    <col collapsed="false" customWidth="false" hidden="false" outlineLevel="0" max="16384" min="15" style="1" width="9.11"/>
  </cols>
  <sheetData>
    <row r="1" s="128" customFormat="true" ht="19.5" hidden="false" customHeight="true" outlineLevel="0" collapsed="false">
      <c r="A1" s="4" t="s">
        <v>242</v>
      </c>
      <c r="B1" s="4"/>
      <c r="C1" s="4"/>
      <c r="D1" s="4"/>
      <c r="E1" s="4"/>
      <c r="F1" s="4"/>
      <c r="G1" s="4"/>
      <c r="H1" s="4"/>
      <c r="I1" s="5"/>
      <c r="J1" s="6"/>
      <c r="K1" s="7" t="s">
        <v>1</v>
      </c>
      <c r="L1" s="7"/>
      <c r="M1" s="8" t="n">
        <f aca="true">NOW()</f>
        <v>45613.4927453935</v>
      </c>
      <c r="N1" s="8"/>
    </row>
    <row r="2" s="128" customFormat="true" ht="25.3" hidden="false" customHeight="false" outlineLevel="0" collapsed="false">
      <c r="A2" s="9" t="s">
        <v>243</v>
      </c>
      <c r="B2" s="10" t="s">
        <v>3</v>
      </c>
      <c r="C2" s="10" t="s">
        <v>173</v>
      </c>
      <c r="D2" s="10" t="s">
        <v>174</v>
      </c>
      <c r="E2" s="10" t="s">
        <v>5</v>
      </c>
      <c r="F2" s="10" t="s">
        <v>175</v>
      </c>
      <c r="G2" s="10" t="s">
        <v>176</v>
      </c>
      <c r="H2" s="10" t="s">
        <v>9</v>
      </c>
      <c r="I2" s="12" t="s">
        <v>10</v>
      </c>
      <c r="J2" s="13" t="s">
        <v>178</v>
      </c>
      <c r="K2" s="13"/>
      <c r="L2" s="13"/>
      <c r="M2" s="13"/>
      <c r="N2" s="13"/>
    </row>
    <row r="3" customFormat="false" ht="19.5" hidden="false" customHeight="true" outlineLevel="0" collapsed="false">
      <c r="A3" s="129" t="s">
        <v>244</v>
      </c>
      <c r="B3" s="130" t="s">
        <v>245</v>
      </c>
      <c r="C3" s="30" t="s">
        <v>187</v>
      </c>
      <c r="D3" s="30" t="s">
        <v>187</v>
      </c>
      <c r="E3" s="30" t="s">
        <v>246</v>
      </c>
      <c r="F3" s="30" t="s">
        <v>247</v>
      </c>
      <c r="G3" s="30" t="s">
        <v>248</v>
      </c>
      <c r="H3" s="48" t="n">
        <f aca="false">[2]mor!H2</f>
        <v>12.56</v>
      </c>
      <c r="I3" s="34"/>
      <c r="J3" s="99"/>
      <c r="K3" s="89"/>
      <c r="L3" s="101"/>
      <c r="M3" s="102" t="str">
        <f aca="false">IF(J3="Crest at",Forecasted_Data!BP115,IF(J3="Falling to",Forecasted_Data!BP116,""))</f>
        <v/>
      </c>
      <c r="N3" s="131" t="str">
        <f aca="false">IF(AND(J3="Crest at",Forecasted_Data!BO115&lt;29),"(Normal)",IF(AND(J3="Crest at",Forecasted_Data!BO115&gt;=29,Forecasted_Data!BO115&lt;30),"(Watch)",IF(AND(J3="Crest at",Forecasted_Data!BO115&gt;=30),"(Action)",IF(AND(J3="Falling to",Forecasted_Data!BO116&lt;29),"(Normal)",IF(AND(J3="Falling to",Forecasted_Data!BO116&gt;=29,Forecasted_Data!BO116&lt;30),"(Watch)",IF(AND(J3="Falling to",Forecasted_Data!BO116&gt;=30),"(Action)",""))))))</f>
        <v/>
      </c>
    </row>
    <row r="4" customFormat="false" ht="19.5" hidden="false" customHeight="true" outlineLevel="0" collapsed="false">
      <c r="A4" s="129"/>
      <c r="B4" s="130"/>
      <c r="C4" s="30"/>
      <c r="D4" s="30"/>
      <c r="E4" s="30"/>
      <c r="F4" s="30"/>
      <c r="G4" s="30"/>
      <c r="H4" s="48"/>
      <c r="I4" s="34"/>
      <c r="J4" s="40"/>
      <c r="K4" s="40"/>
      <c r="L4" s="40"/>
      <c r="M4" s="41" t="str">
        <f aca="false">IF(AND(OR(N3="(Watch)",N3="(Action)"),H3&lt;29),Forecasted_Data!BP121,IF(AND(N3="(Action)",H3&gt;=29,H3&lt;30),Forecasted_Data!BP122,IF(AND(OR(N3="(Watch)",N3="(Normal)"),H3&gt;=30),Forecasted_Data!BP117,IF(AND(N3="(Normal)",H3&gt;=29,H3&lt;30),Forecasted_Data!BP118,""))))</f>
        <v/>
      </c>
      <c r="N4" s="41"/>
    </row>
    <row r="5" customFormat="false" ht="19.5" hidden="false" customHeight="true" outlineLevel="0" collapsed="false">
      <c r="A5" s="129"/>
      <c r="B5" s="132" t="s">
        <v>249</v>
      </c>
      <c r="C5" s="16" t="s">
        <v>187</v>
      </c>
      <c r="D5" s="16" t="s">
        <v>187</v>
      </c>
      <c r="E5" s="16" t="s">
        <v>138</v>
      </c>
      <c r="F5" s="16" t="s">
        <v>250</v>
      </c>
      <c r="G5" s="16" t="s">
        <v>134</v>
      </c>
      <c r="H5" s="19" t="n">
        <f aca="false">[2]mor!H3</f>
        <v>15.48</v>
      </c>
      <c r="I5" s="133"/>
      <c r="J5" s="134"/>
      <c r="K5" s="43"/>
      <c r="L5" s="44"/>
      <c r="M5" s="45" t="str">
        <f aca="false">IF(J5="Crest at",Forecasted_Data!BR112,IF(J5="Falling to",Forecasted_Data!BR113,""))</f>
        <v/>
      </c>
      <c r="N5" s="135" t="str">
        <f aca="false">IF(AND(J5="Crest at",Forecasted_Data!BQ112&lt;26),"(Normal)",IF(AND(J5="Crest at",Forecasted_Data!BQ112&gt;=26,Forecasted_Data!BQ112&lt;29),"(Watch)",IF(AND(J5="Crest at",Forecasted_Data!BQ112&gt;=29),"(Action)",IF(AND(J5="Falling to",Forecasted_Data!BQ113&lt;26),"(Normal)",IF(AND(J5="Falling to",Forecasted_Data!BQ113&gt;=26,Forecasted_Data!BQ113&lt;29),"(Watch)",IF(AND(J5="Falling to",Forecasted_Data!BQ113&gt;=29),"(Action)",""))))))</f>
        <v/>
      </c>
    </row>
    <row r="6" customFormat="false" ht="19.5" hidden="false" customHeight="true" outlineLevel="0" collapsed="false">
      <c r="A6" s="129"/>
      <c r="B6" s="132"/>
      <c r="C6" s="16"/>
      <c r="D6" s="16"/>
      <c r="E6" s="16"/>
      <c r="F6" s="16"/>
      <c r="G6" s="16"/>
      <c r="H6" s="19"/>
      <c r="I6" s="133"/>
      <c r="J6" s="136"/>
      <c r="K6" s="136"/>
      <c r="L6" s="136"/>
      <c r="M6" s="137" t="str">
        <f aca="false">IF(AND(OR(N5="(Watch)",N5="(Action)"),H5&lt;26),Forecasted_Data!BR118,IF(AND(N5="(Action)",H5&gt;=26,H5&lt;29),Forecasted_Data!BR119,IF(AND(OR(N5="(Watch)",N5="(Normal)"),H5&gt;=29),Forecasted_Data!BR114,IF(AND(N5="(Normal)",H5&gt;=26,H5&lt;29),Forecasted_Data!BR115,""))))</f>
        <v/>
      </c>
      <c r="N6" s="137"/>
    </row>
    <row r="7" customFormat="false" ht="19.5" hidden="false" customHeight="true" outlineLevel="0" collapsed="false">
      <c r="A7" s="138"/>
      <c r="B7" s="139"/>
      <c r="C7" s="139"/>
      <c r="D7" s="139"/>
      <c r="E7" s="140"/>
      <c r="F7" s="140"/>
      <c r="G7" s="140"/>
      <c r="H7" s="141"/>
      <c r="I7" s="141"/>
      <c r="J7" s="142"/>
      <c r="K7" s="143"/>
      <c r="L7" s="142"/>
      <c r="M7" s="142"/>
      <c r="N7" s="144"/>
    </row>
    <row r="8" customFormat="false" ht="19.5" hidden="false" customHeight="true" outlineLevel="0" collapsed="false">
      <c r="A8" s="129" t="s">
        <v>251</v>
      </c>
      <c r="B8" s="130" t="s">
        <v>249</v>
      </c>
      <c r="C8" s="30" t="s">
        <v>187</v>
      </c>
      <c r="D8" s="30" t="s">
        <v>187</v>
      </c>
      <c r="E8" s="30" t="str">
        <f aca="false">E5</f>
        <v>Below 26</v>
      </c>
      <c r="F8" s="30" t="s">
        <v>250</v>
      </c>
      <c r="G8" s="46" t="s">
        <v>134</v>
      </c>
      <c r="H8" s="48" t="n">
        <f aca="false">[2]mor!H3</f>
        <v>15.48</v>
      </c>
      <c r="I8" s="145"/>
      <c r="J8" s="99"/>
      <c r="K8" s="89"/>
      <c r="L8" s="146"/>
      <c r="M8" s="146" t="str">
        <f aca="false">M5</f>
        <v/>
      </c>
      <c r="N8" s="147" t="str">
        <f aca="false">N5</f>
        <v/>
      </c>
    </row>
    <row r="9" customFormat="false" ht="19.5" hidden="false" customHeight="true" outlineLevel="0" collapsed="false">
      <c r="A9" s="129"/>
      <c r="B9" s="130"/>
      <c r="C9" s="30"/>
      <c r="D9" s="30"/>
      <c r="E9" s="30"/>
      <c r="F9" s="30"/>
      <c r="G9" s="46"/>
      <c r="H9" s="48"/>
      <c r="I9" s="145"/>
      <c r="J9" s="40"/>
      <c r="K9" s="40"/>
      <c r="L9" s="40"/>
      <c r="M9" s="148" t="str">
        <f aca="false">M6</f>
        <v/>
      </c>
      <c r="N9" s="148"/>
    </row>
    <row r="10" customFormat="false" ht="19.5" hidden="false" customHeight="true" outlineLevel="0" collapsed="false">
      <c r="A10" s="129"/>
      <c r="B10" s="132" t="s">
        <v>252</v>
      </c>
      <c r="C10" s="16" t="s">
        <v>187</v>
      </c>
      <c r="D10" s="16" t="s">
        <v>187</v>
      </c>
      <c r="E10" s="16" t="s">
        <v>83</v>
      </c>
      <c r="F10" s="16" t="s">
        <v>253</v>
      </c>
      <c r="G10" s="16" t="s">
        <v>224</v>
      </c>
      <c r="H10" s="19" t="n">
        <f aca="false">[2]mor!H5</f>
        <v>8.27</v>
      </c>
      <c r="I10" s="133"/>
      <c r="J10" s="44"/>
      <c r="K10" s="43"/>
      <c r="L10" s="149"/>
      <c r="M10" s="149" t="str">
        <f aca="false">IF(J10="Crest at",Forecasted_Data!BT112,IF(J10="Falling to",Forecasted_Data!BT113,""))</f>
        <v/>
      </c>
      <c r="N10" s="135" t="str">
        <f aca="false">IF(AND(J10="Crest at",Forecasted_Data!BS112&lt;17),"(Normal)",IF(AND(J10="Crest at",Forecasted_Data!BS112&gt;=17,Forecasted_Data!BS112&lt;20),"(Watch)",IF(AND(J10="Crest at",Forecasted_Data!BS112&gt;=20),"(Action)",IF(AND(J10="Falling to",Forecasted_Data!BS113&lt;17),"(Normal)",IF(AND(J10="Falling to",Forecasted_Data!BS113&gt;=17,Forecasted_Data!BS113&lt;20),"(Watch)",IF(AND(J10="Falling to",Forecasted_Data!BS113&gt;=20),"(Action)",""))))))</f>
        <v/>
      </c>
    </row>
    <row r="11" customFormat="false" ht="19.5" hidden="false" customHeight="true" outlineLevel="0" collapsed="false">
      <c r="A11" s="129"/>
      <c r="B11" s="132"/>
      <c r="C11" s="16"/>
      <c r="D11" s="16"/>
      <c r="E11" s="16"/>
      <c r="F11" s="16"/>
      <c r="G11" s="16"/>
      <c r="H11" s="19"/>
      <c r="I11" s="133"/>
      <c r="J11" s="150"/>
      <c r="K11" s="150"/>
      <c r="L11" s="150"/>
      <c r="M11" s="151" t="str">
        <f aca="false">IF(AND(OR(N10="(Watch)",N10="(Action)"),H10&lt;17),Forecasted_Data!BT118,IF(AND(N10="(Action)",H10&gt;=17,H10&lt;20),Forecasted_Data!BT119,IF(AND(OR(N10="(Watch)",N10="(Normal)"),H10&gt;=20),Forecasted_Data!BT114,IF(AND(N10="(Normal)",H10&gt;=17,H10&lt;20),Forecasted_Data!BT115,""))))</f>
        <v/>
      </c>
      <c r="N11" s="151"/>
    </row>
    <row r="12" customFormat="false" ht="19.5" hidden="false" customHeight="true" outlineLevel="0" collapsed="false">
      <c r="A12" s="138"/>
      <c r="B12" s="139"/>
      <c r="C12" s="139"/>
      <c r="D12" s="139"/>
      <c r="E12" s="140"/>
      <c r="F12" s="140"/>
      <c r="G12" s="140"/>
      <c r="H12" s="141"/>
      <c r="I12" s="141"/>
      <c r="J12" s="142"/>
      <c r="K12" s="143"/>
      <c r="L12" s="142"/>
      <c r="M12" s="142"/>
      <c r="N12" s="144"/>
    </row>
    <row r="13" customFormat="false" ht="19.5" hidden="false" customHeight="true" outlineLevel="0" collapsed="false">
      <c r="A13" s="129" t="s">
        <v>254</v>
      </c>
      <c r="B13" s="130" t="s">
        <v>252</v>
      </c>
      <c r="C13" s="30" t="s">
        <v>187</v>
      </c>
      <c r="D13" s="30" t="s">
        <v>187</v>
      </c>
      <c r="E13" s="30" t="str">
        <f aca="false">E10</f>
        <v>Below 17</v>
      </c>
      <c r="F13" s="30" t="s">
        <v>253</v>
      </c>
      <c r="G13" s="30" t="s">
        <v>224</v>
      </c>
      <c r="H13" s="19" t="n">
        <f aca="false">[2]mor!H5</f>
        <v>8.27</v>
      </c>
      <c r="I13" s="145"/>
      <c r="J13" s="101"/>
      <c r="K13" s="89"/>
      <c r="L13" s="75"/>
      <c r="M13" s="75" t="str">
        <f aca="false">M10</f>
        <v/>
      </c>
      <c r="N13" s="152" t="str">
        <f aca="false">N10</f>
        <v/>
      </c>
    </row>
    <row r="14" customFormat="false" ht="19.5" hidden="false" customHeight="true" outlineLevel="0" collapsed="false">
      <c r="A14" s="129"/>
      <c r="B14" s="130"/>
      <c r="C14" s="30"/>
      <c r="D14" s="30"/>
      <c r="E14" s="30"/>
      <c r="F14" s="30"/>
      <c r="G14" s="30"/>
      <c r="H14" s="19"/>
      <c r="I14" s="145"/>
      <c r="J14" s="54"/>
      <c r="K14" s="54"/>
      <c r="L14" s="54"/>
      <c r="M14" s="55" t="str">
        <f aca="false">M11</f>
        <v/>
      </c>
      <c r="N14" s="55"/>
    </row>
    <row r="15" customFormat="false" ht="19.5" hidden="false" customHeight="true" outlineLevel="0" collapsed="false">
      <c r="A15" s="129"/>
      <c r="B15" s="132" t="s">
        <v>255</v>
      </c>
      <c r="C15" s="16" t="s">
        <v>187</v>
      </c>
      <c r="D15" s="16" t="s">
        <v>187</v>
      </c>
      <c r="E15" s="16" t="s">
        <v>83</v>
      </c>
      <c r="F15" s="16" t="s">
        <v>253</v>
      </c>
      <c r="G15" s="16" t="s">
        <v>224</v>
      </c>
      <c r="H15" s="19" t="n">
        <f aca="false">[2]mor!H7</f>
        <v>7.72</v>
      </c>
      <c r="I15" s="20"/>
      <c r="J15" s="44"/>
      <c r="K15" s="43"/>
      <c r="L15" s="149"/>
      <c r="M15" s="149" t="str">
        <f aca="false">IF(J15="Crest at",Forecasted_Data!BV115,IF(J15="Falling to",Forecasted_Data!BV116,""))</f>
        <v/>
      </c>
      <c r="N15" s="135" t="str">
        <f aca="false">IF(AND(J15="Crest at",Forecasted_Data!BU115&lt;17),"(Normal)",IF(AND(J15="Crest at",Forecasted_Data!BU115&gt;=17,Forecasted_Data!BU115&lt;20),"(Watch)",IF(AND(J15="Crest at",Forecasted_Data!BU115&gt;=20),"(Action)",IF(AND(J15="Falling to",Forecasted_Data!BU116&lt;17),"(Normal)",IF(AND(J15="Falling to",Forecasted_Data!BU116&gt;=17,Forecasted_Data!BU116&lt;20),"(Watch)",IF(AND(J15="Falling to",Forecasted_Data!BU116&gt;=20),"(Action)",""))))))</f>
        <v/>
      </c>
    </row>
    <row r="16" customFormat="false" ht="19.5" hidden="false" customHeight="true" outlineLevel="0" collapsed="false">
      <c r="A16" s="129"/>
      <c r="B16" s="132"/>
      <c r="C16" s="16"/>
      <c r="D16" s="16"/>
      <c r="E16" s="16"/>
      <c r="F16" s="16"/>
      <c r="G16" s="16"/>
      <c r="H16" s="19"/>
      <c r="I16" s="20"/>
      <c r="J16" s="153"/>
      <c r="K16" s="153"/>
      <c r="L16" s="153"/>
      <c r="M16" s="58" t="str">
        <f aca="false">IF(AND(OR(N15="(Watch)",N15="(Action)"),H15&lt;17),Forecasted_Data!BV121,IF(AND(N15="(Action)",H15&gt;=17,H15&lt;20),Forecasted_Data!BV122,IF(AND(OR(N15="(Watch)",N15="(Normal)"),H15&gt;=20),Forecasted_Data!BV117,IF(AND(N15="(Normal)",H15&gt;=17,H15&lt;20),Forecasted_Data!BV118,""))))</f>
        <v/>
      </c>
      <c r="N16" s="58"/>
    </row>
    <row r="17" customFormat="false" ht="19.5" hidden="false" customHeight="true" outlineLevel="0" collapsed="false">
      <c r="A17" s="129"/>
      <c r="B17" s="130" t="s">
        <v>256</v>
      </c>
      <c r="C17" s="30" t="s">
        <v>187</v>
      </c>
      <c r="D17" s="30" t="s">
        <v>187</v>
      </c>
      <c r="E17" s="30" t="s">
        <v>257</v>
      </c>
      <c r="F17" s="30" t="s">
        <v>258</v>
      </c>
      <c r="G17" s="30" t="s">
        <v>259</v>
      </c>
      <c r="H17" s="48" t="n">
        <f aca="false">[2]mor!H8</f>
        <v>9.46</v>
      </c>
      <c r="I17" s="49"/>
      <c r="J17" s="37"/>
      <c r="K17" s="36"/>
      <c r="L17" s="53"/>
      <c r="M17" s="53" t="str">
        <f aca="false">IF(J17="Crest at",Forecasted_Data!BX86,IF(J17="Falling to",Forecasted_Data!BX87,""))</f>
        <v/>
      </c>
      <c r="N17" s="131" t="str">
        <f aca="false">IF(AND(J17="Crest at",Forecasted_Data!BW86&lt;22),"(Normal)",IF(AND(J17="Crest at",Forecasted_Data!BW86&gt;=22,Forecasted_Data!BW86&lt;26),"(Watch)",IF(AND(J17="Crest at",Forecasted_Data!BW86&gt;=26),"(Action)",IF(AND(J17="Falling to",Forecasted_Data!BW87&lt;22),"(Normal)",IF(AND(J17="Falling to",Forecasted_Data!BW87&gt;=22,Forecasted_Data!BW87&lt;26),"(Watch)",IF(AND(J17="Falling to",Forecasted_Data!BW87&gt;=26),"(Action)",""))))))</f>
        <v/>
      </c>
    </row>
    <row r="18" customFormat="false" ht="19.5" hidden="false" customHeight="true" outlineLevel="0" collapsed="false">
      <c r="A18" s="129"/>
      <c r="B18" s="130"/>
      <c r="C18" s="30"/>
      <c r="D18" s="30"/>
      <c r="E18" s="30"/>
      <c r="F18" s="30"/>
      <c r="G18" s="30"/>
      <c r="H18" s="48"/>
      <c r="I18" s="49"/>
      <c r="J18" s="54"/>
      <c r="K18" s="54"/>
      <c r="L18" s="54"/>
      <c r="M18" s="55" t="str">
        <f aca="false">IF(AND(OR(N17="(Watch)",N17="(Action)"),H17&lt;22),Forecasted_Data!BX92,IF(AND(N17="(Action)",H17&gt;=22,H17&lt;26),Forecasted_Data!BX93,IF(AND(OR(N17="(Watch)",N17="(Normal)"),H17&gt;=26),Forecasted_Data!BX88,IF(AND(N17="(Normal)",H17&gt;=22,H17&lt;26),Forecasted_Data!BX89,""))))</f>
        <v/>
      </c>
      <c r="N18" s="55"/>
    </row>
    <row r="19" customFormat="false" ht="19.5" hidden="false" customHeight="true" outlineLevel="0" collapsed="false">
      <c r="A19" s="129"/>
      <c r="B19" s="132" t="s">
        <v>260</v>
      </c>
      <c r="C19" s="16" t="s">
        <v>187</v>
      </c>
      <c r="D19" s="16" t="s">
        <v>187</v>
      </c>
      <c r="E19" s="16" t="s">
        <v>261</v>
      </c>
      <c r="F19" s="16" t="s">
        <v>262</v>
      </c>
      <c r="G19" s="16" t="s">
        <v>263</v>
      </c>
      <c r="H19" s="19" t="n">
        <f aca="false">[2]mor!H9</f>
        <v>10.38</v>
      </c>
      <c r="I19" s="20"/>
      <c r="J19" s="44"/>
      <c r="K19" s="43"/>
      <c r="L19" s="149"/>
      <c r="M19" s="149" t="str">
        <f aca="false">IF(J19="Crest at",Forecasted_Data!BZ115,IF(J19="Falling to",Forecasted_Data!BZ116,""))</f>
        <v/>
      </c>
      <c r="N19" s="135" t="str">
        <f aca="false">IF(AND(J19="Crest at",Forecasted_Data!BY115&lt;32),"(Normal)",IF(AND(J19="Crest at",Forecasted_Data!BY115&gt;=32,Forecasted_Data!BY115&lt;35),"(Watch)",IF(AND(J19="Crest at",Forecasted_Data!BY115&gt;=35),"(Action)",IF(AND(J19="Falling to",Forecasted_Data!BY116&lt;32),"(Normal)",IF(AND(J19="Falling to",Forecasted_Data!BY116&gt;=32,Forecasted_Data!BY116&lt;35),"(Watch)",IF(AND(J19="Falling to",Forecasted_Data!BY116&gt;=35),"(Action)",""))))))</f>
        <v/>
      </c>
    </row>
    <row r="20" customFormat="false" ht="19.5" hidden="false" customHeight="true" outlineLevel="0" collapsed="false">
      <c r="A20" s="129"/>
      <c r="B20" s="132"/>
      <c r="C20" s="16"/>
      <c r="D20" s="16"/>
      <c r="E20" s="16"/>
      <c r="F20" s="16"/>
      <c r="G20" s="16"/>
      <c r="H20" s="19"/>
      <c r="I20" s="20"/>
      <c r="J20" s="150"/>
      <c r="K20" s="150"/>
      <c r="L20" s="150"/>
      <c r="M20" s="151" t="str">
        <f aca="false">IF(AND(OR(N19="(Watch)",N19="(Action)"),H19&lt;32),Forecasted_Data!BZ121,IF(AND(N19="(Action)",H19&gt;=32,H19&lt;35),Forecasted_Data!BZ122,IF(AND(OR(N19="(Watch)",N19="(Normal)"),H19&gt;=35),Forecasted_Data!BZ117,IF(AND(N19="(Normal)",H19&gt;=32,H19&lt;35),Forecasted_Data!BZ118,""))))</f>
        <v/>
      </c>
      <c r="N20" s="151"/>
    </row>
    <row r="21" customFormat="false" ht="19.5" hidden="false" customHeight="true" outlineLevel="0" collapsed="false">
      <c r="A21" s="138"/>
      <c r="B21" s="139"/>
      <c r="C21" s="139"/>
      <c r="D21" s="139"/>
      <c r="E21" s="140"/>
      <c r="F21" s="140"/>
      <c r="G21" s="140"/>
      <c r="H21" s="141"/>
      <c r="I21" s="141"/>
      <c r="J21" s="154"/>
      <c r="K21" s="155"/>
      <c r="L21" s="154"/>
      <c r="M21" s="154"/>
      <c r="N21" s="144"/>
    </row>
    <row r="22" customFormat="false" ht="19.5" hidden="false" customHeight="true" outlineLevel="0" collapsed="false">
      <c r="A22" s="156" t="s">
        <v>264</v>
      </c>
      <c r="B22" s="130" t="s">
        <v>260</v>
      </c>
      <c r="C22" s="30" t="s">
        <v>265</v>
      </c>
      <c r="D22" s="30" t="s">
        <v>266</v>
      </c>
      <c r="E22" s="157" t="s">
        <v>267</v>
      </c>
      <c r="F22" s="30" t="s">
        <v>262</v>
      </c>
      <c r="G22" s="46" t="s">
        <v>263</v>
      </c>
      <c r="H22" s="48" t="n">
        <f aca="false">[2]mor!H9</f>
        <v>10.38</v>
      </c>
      <c r="I22" s="49"/>
      <c r="J22" s="37"/>
      <c r="K22" s="36"/>
      <c r="L22" s="37"/>
      <c r="M22" s="37" t="str">
        <f aca="false">M19</f>
        <v/>
      </c>
      <c r="N22" s="131" t="str">
        <f aca="false">IF(AND(J22="Crest at",Forecasted_Data!BY115&lt;=7.8),"(Low Action)",IF(AND(J22="Crest at",Forecasted_Data!BY115&gt;7.8,Forecasted_Data!BY115&lt;=8),"(Low Watch)",IF(AND(J22="Crest at",Forecasted_Data!BY115&gt;8,Forecasted_Data!BY115&lt;32),"(Normal)",IF(AND(J22="Crest at",Forecasted_Data!BY115&gt;=32,Forecasted_Data!BY115&lt;35),"(Watch)",IF(AND(J22="Crest at",Forecasted_Data!BY115&gt;=35),"(Action)",IF(AND(J22="Falling to",Forecasted_Data!BY116&lt;=7.8),"(Low Action)",IF(AND(J22="Falling to",Forecasted_Data!BY116&gt;7.8,Forecasted_Data!BY116&lt;=8),"(Low Watch)",IF(AND(J22="Falling to",Forecasted_Data!BY116&gt;8,Forecasted_Data!BY116&lt;32),"(Normal)",IF(AND(J22="Falling to",Forecasted_Data!BY116&gt;=32,Forecasted_Data!BY116&lt;35),"(Watch)",IF(AND(J22="Falling to",Forecasted_Data!BY116&gt;=35),"(Action)",""))))))))))</f>
        <v/>
      </c>
    </row>
    <row r="23" customFormat="false" ht="19.5" hidden="false" customHeight="true" outlineLevel="0" collapsed="false">
      <c r="A23" s="156"/>
      <c r="B23" s="130"/>
      <c r="C23" s="30"/>
      <c r="D23" s="30"/>
      <c r="E23" s="157"/>
      <c r="F23" s="30"/>
      <c r="G23" s="46"/>
      <c r="H23" s="48"/>
      <c r="I23" s="49"/>
      <c r="J23" s="54"/>
      <c r="K23" s="54"/>
      <c r="L23" s="54"/>
      <c r="M23" s="55" t="str">
        <f aca="false">IF(AND(OR(N22="(Watch)",N22="(Action)"),H22&gt;8,H22&lt;32),Forecasted_Data!BZ121,IF(AND(N22="(Action)",H22&gt;=32,H22&lt;35),Forecasted_Data!BZ122,IF(AND(OR(N22="(Watch)",N22="(Normal)"),H22&gt;=35),Forecasted_Data!BZ117,IF(AND(N22="(Normal)",H22&gt;=32,H22&lt;35),Forecasted_Data!BZ118,IF(AND(OR(N22="(Low Watch)",N22="(Low Action)"),H22&gt;8,H22&lt;32),Forecasted_Data!BZ123,IF(AND(N22="(Low Action)",H22&lt;=8,H22&gt;7.8),Forecasted_Data!BZ124,IF(AND(OR(N22="(Low Watch)",N22="(Normal)"),H22&lt;=7.8),Forecasted_Data!BZ119,IF(AND(N22="(Normal)",H22&lt;=8,H22&gt;7.8),Forecasted_Data!BZ120,""))))))))</f>
        <v/>
      </c>
      <c r="N23" s="55"/>
    </row>
    <row r="24" customFormat="false" ht="19.5" hidden="false" customHeight="true" outlineLevel="0" collapsed="false">
      <c r="A24" s="156"/>
      <c r="B24" s="132" t="s">
        <v>268</v>
      </c>
      <c r="C24" s="16" t="s">
        <v>237</v>
      </c>
      <c r="D24" s="16" t="s">
        <v>269</v>
      </c>
      <c r="E24" s="16" t="s">
        <v>270</v>
      </c>
      <c r="F24" s="16" t="s">
        <v>271</v>
      </c>
      <c r="G24" s="16" t="s">
        <v>162</v>
      </c>
      <c r="H24" s="19" t="n">
        <f aca="false">[2]mor!H11</f>
        <v>11.51</v>
      </c>
      <c r="I24" s="20"/>
      <c r="J24" s="44"/>
      <c r="K24" s="43"/>
      <c r="L24" s="149"/>
      <c r="M24" s="149" t="str">
        <f aca="false">IF(J24="Crest at",Forecasted_Data!CB115,IF(J24="Falling to",Forecasted_Data!CB116,""))</f>
        <v/>
      </c>
      <c r="N24" s="135" t="str">
        <f aca="false">IF(AND(J24="Crest at",Forecasted_Data!CA115&lt;=10),"(Low Action)",IF(AND(J24="Crest at",Forecasted_Data!CA115&gt;10,Forecasted_Data!CA115&lt;=10.2),"(Low Watch)",IF(AND(J24="Crest at",Forecasted_Data!CA115&gt;10.2,Forecasted_Data!CA115&lt;22),"(Normal)",IF(AND(J24="Crest at",Forecasted_Data!CA115&gt;=22,Forecasted_Data!CA115&lt;25),"(Watch)",IF(AND(J24="Crest at",Forecasted_Data!CA115&gt;=25),"(Action)",IF(AND(J24="Falling to",Forecasted_Data!CA116&lt;=10),"(Low Action)",IF(AND(J24="Falling to",Forecasted_Data!CA116&gt;10,Forecasted_Data!CA116&lt;=10.2),"(Low Watch)",IF(AND(J24="Falling to",Forecasted_Data!CA116&gt;10.2,Forecasted_Data!CA116&lt;22),"(Normal)",IF(AND(J24="Falling to",Forecasted_Data!CA116&gt;=22,Forecasted_Data!CA116&lt;25),"(Watch)",IF(AND(J24="Falling to",Forecasted_Data!CA116&gt;=25),"(Action)",""))))))))))</f>
        <v/>
      </c>
    </row>
    <row r="25" customFormat="false" ht="19.5" hidden="false" customHeight="true" outlineLevel="0" collapsed="false">
      <c r="A25" s="156"/>
      <c r="B25" s="132"/>
      <c r="C25" s="16"/>
      <c r="D25" s="16"/>
      <c r="E25" s="16"/>
      <c r="F25" s="16"/>
      <c r="G25" s="16"/>
      <c r="H25" s="19"/>
      <c r="I25" s="20"/>
      <c r="J25" s="150"/>
      <c r="K25" s="150"/>
      <c r="L25" s="150"/>
      <c r="M25" s="151" t="str">
        <f aca="false">IF(AND(OR(N24="(Watch)",N24="(Action)"),H24&gt;10.2,H24&lt;22),Forecasted_Data!CB121,IF(AND(N24="(Action)",H24&gt;=22,H24&lt;25),Forecasted_Data!CB122,IF(AND(OR(N24="(Watch)",N24="(Normal)"),H24&gt;=25),Forecasted_Data!CB117,IF(AND(N24="(Normal)",H24&gt;=22,H24&lt;25),Forecasted_Data!CB118,IF(AND(OR(N24="(Low Watch)",N24="(Low Action)"),H24&gt;10.2,H24&lt;22),Forecasted_Data!CB123,IF(AND(N24="(Low Action)",H24&lt;=10.2,H24&gt;10),Forecasted_Data!CB124,IF(AND(OR(N24="(Low Watch)",N24="(Normal)"),H24&lt;=10),Forecasted_Data!CB119,IF(AND(N24="(Normal)",H24&lt;=10.2,H24&gt;10),Forecasted_Data!CB120,""))))))))</f>
        <v/>
      </c>
      <c r="N25" s="151"/>
    </row>
    <row r="26" customFormat="false" ht="19.5" hidden="false" customHeight="true" outlineLevel="0" collapsed="false">
      <c r="A26" s="138"/>
      <c r="B26" s="139"/>
      <c r="C26" s="139"/>
      <c r="D26" s="139"/>
      <c r="E26" s="140"/>
      <c r="F26" s="140"/>
      <c r="G26" s="140"/>
      <c r="H26" s="141"/>
      <c r="I26" s="141"/>
      <c r="J26" s="154"/>
      <c r="K26" s="155"/>
      <c r="L26" s="154"/>
      <c r="M26" s="154"/>
      <c r="N26" s="144"/>
    </row>
    <row r="27" customFormat="false" ht="19.5" hidden="false" customHeight="true" outlineLevel="0" collapsed="false">
      <c r="A27" s="156" t="s">
        <v>272</v>
      </c>
      <c r="B27" s="132" t="s">
        <v>268</v>
      </c>
      <c r="C27" s="30" t="s">
        <v>237</v>
      </c>
      <c r="D27" s="30" t="s">
        <v>269</v>
      </c>
      <c r="E27" s="30" t="str">
        <f aca="false">E24</f>
        <v>10.2 to 22</v>
      </c>
      <c r="F27" s="30" t="s">
        <v>271</v>
      </c>
      <c r="G27" s="46" t="s">
        <v>273</v>
      </c>
      <c r="H27" s="48" t="n">
        <f aca="false">[2]mor!H11</f>
        <v>11.51</v>
      </c>
      <c r="I27" s="49"/>
      <c r="J27" s="37"/>
      <c r="K27" s="36"/>
      <c r="L27" s="37"/>
      <c r="M27" s="37" t="str">
        <f aca="false">M24</f>
        <v/>
      </c>
      <c r="N27" s="131" t="str">
        <f aca="false">N24</f>
        <v/>
      </c>
    </row>
    <row r="28" customFormat="false" ht="19.5" hidden="false" customHeight="true" outlineLevel="0" collapsed="false">
      <c r="A28" s="156"/>
      <c r="B28" s="132"/>
      <c r="C28" s="30"/>
      <c r="D28" s="30"/>
      <c r="E28" s="30"/>
      <c r="F28" s="30"/>
      <c r="G28" s="46"/>
      <c r="H28" s="48"/>
      <c r="I28" s="49"/>
      <c r="J28" s="54"/>
      <c r="K28" s="54"/>
      <c r="L28" s="54"/>
      <c r="M28" s="55" t="str">
        <f aca="false">M25</f>
        <v/>
      </c>
      <c r="N28" s="55"/>
    </row>
    <row r="29" customFormat="false" ht="19.5" hidden="false" customHeight="true" outlineLevel="0" collapsed="false">
      <c r="A29" s="156"/>
      <c r="B29" s="132" t="s">
        <v>274</v>
      </c>
      <c r="C29" s="16" t="s">
        <v>187</v>
      </c>
      <c r="D29" s="16" t="s">
        <v>187</v>
      </c>
      <c r="E29" s="16" t="s">
        <v>144</v>
      </c>
      <c r="F29" s="16" t="s">
        <v>275</v>
      </c>
      <c r="G29" s="16" t="s">
        <v>162</v>
      </c>
      <c r="H29" s="19" t="str">
        <f aca="false">[2]mor!H13</f>
        <v>URL error</v>
      </c>
      <c r="I29" s="20"/>
      <c r="J29" s="44"/>
      <c r="K29" s="43"/>
      <c r="L29" s="149"/>
      <c r="M29" s="149" t="str">
        <f aca="false">IF(J29="Crest at",Forecasted_Data!CD86,IF(J29="Falling to",Forecasted_Data!CD87,""))</f>
        <v/>
      </c>
      <c r="N29" s="135" t="str">
        <f aca="false">IF(AND(J29="Crest at",Forecasted_Data!CC86&lt;21),"(Normal)",IF(AND(J29="Crest at",Forecasted_Data!CC86&gt;=21,Forecasted_Data!CC86&lt;25),"(Watch)",IF(AND(J29="Crest at",Forecasted_Data!CC86&gt;=25),"(Action)",IF(AND(J29="Falling to",Forecasted_Data!CC87&lt;21),"(Normal)",IF(AND(J29="Falling to",Forecasted_Data!CC87&gt;=21,Forecasted_Data!CC87&lt;25),"(Watch)",IF(AND(J29="Falling to",Forecasted_Data!CC87&gt;=25),"(Action)",""))))))</f>
        <v/>
      </c>
    </row>
    <row r="30" customFormat="false" ht="19.5" hidden="false" customHeight="true" outlineLevel="0" collapsed="false">
      <c r="A30" s="156"/>
      <c r="B30" s="132"/>
      <c r="C30" s="16"/>
      <c r="D30" s="16"/>
      <c r="E30" s="16"/>
      <c r="F30" s="16"/>
      <c r="G30" s="16"/>
      <c r="H30" s="19"/>
      <c r="I30" s="20"/>
      <c r="J30" s="153"/>
      <c r="K30" s="153"/>
      <c r="L30" s="153"/>
      <c r="M30" s="58" t="str">
        <f aca="false">IF(AND(OR(N29="(Watch)",N29="(Action)"),H29&lt;21),Forecasted_Data!CD92,IF(AND(N29="(Action)",H29&gt;=21,H29&lt;25),Forecasted_Data!CD93,IF(AND(OR(N29="(Watch)",N29="(Normal)"),H29&gt;=25),Forecasted_Data!CD88,IF(AND(N29="(Normal)",H29&gt;=21,H29&lt;25),Forecasted_Data!CD89,""))))</f>
        <v/>
      </c>
      <c r="N30" s="58"/>
    </row>
    <row r="31" customFormat="false" ht="19.5" hidden="false" customHeight="true" outlineLevel="0" collapsed="false">
      <c r="A31" s="156"/>
      <c r="B31" s="130" t="s">
        <v>276</v>
      </c>
      <c r="C31" s="30" t="s">
        <v>187</v>
      </c>
      <c r="D31" s="30" t="s">
        <v>187</v>
      </c>
      <c r="E31" s="30" t="s">
        <v>132</v>
      </c>
      <c r="F31" s="30" t="s">
        <v>277</v>
      </c>
      <c r="G31" s="30" t="s">
        <v>278</v>
      </c>
      <c r="H31" s="48" t="n">
        <f aca="false">[2]mor!H14</f>
        <v>11.75</v>
      </c>
      <c r="I31" s="49"/>
      <c r="J31" s="37"/>
      <c r="K31" s="36"/>
      <c r="L31" s="53"/>
      <c r="M31" s="53"/>
      <c r="N31" s="131" t="str">
        <f aca="false">IF(AND(J31="Crest at",Forecasted_Data!CE115&lt;25),"(Normal)",IF(AND(J31="Crest at",Forecasted_Data!CE115&gt;=25,Forecasted_Data!CE115&lt;27),"(Watch)",IF(AND(J31="Crest at",Forecasted_Data!CE115&gt;=27),"(Action)",IF(AND(J31="Falling to",Forecasted_Data!CE116&lt;25),"(Normal)",IF(AND(J31="Falling to",Forecasted_Data!CE116&gt;=25,Forecasted_Data!CE116&lt;27),"(Watch)",IF(AND(J31="Falling to",Forecasted_Data!CE116&gt;=27),"(Action)",""))))))</f>
        <v/>
      </c>
    </row>
    <row r="32" customFormat="false" ht="19.5" hidden="false" customHeight="true" outlineLevel="0" collapsed="false">
      <c r="A32" s="156"/>
      <c r="B32" s="130"/>
      <c r="C32" s="30"/>
      <c r="D32" s="30"/>
      <c r="E32" s="30"/>
      <c r="F32" s="30"/>
      <c r="G32" s="30"/>
      <c r="H32" s="48"/>
      <c r="I32" s="49"/>
      <c r="J32" s="54"/>
      <c r="K32" s="54"/>
      <c r="L32" s="54"/>
      <c r="M32" s="55" t="str">
        <f aca="false">IF(AND(OR(N31="(Watch)",N31="(Action)"),H31&lt;25),Forecasted_Data!CF121,IF(AND(N31="(Action)",H31&gt;=25,H31&lt;27),Forecasted_Data!CF122,IF(AND(OR(N31="(Watch)",N31="(Normal)"),H31&gt;=27),Forecasted_Data!CF117,IF(AND(N31="(Normal)",H31&gt;=25,H31&lt;27),Forecasted_Data!CF118,""))))</f>
        <v/>
      </c>
      <c r="N32" s="55"/>
    </row>
    <row r="33" customFormat="false" ht="19.5" hidden="false" customHeight="true" outlineLevel="0" collapsed="false">
      <c r="A33" s="156"/>
      <c r="B33" s="132" t="s">
        <v>279</v>
      </c>
      <c r="C33" s="16" t="s">
        <v>280</v>
      </c>
      <c r="D33" s="16" t="s">
        <v>281</v>
      </c>
      <c r="E33" s="16" t="s">
        <v>282</v>
      </c>
      <c r="F33" s="16" t="s">
        <v>275</v>
      </c>
      <c r="G33" s="16" t="s">
        <v>162</v>
      </c>
      <c r="H33" s="19" t="n">
        <f aca="false">[2]mor!H15</f>
        <v>7.6</v>
      </c>
      <c r="I33" s="20"/>
      <c r="J33" s="44"/>
      <c r="K33" s="43"/>
      <c r="L33" s="149"/>
      <c r="M33" s="149" t="str">
        <f aca="false">IF(J33="Crest at",Forecasted_Data!CH115,IF(J33="Falling to",Forecasted_Data!CH116,""))</f>
        <v/>
      </c>
      <c r="N33" s="135" t="str">
        <f aca="false">IF(AND(J33="Crest at",Forecasted_Data!CG115&lt;=6.5),"(Low Action)",IF(AND(J33="Crest at",Forecasted_Data!CG115&gt;6.5,Forecasted_Data!CG115&lt;=7),"(Low Watch)",IF(AND(J33="Crest at",Forecasted_Data!CG115&gt;7,Forecasted_Data!CG115&lt;21),"(Normal)",IF(AND(J33="Crest at",Forecasted_Data!CG115&gt;=21,Forecasted_Data!CG115&lt;25),"(Watch)",IF(AND(J33="Crest at",Forecasted_Data!CG115&gt;=25),"(Action)",IF(AND(J33="Falling to",Forecasted_Data!CG116&lt;=6.5),"(Low Action)",IF(AND(J33="Falling to",Forecasted_Data!CG116&gt;6.5,Forecasted_Data!CG116&lt;=7),"(Low Watch)",IF(AND(J33="Falling to",Forecasted_Data!CG116&gt;7,Forecasted_Data!CG116&lt;21),"(Normal)",IF(AND(J33="Falling to",Forecasted_Data!CG116&gt;=21,Forecasted_Data!CG116&lt;25),"(Watch)",IF(AND(J33="Falling to",Forecasted_Data!CG116&gt;=25),"(Action)",""))))))))))</f>
        <v/>
      </c>
    </row>
    <row r="34" customFormat="false" ht="19.5" hidden="false" customHeight="true" outlineLevel="0" collapsed="false">
      <c r="A34" s="156"/>
      <c r="B34" s="132"/>
      <c r="C34" s="16"/>
      <c r="D34" s="16"/>
      <c r="E34" s="16"/>
      <c r="F34" s="16"/>
      <c r="G34" s="16"/>
      <c r="H34" s="19"/>
      <c r="I34" s="20"/>
      <c r="J34" s="150"/>
      <c r="K34" s="150"/>
      <c r="L34" s="150"/>
      <c r="M34" s="58"/>
      <c r="N34" s="58"/>
    </row>
    <row r="35" customFormat="false" ht="19.5" hidden="false" customHeight="true" outlineLevel="0" collapsed="false">
      <c r="A35" s="138"/>
      <c r="B35" s="139"/>
      <c r="C35" s="139"/>
      <c r="D35" s="139"/>
      <c r="E35" s="158"/>
      <c r="F35" s="158"/>
      <c r="G35" s="158"/>
      <c r="H35" s="141"/>
      <c r="I35" s="141"/>
      <c r="J35" s="154"/>
      <c r="K35" s="155"/>
      <c r="L35" s="154"/>
      <c r="M35" s="154"/>
      <c r="N35" s="159"/>
    </row>
    <row r="36" customFormat="false" ht="19.5" hidden="false" customHeight="true" outlineLevel="0" collapsed="false">
      <c r="A36" s="156" t="s">
        <v>283</v>
      </c>
      <c r="B36" s="130" t="s">
        <v>279</v>
      </c>
      <c r="C36" s="30" t="s">
        <v>280</v>
      </c>
      <c r="D36" s="30" t="s">
        <v>281</v>
      </c>
      <c r="E36" s="30" t="s">
        <v>282</v>
      </c>
      <c r="F36" s="30" t="s">
        <v>275</v>
      </c>
      <c r="G36" s="46" t="s">
        <v>162</v>
      </c>
      <c r="H36" s="48" t="n">
        <f aca="false">[2]mor!H15</f>
        <v>7.6</v>
      </c>
      <c r="I36" s="49"/>
      <c r="J36" s="37"/>
      <c r="K36" s="36"/>
      <c r="L36" s="37"/>
      <c r="M36" s="37" t="str">
        <f aca="false">M33</f>
        <v/>
      </c>
      <c r="N36" s="131" t="str">
        <f aca="false">N33</f>
        <v/>
      </c>
    </row>
    <row r="37" customFormat="false" ht="19.5" hidden="false" customHeight="true" outlineLevel="0" collapsed="false">
      <c r="A37" s="156"/>
      <c r="B37" s="130"/>
      <c r="C37" s="30"/>
      <c r="D37" s="30"/>
      <c r="E37" s="30"/>
      <c r="F37" s="30"/>
      <c r="G37" s="46"/>
      <c r="H37" s="48"/>
      <c r="I37" s="49"/>
      <c r="J37" s="54"/>
      <c r="K37" s="54"/>
      <c r="L37" s="54"/>
      <c r="M37" s="160"/>
      <c r="N37" s="160"/>
    </row>
    <row r="38" customFormat="false" ht="19.5" hidden="false" customHeight="true" outlineLevel="0" collapsed="false">
      <c r="A38" s="156"/>
      <c r="B38" s="132" t="s">
        <v>284</v>
      </c>
      <c r="C38" s="16" t="s">
        <v>187</v>
      </c>
      <c r="D38" s="16" t="s">
        <v>187</v>
      </c>
      <c r="E38" s="16" t="s">
        <v>285</v>
      </c>
      <c r="F38" s="16" t="s">
        <v>286</v>
      </c>
      <c r="G38" s="16" t="s">
        <v>259</v>
      </c>
      <c r="H38" s="19" t="n">
        <f aca="false">[2]mor!H17</f>
        <v>6.07</v>
      </c>
      <c r="I38" s="20"/>
      <c r="J38" s="44"/>
      <c r="K38" s="43"/>
      <c r="L38" s="149"/>
      <c r="M38" s="149" t="str">
        <f aca="false">IF(J38="Crest at",Forecasted_Data!CJ115,IF(J38="Falling to",Forecasted_Data!CJ116,""))</f>
        <v/>
      </c>
      <c r="N38" s="135" t="str">
        <f aca="false">IF(AND(J38="Crest at",Forecasted_Data!CI115&lt;23),"(Normal)",IF(AND(J38="Crest at",Forecasted_Data!CI115&gt;=23,Forecasted_Data!CI115&lt;26),"(Watch)",IF(AND(J38="Crest at",Forecasted_Data!CI115&gt;=26),"(Action)",IF(AND(J38="Falling to",Forecasted_Data!CI116&lt;23),"(Normal)",IF(AND(J38="Falling to",Forecasted_Data!CI116&gt;=23,Forecasted_Data!CI116&lt;26),"(Watch)",IF(AND(J38="Falling to",Forecasted_Data!CI116&gt;=26),"(Action)",""))))))</f>
        <v/>
      </c>
    </row>
    <row r="39" customFormat="false" ht="19.5" hidden="false" customHeight="true" outlineLevel="0" collapsed="false">
      <c r="A39" s="156"/>
      <c r="B39" s="132"/>
      <c r="C39" s="16"/>
      <c r="D39" s="16"/>
      <c r="E39" s="16"/>
      <c r="F39" s="16"/>
      <c r="G39" s="16"/>
      <c r="H39" s="19"/>
      <c r="I39" s="20"/>
      <c r="J39" s="153"/>
      <c r="K39" s="153"/>
      <c r="L39" s="153"/>
      <c r="M39" s="58" t="str">
        <f aca="false">IF(AND(OR(N38="(Watch)",N38="(Action)"),H38&lt;23),Forecasted_Data!CJ121,IF(AND(N38="(Action)",H38&gt;=23,H38&lt;26),Forecasted_Data!CJ122,IF(AND(OR(N38="(Watch)",N38="(Normal)"),H38&gt;=26),Forecasted_Data!CJ117,IF(AND(N38="(Normal)",H38&gt;=23,H38&lt;26),Forecasted_Data!CJ118,""))))</f>
        <v/>
      </c>
      <c r="N39" s="58"/>
      <c r="P39" s="2"/>
      <c r="Q39" s="2"/>
      <c r="R39" s="2"/>
    </row>
    <row r="40" customFormat="false" ht="19.5" hidden="false" customHeight="true" outlineLevel="0" collapsed="false">
      <c r="A40" s="156"/>
      <c r="B40" s="130" t="s">
        <v>287</v>
      </c>
      <c r="C40" s="30" t="s">
        <v>288</v>
      </c>
      <c r="D40" s="30" t="s">
        <v>289</v>
      </c>
      <c r="E40" s="30" t="s">
        <v>290</v>
      </c>
      <c r="F40" s="30" t="s">
        <v>275</v>
      </c>
      <c r="G40" s="46" t="s">
        <v>273</v>
      </c>
      <c r="H40" s="48" t="n">
        <f aca="false">[2]mor!H18</f>
        <v>5.3</v>
      </c>
      <c r="I40" s="49"/>
      <c r="J40" s="37"/>
      <c r="K40" s="36"/>
      <c r="L40" s="53"/>
      <c r="M40" s="53" t="str">
        <f aca="false">IF(J40="Crest at",Forecasted_Data!CL115,IF(J40="Falling to",Forecasted_Data!CL116,""))</f>
        <v/>
      </c>
      <c r="N40" s="131" t="str">
        <f aca="false">IF(AND(J40="Crest at",Forecasted_Data!CK115&lt;=5.2),"(Low Action)",IF(AND(J40="Crest at",Forecasted_Data!CK115&gt;5.2,Forecasted_Data!CK115&lt;=6),"(Low Watch)",IF(AND(J40="Crest at",Forecasted_Data!CK115&gt;6,Forecasted_Data!CK115&lt;21),"(Normal)",IF(AND(J40="Crest at",Forecasted_Data!CK115&gt;=21,Forecasted_Data!CK115&lt;25),"(Watch)",IF(AND(J40="Crest at",Forecasted_Data!CK115&gt;=25),"(Action)",IF(AND(J40="Falling to",Forecasted_Data!CK116&lt;=5.2),"(Low Action)",IF(AND(J40="Falling to",Forecasted_Data!CK116&gt;5.2,Forecasted_Data!CK116&lt;=6),"(Low Watch)",IF(AND(J40="Falling to",Forecasted_Data!CK116&gt;6,Forecasted_Data!CK116&lt;21),"(Normal)",IF(AND(J40="Falling to",Forecasted_Data!CK116&gt;=21,Forecasted_Data!CK116&lt;25),"(Watch)",IF(AND(J40="Falling to",Forecasted_Data!CK116&gt;=25),"(Action)",""))))))))))</f>
        <v/>
      </c>
    </row>
    <row r="41" customFormat="false" ht="19.5" hidden="false" customHeight="true" outlineLevel="0" collapsed="false">
      <c r="A41" s="156"/>
      <c r="B41" s="130"/>
      <c r="C41" s="30"/>
      <c r="D41" s="30"/>
      <c r="E41" s="30"/>
      <c r="F41" s="30"/>
      <c r="G41" s="46"/>
      <c r="H41" s="48"/>
      <c r="I41" s="49"/>
      <c r="J41" s="161"/>
      <c r="K41" s="161"/>
      <c r="L41" s="161"/>
      <c r="M41" s="55" t="str">
        <f aca="false">IF(AND(OR(N40="(Watch)",N40="(Action)"),H40&gt;6,H40&lt;21),Forecasted_Data!CL121,IF(AND(N40="(Action)",H40&gt;=21,H40&lt;25),Forecasted_Data!CL122,IF(AND(OR(N40="(Watch)",N40="(Normal)"),H40&gt;=25),Forecasted_Data!CL117,IF(AND(N40="(Normal)",H40&gt;=21,H40&lt;25),Forecasted_Data!CL118,IF(AND(OR(N40="(Low Watch)",N40="(Low Action)"),H40&gt;6,H40&lt;21),Forecasted_Data!CL123,IF(AND(N40="(Low Action)",H40&lt;=6,H40&gt;5.2),Forecasted_Data!CL124,IF(AND(OR(N40="(Low Watch)",N40="(Normal)"),H40&lt;=5.2),Forecasted_Data!CL119,IF(AND(N40="(Normal)",H40&lt;=6,H40&gt;5.2),Forecasted_Data!CL120,""))))))))</f>
        <v/>
      </c>
      <c r="N41" s="55"/>
    </row>
    <row r="42" customFormat="false" ht="19.5" hidden="false" customHeight="true" outlineLevel="0" collapsed="false">
      <c r="A42" s="138"/>
      <c r="B42" s="139"/>
      <c r="C42" s="139"/>
      <c r="D42" s="139"/>
      <c r="E42" s="140"/>
      <c r="F42" s="140"/>
      <c r="G42" s="140"/>
      <c r="H42" s="141"/>
      <c r="I42" s="141"/>
      <c r="J42" s="154"/>
      <c r="K42" s="155"/>
      <c r="L42" s="154"/>
      <c r="M42" s="154"/>
      <c r="N42" s="159"/>
    </row>
    <row r="43" customFormat="false" ht="19.5" hidden="false" customHeight="true" outlineLevel="0" collapsed="false">
      <c r="A43" s="162" t="s">
        <v>291</v>
      </c>
      <c r="B43" s="163" t="s">
        <v>287</v>
      </c>
      <c r="C43" s="17" t="s">
        <v>288</v>
      </c>
      <c r="D43" s="17" t="s">
        <v>289</v>
      </c>
      <c r="E43" s="16" t="s">
        <v>290</v>
      </c>
      <c r="F43" s="16" t="s">
        <v>275</v>
      </c>
      <c r="G43" s="16" t="s">
        <v>162</v>
      </c>
      <c r="H43" s="19" t="n">
        <f aca="false">[2]mor!H18</f>
        <v>5.3</v>
      </c>
      <c r="I43" s="20"/>
      <c r="J43" s="44"/>
      <c r="K43" s="43"/>
      <c r="L43" s="44"/>
      <c r="M43" s="44" t="str">
        <f aca="false">M40</f>
        <v/>
      </c>
      <c r="N43" s="135" t="str">
        <f aca="false">N40</f>
        <v/>
      </c>
    </row>
    <row r="44" customFormat="false" ht="19.5" hidden="false" customHeight="true" outlineLevel="0" collapsed="false">
      <c r="A44" s="162"/>
      <c r="B44" s="163"/>
      <c r="C44" s="17"/>
      <c r="D44" s="17"/>
      <c r="E44" s="16"/>
      <c r="F44" s="16"/>
      <c r="G44" s="16"/>
      <c r="H44" s="19"/>
      <c r="I44" s="20"/>
      <c r="J44" s="153"/>
      <c r="K44" s="153"/>
      <c r="L44" s="153"/>
      <c r="M44" s="58" t="str">
        <f aca="false">M41</f>
        <v/>
      </c>
      <c r="N44" s="58"/>
    </row>
    <row r="45" customFormat="false" ht="19.5" hidden="false" customHeight="true" outlineLevel="0" collapsed="false">
      <c r="A45" s="162"/>
      <c r="B45" s="164" t="s">
        <v>292</v>
      </c>
      <c r="C45" s="165" t="s">
        <v>187</v>
      </c>
      <c r="D45" s="165" t="s">
        <v>187</v>
      </c>
      <c r="E45" s="165" t="s">
        <v>155</v>
      </c>
      <c r="F45" s="165" t="s">
        <v>293</v>
      </c>
      <c r="G45" s="165" t="s">
        <v>259</v>
      </c>
      <c r="H45" s="166" t="n">
        <f aca="false">[2]mor!H20</f>
        <v>3.3</v>
      </c>
      <c r="I45" s="167"/>
      <c r="J45" s="37"/>
      <c r="K45" s="36"/>
      <c r="L45" s="53"/>
      <c r="M45" s="53" t="str">
        <f aca="false">IF(J45="Crest at",Forecasted_Data!CN115,IF(J45="Falling to",Forecasted_Data!CN116,""))</f>
        <v/>
      </c>
      <c r="N45" s="131" t="str">
        <f aca="false">IF(AND(J45="Crest at",Forecasted_Data!CM115&lt;20),"(Normal)",IF(AND(J45="Crest at",Forecasted_Data!CM115&gt;=20,Forecasted_Data!CM115&lt;26),"(Watch)",IF(AND(J45="Crest at",Forecasted_Data!CM115&gt;=26),"(Action)",IF(AND(J45="Falling to",Forecasted_Data!CM116&lt;20),"(Normal)",IF(AND(J45="Falling to",Forecasted_Data!CM116&gt;=20,Forecasted_Data!CM116&lt;26),"(Watch)",IF(AND(J45="Falling to",Forecasted_Data!CM116&gt;=26),"(Action)",""))))))</f>
        <v/>
      </c>
    </row>
    <row r="46" customFormat="false" ht="19.5" hidden="false" customHeight="true" outlineLevel="0" collapsed="false">
      <c r="A46" s="162"/>
      <c r="B46" s="164"/>
      <c r="C46" s="165"/>
      <c r="D46" s="165"/>
      <c r="E46" s="165"/>
      <c r="F46" s="165"/>
      <c r="G46" s="165"/>
      <c r="H46" s="166"/>
      <c r="I46" s="167"/>
      <c r="J46" s="54"/>
      <c r="K46" s="54"/>
      <c r="L46" s="54"/>
      <c r="M46" s="55" t="str">
        <f aca="false">IF(AND(OR(N45="(Watch)",N45="(Action)"),H45&lt;20),Forecasted_Data!CN121,IF(AND(N45="(Action)",H45&gt;=20,H45&lt;26),Forecasted_Data!CN122,IF(AND(OR(N45="(Watch)",N45="(Normal)"),H45&gt;=26),Forecasted_Data!CN117,IF(AND(N45="(Normal)",H45&gt;=20,H45&lt;26),Forecasted_Data!CN118,""))))</f>
        <v/>
      </c>
      <c r="N46" s="55"/>
    </row>
    <row r="47" customFormat="false" ht="19.5" hidden="false" customHeight="true" outlineLevel="0" collapsed="false">
      <c r="A47" s="162"/>
      <c r="B47" s="168" t="s">
        <v>294</v>
      </c>
      <c r="C47" s="169" t="s">
        <v>187</v>
      </c>
      <c r="D47" s="169" t="s">
        <v>187</v>
      </c>
      <c r="E47" s="169" t="s">
        <v>132</v>
      </c>
      <c r="F47" s="169" t="s">
        <v>277</v>
      </c>
      <c r="G47" s="169" t="s">
        <v>278</v>
      </c>
      <c r="H47" s="170" t="n">
        <f aca="false">[2]mor!H21</f>
        <v>10.44</v>
      </c>
      <c r="I47" s="171"/>
      <c r="J47" s="172"/>
      <c r="K47" s="43"/>
      <c r="L47" s="149"/>
      <c r="M47" s="149" t="str">
        <f aca="false">IF(J47="Crest at",Forecasted_Data!CP115,IF(J47="Falling to",Forecasted_Data!CP116,""))</f>
        <v/>
      </c>
      <c r="N47" s="135" t="str">
        <f aca="false">IF(AND(J47="Crest at",Forecasted_Data!CO115&lt;25),"(Normal)",IF(AND(J47="Crest at",Forecasted_Data!CO115&gt;=25,Forecasted_Data!CO115&lt;27),"(Watch)",IF(AND(J47="Crest at",Forecasted_Data!CO115&gt;=27),"(Action)",IF(AND(J47="Falling to",Forecasted_Data!CO116&lt;25),"(Normal)",IF(AND(J47="Falling to",Forecasted_Data!CO116&gt;=25,Forecasted_Data!CO116&lt;27),"(Watch)",IF(AND(J47="Falling to",Forecasted_Data!CO116&gt;=27),"(Action)",""))))))</f>
        <v/>
      </c>
    </row>
    <row r="48" customFormat="false" ht="19.5" hidden="false" customHeight="true" outlineLevel="0" collapsed="false">
      <c r="A48" s="162"/>
      <c r="B48" s="168"/>
      <c r="C48" s="169"/>
      <c r="D48" s="169"/>
      <c r="E48" s="169"/>
      <c r="F48" s="169"/>
      <c r="G48" s="169"/>
      <c r="H48" s="170"/>
      <c r="I48" s="171"/>
      <c r="J48" s="173"/>
      <c r="K48" s="173"/>
      <c r="L48" s="173"/>
      <c r="M48" s="174" t="str">
        <f aca="false">IF(AND(OR(N47="(Watch)",N47="(Action)"),H47&lt;25),Forecasted_Data!CP121,IF(AND(N47="(Action)",H47&gt;=25,H47&lt;27),Forecasted_Data!CP122,IF(AND(OR(N47="(Normal)",N47="(Watch)"),H47&gt;=27),Forecasted_Data!CP117,IF(AND(N47="(Normal)",H47&gt;=25,H47&lt;27),Forecasted_Data!CP118,""))))</f>
        <v/>
      </c>
      <c r="N48" s="174"/>
    </row>
    <row r="49" customFormat="false" ht="19.5" hidden="false" customHeight="true" outlineLevel="0" collapsed="false">
      <c r="A49" s="125" t="s">
        <v>295</v>
      </c>
      <c r="B49" s="125"/>
      <c r="C49" s="125"/>
      <c r="D49" s="125"/>
      <c r="E49" s="125"/>
      <c r="F49" s="125"/>
      <c r="G49" s="125"/>
      <c r="H49" s="125"/>
      <c r="I49" s="125"/>
      <c r="J49" s="125"/>
      <c r="K49" s="125"/>
      <c r="L49" s="125"/>
      <c r="M49" s="125"/>
      <c r="N49" s="125"/>
    </row>
    <row r="50" customFormat="false" ht="45.75" hidden="false" customHeight="true" outlineLevel="0" collapsed="false">
      <c r="A50" s="125"/>
      <c r="B50" s="125"/>
      <c r="C50" s="125"/>
      <c r="D50" s="125"/>
      <c r="E50" s="125"/>
      <c r="F50" s="125"/>
      <c r="G50" s="125"/>
      <c r="H50" s="125"/>
      <c r="I50" s="125"/>
      <c r="J50" s="125"/>
      <c r="K50" s="125"/>
      <c r="L50" s="125"/>
      <c r="M50" s="125"/>
      <c r="N50" s="125"/>
    </row>
  </sheetData>
  <mergeCells count="212">
    <mergeCell ref="A1:H1"/>
    <mergeCell ref="K1:L1"/>
    <mergeCell ref="M1:N1"/>
    <mergeCell ref="J2:N2"/>
    <mergeCell ref="A3:A6"/>
    <mergeCell ref="B3:B4"/>
    <mergeCell ref="C3:C4"/>
    <mergeCell ref="D3:D4"/>
    <mergeCell ref="E3:E4"/>
    <mergeCell ref="F3:F4"/>
    <mergeCell ref="G3:G4"/>
    <mergeCell ref="H3:H4"/>
    <mergeCell ref="I3:I4"/>
    <mergeCell ref="J4:L4"/>
    <mergeCell ref="M4:N4"/>
    <mergeCell ref="B5:B6"/>
    <mergeCell ref="C5:C6"/>
    <mergeCell ref="D5:D6"/>
    <mergeCell ref="E5:E6"/>
    <mergeCell ref="F5:F6"/>
    <mergeCell ref="G5:G6"/>
    <mergeCell ref="H5:H6"/>
    <mergeCell ref="I5:I6"/>
    <mergeCell ref="J6:L6"/>
    <mergeCell ref="M6:N6"/>
    <mergeCell ref="A8:A11"/>
    <mergeCell ref="B8:B9"/>
    <mergeCell ref="C8:C9"/>
    <mergeCell ref="D8:D9"/>
    <mergeCell ref="E8:E9"/>
    <mergeCell ref="F8:F9"/>
    <mergeCell ref="G8:G9"/>
    <mergeCell ref="H8:H9"/>
    <mergeCell ref="I8:I9"/>
    <mergeCell ref="J9:L9"/>
    <mergeCell ref="M9:N9"/>
    <mergeCell ref="B10:B11"/>
    <mergeCell ref="C10:C11"/>
    <mergeCell ref="D10:D11"/>
    <mergeCell ref="E10:E11"/>
    <mergeCell ref="F10:F11"/>
    <mergeCell ref="G10:G11"/>
    <mergeCell ref="H10:H11"/>
    <mergeCell ref="I10:I11"/>
    <mergeCell ref="J11:L11"/>
    <mergeCell ref="M11:N11"/>
    <mergeCell ref="A13:A20"/>
    <mergeCell ref="B13:B14"/>
    <mergeCell ref="C13:C14"/>
    <mergeCell ref="D13:D14"/>
    <mergeCell ref="E13:E14"/>
    <mergeCell ref="F13:F14"/>
    <mergeCell ref="G13:G14"/>
    <mergeCell ref="H13:H14"/>
    <mergeCell ref="I13:I14"/>
    <mergeCell ref="J14:L14"/>
    <mergeCell ref="M14:N14"/>
    <mergeCell ref="B15:B16"/>
    <mergeCell ref="C15:C16"/>
    <mergeCell ref="D15:D16"/>
    <mergeCell ref="E15:E16"/>
    <mergeCell ref="F15:F16"/>
    <mergeCell ref="G15:G16"/>
    <mergeCell ref="H15:H16"/>
    <mergeCell ref="I15:I16"/>
    <mergeCell ref="J16:L16"/>
    <mergeCell ref="M16:N16"/>
    <mergeCell ref="B17:B18"/>
    <mergeCell ref="C17:C18"/>
    <mergeCell ref="D17:D18"/>
    <mergeCell ref="E17:E18"/>
    <mergeCell ref="F17:F18"/>
    <mergeCell ref="G17:G18"/>
    <mergeCell ref="H17:H18"/>
    <mergeCell ref="I17:I18"/>
    <mergeCell ref="J18:L18"/>
    <mergeCell ref="M18:N18"/>
    <mergeCell ref="B19:B20"/>
    <mergeCell ref="C19:C20"/>
    <mergeCell ref="D19:D20"/>
    <mergeCell ref="E19:E20"/>
    <mergeCell ref="F19:F20"/>
    <mergeCell ref="G19:G20"/>
    <mergeCell ref="H19:H20"/>
    <mergeCell ref="I19:I20"/>
    <mergeCell ref="J20:L20"/>
    <mergeCell ref="M20:N20"/>
    <mergeCell ref="A22:A25"/>
    <mergeCell ref="B22:B23"/>
    <mergeCell ref="C22:C23"/>
    <mergeCell ref="D22:D23"/>
    <mergeCell ref="E22:E23"/>
    <mergeCell ref="F22:F23"/>
    <mergeCell ref="G22:G23"/>
    <mergeCell ref="H22:H23"/>
    <mergeCell ref="I22:I23"/>
    <mergeCell ref="J23:L23"/>
    <mergeCell ref="M23:N23"/>
    <mergeCell ref="B24:B25"/>
    <mergeCell ref="C24:C25"/>
    <mergeCell ref="D24:D25"/>
    <mergeCell ref="E24:E25"/>
    <mergeCell ref="F24:F25"/>
    <mergeCell ref="G24:G25"/>
    <mergeCell ref="H24:H25"/>
    <mergeCell ref="I24:I25"/>
    <mergeCell ref="J25:L25"/>
    <mergeCell ref="M25:N25"/>
    <mergeCell ref="A27:A34"/>
    <mergeCell ref="B27:B28"/>
    <mergeCell ref="C27:C28"/>
    <mergeCell ref="D27:D28"/>
    <mergeCell ref="E27:E28"/>
    <mergeCell ref="F27:F28"/>
    <mergeCell ref="G27:G28"/>
    <mergeCell ref="H27:H28"/>
    <mergeCell ref="I27:I28"/>
    <mergeCell ref="J28:L28"/>
    <mergeCell ref="M28:N28"/>
    <mergeCell ref="B29:B30"/>
    <mergeCell ref="C29:C30"/>
    <mergeCell ref="D29:D30"/>
    <mergeCell ref="E29:E30"/>
    <mergeCell ref="F29:F30"/>
    <mergeCell ref="G29:G30"/>
    <mergeCell ref="H29:H30"/>
    <mergeCell ref="I29:I30"/>
    <mergeCell ref="J30:L30"/>
    <mergeCell ref="M30:N30"/>
    <mergeCell ref="B31:B32"/>
    <mergeCell ref="C31:C32"/>
    <mergeCell ref="D31:D32"/>
    <mergeCell ref="E31:E32"/>
    <mergeCell ref="F31:F32"/>
    <mergeCell ref="G31:G32"/>
    <mergeCell ref="H31:H32"/>
    <mergeCell ref="I31:I32"/>
    <mergeCell ref="J32:L32"/>
    <mergeCell ref="M32:N32"/>
    <mergeCell ref="B33:B34"/>
    <mergeCell ref="C33:C34"/>
    <mergeCell ref="D33:D34"/>
    <mergeCell ref="E33:E34"/>
    <mergeCell ref="F33:F34"/>
    <mergeCell ref="G33:G34"/>
    <mergeCell ref="H33:H34"/>
    <mergeCell ref="I33:I34"/>
    <mergeCell ref="J34:L34"/>
    <mergeCell ref="M34:N34"/>
    <mergeCell ref="A36:A41"/>
    <mergeCell ref="B36:B37"/>
    <mergeCell ref="C36:C37"/>
    <mergeCell ref="D36:D37"/>
    <mergeCell ref="E36:E37"/>
    <mergeCell ref="F36:F37"/>
    <mergeCell ref="G36:G37"/>
    <mergeCell ref="H36:H37"/>
    <mergeCell ref="I36:I37"/>
    <mergeCell ref="J37:L37"/>
    <mergeCell ref="M37:N37"/>
    <mergeCell ref="B38:B39"/>
    <mergeCell ref="C38:C39"/>
    <mergeCell ref="D38:D39"/>
    <mergeCell ref="E38:E39"/>
    <mergeCell ref="F38:F39"/>
    <mergeCell ref="G38:G39"/>
    <mergeCell ref="H38:H39"/>
    <mergeCell ref="I38:I39"/>
    <mergeCell ref="J39:L39"/>
    <mergeCell ref="M39:N39"/>
    <mergeCell ref="B40:B41"/>
    <mergeCell ref="C40:C41"/>
    <mergeCell ref="D40:D41"/>
    <mergeCell ref="E40:E41"/>
    <mergeCell ref="F40:F41"/>
    <mergeCell ref="G40:G41"/>
    <mergeCell ref="H40:H41"/>
    <mergeCell ref="I40:I41"/>
    <mergeCell ref="J41:L41"/>
    <mergeCell ref="M41:N41"/>
    <mergeCell ref="A43:A48"/>
    <mergeCell ref="B43:B44"/>
    <mergeCell ref="C43:C44"/>
    <mergeCell ref="D43:D44"/>
    <mergeCell ref="E43:E44"/>
    <mergeCell ref="F43:F44"/>
    <mergeCell ref="G43:G44"/>
    <mergeCell ref="H43:H44"/>
    <mergeCell ref="I43:I44"/>
    <mergeCell ref="J44:L44"/>
    <mergeCell ref="M44:N44"/>
    <mergeCell ref="B45:B46"/>
    <mergeCell ref="C45:C46"/>
    <mergeCell ref="D45:D46"/>
    <mergeCell ref="E45:E46"/>
    <mergeCell ref="F45:F46"/>
    <mergeCell ref="G45:G46"/>
    <mergeCell ref="H45:H46"/>
    <mergeCell ref="I45:I46"/>
    <mergeCell ref="J46:L46"/>
    <mergeCell ref="M46:N46"/>
    <mergeCell ref="B47:B48"/>
    <mergeCell ref="C47:C48"/>
    <mergeCell ref="D47:D48"/>
    <mergeCell ref="E47:E48"/>
    <mergeCell ref="F47:F48"/>
    <mergeCell ref="G47:G48"/>
    <mergeCell ref="H47:H48"/>
    <mergeCell ref="I47:I48"/>
    <mergeCell ref="J48:L48"/>
    <mergeCell ref="M48:N48"/>
    <mergeCell ref="A49:N50"/>
  </mergeCells>
  <conditionalFormatting sqref="A22">
    <cfRule type="expression" priority="2" aboveAverage="0" equalAverage="0" bottom="0" percent="0" rank="0" text="" dxfId="181">
      <formula>OR(H22&gt;=35,H24&gt;=25,H22&lt;=7.8,H24&lt;=10)</formula>
    </cfRule>
    <cfRule type="expression" priority="3" aboveAverage="0" equalAverage="0" bottom="0" percent="0" rank="0" text="" dxfId="182">
      <formula>OR(AND(H22&gt;=32,H22&lt;35),AND(H24&gt;=22,H24&lt;25),AND(H22&gt;7.8,H22&lt;=8),AND(H24&gt;10,H24&lt;=10.2))</formula>
    </cfRule>
    <cfRule type="expression" priority="4" aboveAverage="0" equalAverage="0" bottom="0" percent="0" rank="0" text="" dxfId="183">
      <formula>AND(AND(H22&gt;8,H22&lt;32),AND(H24&gt;10.2,H24&lt;22))</formula>
    </cfRule>
  </conditionalFormatting>
  <conditionalFormatting sqref="A8">
    <cfRule type="expression" priority="5" aboveAverage="0" equalAverage="0" bottom="0" percent="0" rank="0" text="" dxfId="184">
      <formula>OR(H8&gt;=29,H10&gt;=20)</formula>
    </cfRule>
    <cfRule type="expression" priority="6" aboveAverage="0" equalAverage="0" bottom="0" percent="0" rank="0" text="" dxfId="185">
      <formula>OR(AND(H8&gt;=26,H8&lt;29),AND(H10&gt;=17,H10&lt;20))</formula>
    </cfRule>
    <cfRule type="expression" priority="7" aboveAverage="0" equalAverage="0" bottom="0" percent="0" rank="0" text="" dxfId="186">
      <formula>AND(H8&lt;26,H10&lt;17)</formula>
    </cfRule>
  </conditionalFormatting>
  <conditionalFormatting sqref="A3">
    <cfRule type="expression" priority="8" aboveAverage="0" equalAverage="0" bottom="0" percent="0" rank="0" text="" dxfId="187">
      <formula>OR(H3&gt;=30,H5&gt;=29)</formula>
    </cfRule>
    <cfRule type="expression" priority="9" aboveAverage="0" equalAverage="0" bottom="0" percent="0" rank="0" text="" dxfId="188">
      <formula>OR(AND(H3&gt;=29,H3&lt;30),AND(H5&gt;=26,H5&lt;29))</formula>
    </cfRule>
    <cfRule type="expression" priority="10" aboveAverage="0" equalAverage="0" bottom="0" percent="0" rank="0" text="" dxfId="189">
      <formula>AND(H3&lt;29,H5&lt;26)</formula>
    </cfRule>
  </conditionalFormatting>
  <conditionalFormatting sqref="D43">
    <cfRule type="expression" priority="11" aboveAverage="0" equalAverage="0" bottom="0" percent="0" rank="0" text="" dxfId="190">
      <formula>AND($H$43&gt;=5.2,$H$43&lt;=6)</formula>
    </cfRule>
  </conditionalFormatting>
  <conditionalFormatting sqref="C43">
    <cfRule type="expression" priority="12" aboveAverage="0" equalAverage="0" bottom="0" percent="0" rank="0" text="" dxfId="191">
      <formula>AND($H$43&lt;5.2)</formula>
    </cfRule>
  </conditionalFormatting>
  <conditionalFormatting sqref="D40">
    <cfRule type="expression" priority="13" aboveAverage="0" equalAverage="0" bottom="0" percent="0" rank="0" text="" dxfId="192">
      <formula>AND($H$40&gt;=5.2,$H$40&lt;=6)</formula>
    </cfRule>
  </conditionalFormatting>
  <conditionalFormatting sqref="C40">
    <cfRule type="expression" priority="14" aboveAverage="0" equalAverage="0" bottom="0" percent="0" rank="0" text="" dxfId="193">
      <formula>AND($H$40&lt;5.2)</formula>
    </cfRule>
  </conditionalFormatting>
  <conditionalFormatting sqref="D36">
    <cfRule type="expression" priority="15" aboveAverage="0" equalAverage="0" bottom="0" percent="0" rank="0" text="" dxfId="194">
      <formula>AND($H$36&gt;=6.5,$H$36&lt;=7)</formula>
    </cfRule>
  </conditionalFormatting>
  <conditionalFormatting sqref="C36">
    <cfRule type="expression" priority="16" aboveAverage="0" equalAverage="0" bottom="0" percent="0" rank="0" text="" dxfId="195">
      <formula>AND($H$36&lt;6.5)</formula>
    </cfRule>
  </conditionalFormatting>
  <conditionalFormatting sqref="D33">
    <cfRule type="expression" priority="17" aboveAverage="0" equalAverage="0" bottom="0" percent="0" rank="0" text="" dxfId="196">
      <formula>AND($H$33&gt;=6.5,$H$33&lt;=7)</formula>
    </cfRule>
  </conditionalFormatting>
  <conditionalFormatting sqref="C33">
    <cfRule type="expression" priority="18" aboveAverage="0" equalAverage="0" bottom="0" percent="0" rank="0" text="" dxfId="197">
      <formula>AND($H$33&lt;6.5)</formula>
    </cfRule>
  </conditionalFormatting>
  <conditionalFormatting sqref="D27">
    <cfRule type="expression" priority="19" aboveAverage="0" equalAverage="0" bottom="0" percent="0" rank="0" text="" dxfId="198">
      <formula>AND($H$27&gt;=10,$H$27&lt;=10.2)</formula>
    </cfRule>
  </conditionalFormatting>
  <conditionalFormatting sqref="C27">
    <cfRule type="expression" priority="20" aboveAverage="0" equalAverage="0" bottom="0" percent="0" rank="0" text="" dxfId="199">
      <formula>AND($H$27&lt;10)</formula>
    </cfRule>
  </conditionalFormatting>
  <conditionalFormatting sqref="D24">
    <cfRule type="expression" priority="21" aboveAverage="0" equalAverage="0" bottom="0" percent="0" rank="0" text="" dxfId="200">
      <formula>AND($H$24&gt;=10,$H$24&lt;=-10.2)</formula>
    </cfRule>
  </conditionalFormatting>
  <conditionalFormatting sqref="C24">
    <cfRule type="expression" priority="22" aboveAverage="0" equalAverage="0" bottom="0" percent="0" rank="0" text="" dxfId="201">
      <formula>AND($H$24&lt;10)</formula>
    </cfRule>
  </conditionalFormatting>
  <conditionalFormatting sqref="D22">
    <cfRule type="expression" priority="23" aboveAverage="0" equalAverage="0" bottom="0" percent="0" rank="0" text="" dxfId="202">
      <formula>AND($H$22&gt;=7.8,$H$22&lt;=8)</formula>
    </cfRule>
  </conditionalFormatting>
  <conditionalFormatting sqref="C22">
    <cfRule type="expression" priority="24" aboveAverage="0" equalAverage="0" bottom="0" percent="0" rank="0" text="" dxfId="203">
      <formula>AND($H$22&lt;7.8)</formula>
    </cfRule>
  </conditionalFormatting>
  <conditionalFormatting sqref="E36">
    <cfRule type="expression" priority="25" aboveAverage="0" equalAverage="0" bottom="0" percent="0" rank="0" text="" dxfId="204">
      <formula>AND($H$36&gt;7,$H$36&lt;21)</formula>
    </cfRule>
  </conditionalFormatting>
  <conditionalFormatting sqref="G47">
    <cfRule type="expression" priority="26" aboveAverage="0" equalAverage="0" bottom="0" percent="0" rank="0" text="" dxfId="205">
      <formula>$H$47&gt;=27</formula>
    </cfRule>
  </conditionalFormatting>
  <conditionalFormatting sqref="F47">
    <cfRule type="expression" priority="27" aboveAverage="0" equalAverage="0" bottom="0" percent="0" rank="0" text="" dxfId="206">
      <formula>AND($H$47&gt;=25,$H$47&lt;27)</formula>
    </cfRule>
  </conditionalFormatting>
  <conditionalFormatting sqref="E47">
    <cfRule type="expression" priority="28" aboveAverage="0" equalAverage="0" bottom="0" percent="0" rank="0" text="" dxfId="207">
      <formula>AND($H$47&lt;25)</formula>
    </cfRule>
  </conditionalFormatting>
  <conditionalFormatting sqref="G45">
    <cfRule type="expression" priority="29" aboveAverage="0" equalAverage="0" bottom="0" percent="0" rank="0" text="" dxfId="208">
      <formula>$H$45&gt;=26</formula>
    </cfRule>
  </conditionalFormatting>
  <conditionalFormatting sqref="F45">
    <cfRule type="expression" priority="30" aboveAverage="0" equalAverage="0" bottom="0" percent="0" rank="0" text="" dxfId="209">
      <formula>AND($H$45&gt;=20,$H$45&lt;26)</formula>
    </cfRule>
  </conditionalFormatting>
  <conditionalFormatting sqref="E45">
    <cfRule type="expression" priority="31" aboveAverage="0" equalAverage="0" bottom="0" percent="0" rank="0" text="" dxfId="210">
      <formula>AND($H$45&lt;20)</formula>
    </cfRule>
  </conditionalFormatting>
  <conditionalFormatting sqref="G43">
    <cfRule type="expression" priority="32" aboveAverage="0" equalAverage="0" bottom="0" percent="0" rank="0" text="" dxfId="211">
      <formula>$H$43&gt;=25</formula>
    </cfRule>
  </conditionalFormatting>
  <conditionalFormatting sqref="F43">
    <cfRule type="expression" priority="33" aboveAverage="0" equalAverage="0" bottom="0" percent="0" rank="0" text="" dxfId="212">
      <formula>AND($H$43&gt;=21,$H$43&lt;25)</formula>
    </cfRule>
  </conditionalFormatting>
  <conditionalFormatting sqref="E43">
    <cfRule type="expression" priority="34" aboveAverage="0" equalAverage="0" bottom="0" percent="0" rank="0" text="" dxfId="213">
      <formula>AND($H$43&gt;6,$H$43&lt;21)</formula>
    </cfRule>
  </conditionalFormatting>
  <conditionalFormatting sqref="G40">
    <cfRule type="expression" priority="35" aboveAverage="0" equalAverage="0" bottom="0" percent="0" rank="0" text="" dxfId="214">
      <formula>$H$40&gt;=25</formula>
    </cfRule>
  </conditionalFormatting>
  <conditionalFormatting sqref="F40">
    <cfRule type="expression" priority="36" aboveAverage="0" equalAverage="0" bottom="0" percent="0" rank="0" text="" dxfId="215">
      <formula>AND($H$40&gt;=21,$H$40&lt;25)</formula>
    </cfRule>
  </conditionalFormatting>
  <conditionalFormatting sqref="E40">
    <cfRule type="expression" priority="37" aboveAverage="0" equalAverage="0" bottom="0" percent="0" rank="0" text="" dxfId="216">
      <formula>AND($H$40&gt;6,$H$40&lt;21)</formula>
    </cfRule>
  </conditionalFormatting>
  <conditionalFormatting sqref="G38">
    <cfRule type="expression" priority="38" aboveAverage="0" equalAverage="0" bottom="0" percent="0" rank="0" text="" dxfId="217">
      <formula>$H$38&gt;=26</formula>
    </cfRule>
  </conditionalFormatting>
  <conditionalFormatting sqref="F38">
    <cfRule type="expression" priority="39" aboveAverage="0" equalAverage="0" bottom="0" percent="0" rank="0" text="" dxfId="218">
      <formula>AND($H$38&gt;=23,$H$38&lt;26)</formula>
    </cfRule>
  </conditionalFormatting>
  <conditionalFormatting sqref="E38">
    <cfRule type="expression" priority="40" aboveAverage="0" equalAverage="0" bottom="0" percent="0" rank="0" text="" dxfId="219">
      <formula>AND($H$38&lt;23)</formula>
    </cfRule>
  </conditionalFormatting>
  <conditionalFormatting sqref="G36">
    <cfRule type="expression" priority="41" aboveAverage="0" equalAverage="0" bottom="0" percent="0" rank="0" text="" dxfId="220">
      <formula>$H$36&gt;=25</formula>
    </cfRule>
  </conditionalFormatting>
  <conditionalFormatting sqref="F36">
    <cfRule type="expression" priority="42" aboveAverage="0" equalAverage="0" bottom="0" percent="0" rank="0" text="" dxfId="221">
      <formula>AND($H$36&gt;=21,$H$36&lt;25)</formula>
    </cfRule>
  </conditionalFormatting>
  <conditionalFormatting sqref="G33">
    <cfRule type="expression" priority="43" aboveAverage="0" equalAverage="0" bottom="0" percent="0" rank="0" text="" dxfId="222">
      <formula>$H$33&gt;=25</formula>
    </cfRule>
  </conditionalFormatting>
  <conditionalFormatting sqref="F33">
    <cfRule type="expression" priority="44" aboveAverage="0" equalAverage="0" bottom="0" percent="0" rank="0" text="" dxfId="223">
      <formula>AND($H$33&gt;=21,$H$33&lt;25)</formula>
    </cfRule>
  </conditionalFormatting>
  <conditionalFormatting sqref="E33">
    <cfRule type="expression" priority="45" aboveAverage="0" equalAverage="0" bottom="0" percent="0" rank="0" text="" dxfId="224">
      <formula>AND($H$33&gt;7,$H$33&lt;21)</formula>
    </cfRule>
  </conditionalFormatting>
  <conditionalFormatting sqref="G31">
    <cfRule type="expression" priority="46" aboveAverage="0" equalAverage="0" bottom="0" percent="0" rank="0" text="" dxfId="225">
      <formula>$H$31&gt;=27</formula>
    </cfRule>
  </conditionalFormatting>
  <conditionalFormatting sqref="F31">
    <cfRule type="expression" priority="47" aboveAverage="0" equalAverage="0" bottom="0" percent="0" rank="0" text="" dxfId="226">
      <formula>AND($H$31&gt;=25,$H$31&lt;27)</formula>
    </cfRule>
  </conditionalFormatting>
  <conditionalFormatting sqref="E31">
    <cfRule type="expression" priority="48" aboveAverage="0" equalAverage="0" bottom="0" percent="0" rank="0" text="" dxfId="227">
      <formula>AND($H$31&lt;25)</formula>
    </cfRule>
  </conditionalFormatting>
  <conditionalFormatting sqref="G29">
    <cfRule type="expression" priority="49" aboveAverage="0" equalAverage="0" bottom="0" percent="0" rank="0" text="" dxfId="228">
      <formula>$H$29&gt;=25</formula>
    </cfRule>
  </conditionalFormatting>
  <conditionalFormatting sqref="F29">
    <cfRule type="expression" priority="50" aboveAverage="0" equalAverage="0" bottom="0" percent="0" rank="0" text="" dxfId="229">
      <formula>AND($H$29&gt;=21,$H$29&lt;25)</formula>
    </cfRule>
  </conditionalFormatting>
  <conditionalFormatting sqref="E29">
    <cfRule type="expression" priority="51" aboveAverage="0" equalAverage="0" bottom="0" percent="0" rank="0" text="" dxfId="230">
      <formula>AND($H$29&lt;21)</formula>
    </cfRule>
  </conditionalFormatting>
  <conditionalFormatting sqref="G27">
    <cfRule type="expression" priority="52" aboveAverage="0" equalAverage="0" bottom="0" percent="0" rank="0" text="" dxfId="231">
      <formula>$H$27&gt;=25</formula>
    </cfRule>
  </conditionalFormatting>
  <conditionalFormatting sqref="F27">
    <cfRule type="expression" priority="53" aboveAverage="0" equalAverage="0" bottom="0" percent="0" rank="0" text="" dxfId="232">
      <formula>AND($H$27&gt;=22,$H$27&lt;25)</formula>
    </cfRule>
  </conditionalFormatting>
  <conditionalFormatting sqref="E27">
    <cfRule type="expression" priority="54" aboveAverage="0" equalAverage="0" bottom="0" percent="0" rank="0" text="" dxfId="233">
      <formula>AND($H$27&gt;10.2,$H$27&lt;22)</formula>
    </cfRule>
  </conditionalFormatting>
  <conditionalFormatting sqref="G24">
    <cfRule type="expression" priority="55" aboveAverage="0" equalAverage="0" bottom="0" percent="0" rank="0" text="" dxfId="234">
      <formula>$H$24&gt;=25</formula>
    </cfRule>
  </conditionalFormatting>
  <conditionalFormatting sqref="F24">
    <cfRule type="expression" priority="56" aboveAverage="0" equalAverage="0" bottom="0" percent="0" rank="0" text="" dxfId="235">
      <formula>AND($H$24&gt;=22,$H$24&lt;25)</formula>
    </cfRule>
  </conditionalFormatting>
  <conditionalFormatting sqref="E24">
    <cfRule type="expression" priority="57" aboveAverage="0" equalAverage="0" bottom="0" percent="0" rank="0" text="" dxfId="236">
      <formula>AND($H$24&gt;10.2,$H$24&lt;22)</formula>
    </cfRule>
  </conditionalFormatting>
  <conditionalFormatting sqref="G22">
    <cfRule type="expression" priority="58" aboveAverage="0" equalAverage="0" bottom="0" percent="0" rank="0" text="" dxfId="237">
      <formula>$H$22&gt;=35</formula>
    </cfRule>
  </conditionalFormatting>
  <conditionalFormatting sqref="F22">
    <cfRule type="expression" priority="59" aboveAverage="0" equalAverage="0" bottom="0" percent="0" rank="0" text="" dxfId="238">
      <formula>AND($H$22&gt;=32,$H$22&lt;35)</formula>
    </cfRule>
  </conditionalFormatting>
  <conditionalFormatting sqref="E22">
    <cfRule type="expression" priority="60" aboveAverage="0" equalAverage="0" bottom="0" percent="0" rank="0" text="" dxfId="239">
      <formula>AND($H$22&gt;8,$H$22&lt;32)</formula>
    </cfRule>
  </conditionalFormatting>
  <conditionalFormatting sqref="G19">
    <cfRule type="expression" priority="61" aboveAverage="0" equalAverage="0" bottom="0" percent="0" rank="0" text="" dxfId="240">
      <formula>$H$19&gt;=35</formula>
    </cfRule>
  </conditionalFormatting>
  <conditionalFormatting sqref="F19">
    <cfRule type="expression" priority="62" aboveAverage="0" equalAverage="0" bottom="0" percent="0" rank="0" text="" dxfId="241">
      <formula>AND($H$19&gt;=32,$H$19&lt;35)</formula>
    </cfRule>
  </conditionalFormatting>
  <conditionalFormatting sqref="E19">
    <cfRule type="expression" priority="63" aboveAverage="0" equalAverage="0" bottom="0" percent="0" rank="0" text="" dxfId="242">
      <formula>AND($H$19&lt;32)</formula>
    </cfRule>
  </conditionalFormatting>
  <conditionalFormatting sqref="G17">
    <cfRule type="expression" priority="64" aboveAverage="0" equalAverage="0" bottom="0" percent="0" rank="0" text="" dxfId="243">
      <formula>$H$17&gt;=26</formula>
    </cfRule>
  </conditionalFormatting>
  <conditionalFormatting sqref="F17">
    <cfRule type="expression" priority="65" aboveAverage="0" equalAverage="0" bottom="0" percent="0" rank="0" text="" dxfId="244">
      <formula>AND($H$17&gt;=22,$H$17&lt;26)</formula>
    </cfRule>
  </conditionalFormatting>
  <conditionalFormatting sqref="E17">
    <cfRule type="expression" priority="66" aboveAverage="0" equalAverage="0" bottom="0" percent="0" rank="0" text="" dxfId="245">
      <formula>AND($H$17&lt;22)</formula>
    </cfRule>
  </conditionalFormatting>
  <conditionalFormatting sqref="G15">
    <cfRule type="expression" priority="67" aboveAverage="0" equalAverage="0" bottom="0" percent="0" rank="0" text="" dxfId="246">
      <formula>$H$15&gt;=20</formula>
    </cfRule>
  </conditionalFormatting>
  <conditionalFormatting sqref="F15">
    <cfRule type="expression" priority="68" aboveAverage="0" equalAverage="0" bottom="0" percent="0" rank="0" text="" dxfId="247">
      <formula>AND($H$15&gt;=17,$H$15&lt;20)</formula>
    </cfRule>
  </conditionalFormatting>
  <conditionalFormatting sqref="E15">
    <cfRule type="expression" priority="69" aboveAverage="0" equalAverage="0" bottom="0" percent="0" rank="0" text="" dxfId="248">
      <formula>AND($H$15&lt;17)</formula>
    </cfRule>
  </conditionalFormatting>
  <conditionalFormatting sqref="G13">
    <cfRule type="expression" priority="70" aboveAverage="0" equalAverage="0" bottom="0" percent="0" rank="0" text="" dxfId="249">
      <formula>$H$13&gt;=20</formula>
    </cfRule>
  </conditionalFormatting>
  <conditionalFormatting sqref="F13">
    <cfRule type="expression" priority="71" aboveAverage="0" equalAverage="0" bottom="0" percent="0" rank="0" text="" dxfId="250">
      <formula>AND($H$13&gt;=17,$H$13&lt;20)</formula>
    </cfRule>
  </conditionalFormatting>
  <conditionalFormatting sqref="E13">
    <cfRule type="expression" priority="72" aboveAverage="0" equalAverage="0" bottom="0" percent="0" rank="0" text="" dxfId="251">
      <formula>AND($H$13&lt;17)</formula>
    </cfRule>
  </conditionalFormatting>
  <conditionalFormatting sqref="G10">
    <cfRule type="expression" priority="73" aboveAverage="0" equalAverage="0" bottom="0" percent="0" rank="0" text="" dxfId="252">
      <formula>$H$10&gt;=20</formula>
    </cfRule>
  </conditionalFormatting>
  <conditionalFormatting sqref="F10">
    <cfRule type="expression" priority="74" aboveAverage="0" equalAverage="0" bottom="0" percent="0" rank="0" text="" dxfId="253">
      <formula>AND($H$10&gt;=17,$H$10&lt;20)</formula>
    </cfRule>
  </conditionalFormatting>
  <conditionalFormatting sqref="E10">
    <cfRule type="expression" priority="75" aboveAverage="0" equalAverage="0" bottom="0" percent="0" rank="0" text="" dxfId="254">
      <formula>AND($H$10&lt;17)</formula>
    </cfRule>
  </conditionalFormatting>
  <conditionalFormatting sqref="G8">
    <cfRule type="expression" priority="76" aboveAverage="0" equalAverage="0" bottom="0" percent="0" rank="0" text="" dxfId="255">
      <formula>$H$8&gt;=29</formula>
    </cfRule>
  </conditionalFormatting>
  <conditionalFormatting sqref="F8">
    <cfRule type="expression" priority="77" aboveAverage="0" equalAverage="0" bottom="0" percent="0" rank="0" text="" dxfId="256">
      <formula>AND($H$8&gt;=26,$H$8&lt;29)</formula>
    </cfRule>
  </conditionalFormatting>
  <conditionalFormatting sqref="E8">
    <cfRule type="expression" priority="78" aboveAverage="0" equalAverage="0" bottom="0" percent="0" rank="0" text="" dxfId="257">
      <formula>AND($H$8&lt;26)</formula>
    </cfRule>
  </conditionalFormatting>
  <conditionalFormatting sqref="G5">
    <cfRule type="expression" priority="79" aboveAverage="0" equalAverage="0" bottom="0" percent="0" rank="0" text="" dxfId="258">
      <formula>$H$5&gt;=29</formula>
    </cfRule>
  </conditionalFormatting>
  <conditionalFormatting sqref="F5">
    <cfRule type="expression" priority="80" aboveAverage="0" equalAverage="0" bottom="0" percent="0" rank="0" text="" dxfId="259">
      <formula>AND($H$5&gt;=26,$H$5&lt;29)</formula>
    </cfRule>
  </conditionalFormatting>
  <conditionalFormatting sqref="E5">
    <cfRule type="expression" priority="81" aboveAverage="0" equalAverage="0" bottom="0" percent="0" rank="0" text="" dxfId="260">
      <formula>AND($H$5&lt;26)</formula>
    </cfRule>
  </conditionalFormatting>
  <conditionalFormatting sqref="G3">
    <cfRule type="expression" priority="82" aboveAverage="0" equalAverage="0" bottom="0" percent="0" rank="0" text="" dxfId="261">
      <formula>$H$3&gt;=30</formula>
    </cfRule>
  </conditionalFormatting>
  <conditionalFormatting sqref="F3">
    <cfRule type="expression" priority="83" aboveAverage="0" equalAverage="0" bottom="0" percent="0" rank="0" text="" dxfId="262">
      <formula>AND($H$3&gt;=29,$H$3&lt;30)</formula>
    </cfRule>
  </conditionalFormatting>
  <conditionalFormatting sqref="E3">
    <cfRule type="expression" priority="84" aboveAverage="0" equalAverage="0" bottom="0" percent="0" rank="0" text="" dxfId="263">
      <formula>AND($H$3&lt;29)</formula>
    </cfRule>
  </conditionalFormatting>
  <conditionalFormatting sqref="A13">
    <cfRule type="expression" priority="85" aboveAverage="0" equalAverage="0" bottom="0" percent="0" rank="0" text="" dxfId="264">
      <formula>OR(H13&gt;=20,H15&gt;=20,H17&gt;26,H19&gt;35)</formula>
    </cfRule>
    <cfRule type="expression" priority="86" aboveAverage="0" equalAverage="0" bottom="0" percent="0" rank="0" text="" dxfId="265">
      <formula>OR(AND(H13&gt;=17,H13&lt;20),AND(H15&gt;=17,H15&lt;20),AND(H17&gt;=22,H17&lt;26),AND(H19&gt;=32,H19&lt;35))</formula>
    </cfRule>
    <cfRule type="expression" priority="87" aboveAverage="0" equalAverage="0" bottom="0" percent="0" rank="0" text="" dxfId="266">
      <formula>AND(H13&lt;17,H15&lt;17,H17&lt;22,H19&lt;32)</formula>
    </cfRule>
  </conditionalFormatting>
  <conditionalFormatting sqref="A27">
    <cfRule type="expression" priority="88" aboveAverage="0" equalAverage="0" bottom="0" percent="0" rank="0" text="" dxfId="267">
      <formula>OR(H27&gt;=25,H29&gt;=25,H31&gt;=27,H33&gt;=25,H27&lt;=10,H33&lt;=6.5)</formula>
    </cfRule>
    <cfRule type="expression" priority="89" aboveAverage="0" equalAverage="0" bottom="0" percent="0" rank="0" text="" dxfId="268">
      <formula>OR(AND(H27&gt;=22,H27&lt;25),AND(H29&gt;=21,H29&lt;25),AND(H31&gt;=25,H31&lt;27),AND(H33&gt;=21,H33&lt;25),AND(H27&gt;10,H27&lt;=10.2),AND(H33&gt;6.5,H33&lt;=7))</formula>
    </cfRule>
    <cfRule type="expression" priority="90" aboveAverage="0" equalAverage="0" bottom="0" percent="0" rank="0" text="" dxfId="269">
      <formula>AND(AND(H27&gt;10.2,H27&lt;22),H29&lt;21,H31&lt;25,AND(H33&gt;7,H33&lt;21))</formula>
    </cfRule>
  </conditionalFormatting>
  <conditionalFormatting sqref="A36">
    <cfRule type="expression" priority="91" aboveAverage="0" equalAverage="0" bottom="0" percent="0" rank="0" text="" dxfId="270">
      <formula>OR(H36&gt;=25,H38&gt;=26,H40&gt;25,H36&lt;=6.5,H40&lt;=5.2)</formula>
    </cfRule>
    <cfRule type="expression" priority="92" aboveAverage="0" equalAverage="0" bottom="0" percent="0" rank="0" text="" dxfId="271">
      <formula>OR(AND(H36&gt;=21,H36&lt;25),AND(H38&gt;=23,H38&lt;26),AND(H40&gt;=21,H40&lt;25),AND(H36&gt;6.5,H36&lt;=7),AND(H40&gt;5.2,H40&lt;=6))</formula>
    </cfRule>
    <cfRule type="expression" priority="93" aboveAverage="0" equalAverage="0" bottom="0" percent="0" rank="0" text="" dxfId="272">
      <formula>AND(AND(H36&gt;7,H36&lt;21),H38&lt;23,AND(H40&gt;6,H40&lt;21))</formula>
    </cfRule>
  </conditionalFormatting>
  <conditionalFormatting sqref="A43">
    <cfRule type="expression" priority="94" aboveAverage="0" equalAverage="0" bottom="0" percent="0" rank="0" text="" dxfId="273">
      <formula>OR(H43&gt;=25,H45&gt;=26,H47&gt;27,H43&lt;=5.2)</formula>
    </cfRule>
    <cfRule type="expression" priority="95" aboveAverage="0" equalAverage="0" bottom="0" percent="0" rank="0" text="" dxfId="274">
      <formula>OR(AND(H43&gt;=21,H43&lt;25),AND(H45&gt;=20,H45&lt;26),AND(H47&gt;=25,H47&lt;27),AND(H43&gt;5.2,H43&lt;=6))</formula>
    </cfRule>
    <cfRule type="expression" priority="96" aboveAverage="0" equalAverage="0" bottom="0" percent="0" rank="0" text="" dxfId="275">
      <formula>AND(AND(H43&gt;6,H43&lt;21),H45&lt;20,H47&lt;25)</formula>
    </cfRule>
  </conditionalFormatting>
  <dataValidations count="1">
    <dataValidation allowBlank="true" errorStyle="stop" operator="between" prompt="Do not modify this cell, the data is automatically carried over from the cell above" showDropDown="false" showErrorMessage="true" showInputMessage="true" sqref="H8:I8 I13 H22:M22 J23 M23 H27:M27 J28 M28 H36:M36 J37 M37 H43:M43 J44 M44" type="none">
      <formula1>0</formula1>
      <formula2>0</formula2>
    </dataValidation>
  </dataValidations>
  <hyperlinks>
    <hyperlink ref="B3" r:id="rId1" display="Sioux City (SSCN1)"/>
    <hyperlink ref="B5" r:id="rId2" display="Omaha (OMHN1)"/>
    <hyperlink ref="B8" r:id="rId3" display="Omaha (OMHN1)"/>
    <hyperlink ref="B10" r:id="rId4" display="Rulo (RULN1)"/>
    <hyperlink ref="B13" r:id="rId5" display="Rulo (RULN1)"/>
    <hyperlink ref="B15" r:id="rId6" display="St. Joseph (SJSM7)"/>
    <hyperlink ref="B17" r:id="rId7" display="Atchison (ATCK1)"/>
    <hyperlink ref="B19" r:id="rId8" display="Kansas City (KCDM7)"/>
    <hyperlink ref="B22" r:id="rId9" display="Kansas City (KCDM7)"/>
    <hyperlink ref="B24" r:id="rId10" display="Waverly (WVYM7)"/>
    <hyperlink ref="B27" r:id="rId11" display="Waverly (WVYM7)"/>
    <hyperlink ref="B29" r:id="rId12" display="Miami (MIAM7)"/>
    <hyperlink ref="B31" r:id="rId13" display="Glasgow (GLZM7)"/>
    <hyperlink ref="B33" r:id="rId14" display="Boonville (BOZM7)"/>
    <hyperlink ref="B36" r:id="rId15" display="Boonville (BOZM7)"/>
    <hyperlink ref="B38" r:id="rId16" display="Jefferson City (JFFM7)"/>
    <hyperlink ref="B40" r:id="rId17" display="Hermann (HRNM7)"/>
    <hyperlink ref="B43" r:id="rId18" display="Hermann (HRNM7)"/>
    <hyperlink ref="B45" r:id="rId19" display="Washington (WHGM7)"/>
    <hyperlink ref="B47" r:id="rId20" display="St. Charles (SCLM7)"/>
  </hyperlinks>
  <printOptions headings="false" gridLines="false" gridLinesSet="true" horizontalCentered="true" verticalCentered="true"/>
  <pageMargins left="0.7" right="0.7" top="0.25" bottom="0.2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6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2" activeCellId="0" sqref="A32"/>
    </sheetView>
  </sheetViews>
  <sheetFormatPr defaultColWidth="9.109375" defaultRowHeight="19.5" zeroHeight="false" outlineLevelRow="0" outlineLevelCol="0"/>
  <cols>
    <col collapsed="false" customWidth="true" hidden="false" outlineLevel="0" max="1" min="1" style="175" width="239.33"/>
    <col collapsed="false" customWidth="true" hidden="false" outlineLevel="0" max="2" min="2" style="175" width="77.33"/>
    <col collapsed="false" customWidth="false" hidden="false" outlineLevel="0" max="7" min="3" style="175" width="9.11"/>
    <col collapsed="false" customWidth="true" hidden="false" outlineLevel="0" max="8" min="8" style="175" width="58"/>
    <col collapsed="false" customWidth="true" hidden="false" outlineLevel="0" max="9" min="9" style="175" width="30.11"/>
    <col collapsed="false" customWidth="true" hidden="false" outlineLevel="0" max="10" min="10" style="175" width="26.88"/>
    <col collapsed="false" customWidth="true" hidden="false" outlineLevel="0" max="11" min="11" style="175" width="58"/>
    <col collapsed="false" customWidth="false" hidden="false" outlineLevel="0" max="13" min="12" style="175" width="9.11"/>
    <col collapsed="false" customWidth="true" hidden="false" outlineLevel="0" max="14" min="14" style="175" width="27.56"/>
    <col collapsed="false" customWidth="false" hidden="false" outlineLevel="0" max="16384" min="15" style="175" width="9.11"/>
  </cols>
  <sheetData>
    <row r="1" s="176" customFormat="true" ht="61.4" hidden="false" customHeight="false" outlineLevel="0" collapsed="false">
      <c r="A1" s="176" t="s">
        <v>296</v>
      </c>
    </row>
    <row r="2" customFormat="false" ht="18.75" hidden="false" customHeight="true" outlineLevel="0" collapsed="false">
      <c r="A2" s="112" t="str">
        <f aca="false">CONCATENATE("UMR ",'UMR Brief'!A3," (",Observed_Data!H2,", MM ",'UMR Brief'!C3,"); Action Phase: ",'UMR Brief'!F3,"; Current: ",'UMR Brief'!H3," ft; 24-Hr Trend: ",'UMR Brief'!I3,"; Long-Term: ",'UMR Brief'!J3," ",'UMR Brief'!K3," ",(LEFT('UMR Brief'!L3,4)),'UMR Brief'!N3,(RIGHT('UMR Brief'!L3,3))," ",'UMR Brief'!M3,IF('UMR Brief'!J4="","","; "),IF('UMR Brief'!J4="","",(CONCATENATE('UMR Brief'!J4," ",'UMR Brief'!M4))))</f>
        <v>UMR Pool 2 (St. Paul, MM 815.2 - 847.5); Action Phase: 17 &amp; Above; Current:  ft; 24-Hr Trend: ; Long-Term:    </v>
      </c>
      <c r="B2" s="175" t="str">
        <f aca="false">IF(AND('UMR Brief'!H3&gt;=VALUE(LEFT('UMR Brief'!E3,2)),'UMR Brief'!H3&lt;VALUE(RIGHT('UMR Brief'!E3,2))),"Watch",IF('UMR Brief'!H3&gt;=VALUE(RIGHT('UMR Brief'!E3,2)),"Action",""))</f>
        <v/>
      </c>
    </row>
    <row r="3" customFormat="false" ht="19.5" hidden="false" customHeight="true" outlineLevel="0" collapsed="false">
      <c r="A3" s="112" t="str">
        <f aca="false">CONCATENATE("UMR ",'UMR Brief'!A5," (",Observed_Data!I2,", MM ",'UMR Brief'!C5,"); Action Phase: ",'UMR Brief'!F5,"; Current: ",'UMR Brief'!H5," ft; 24-Hr Trend: ",'UMR Brief'!I5,"; Long-Term: ",'UMR Brief'!J5," ",'UMR Brief'!K5," ",(LEFT('UMR Brief'!L5,4)),'UMR Brief'!N5,(RIGHT('UMR Brief'!L5,3))," ",'UMR Brief'!M5,IF('UMR Brief'!J6="","","; "),IF('UMR Brief'!J6="","",(CONCATENATE('UMR Brief'!J6," ",'UMR Brief'!M6,))))</f>
        <v>UMR Pool 3 (Redwing, MM 796.9 - 815.1); Action Phase: 17 &amp; Above; Current:  ft; 24-Hr Trend: ; Long-Term:    </v>
      </c>
      <c r="B3" s="175" t="str">
        <f aca="false">IF(AND('UMR Brief'!H5&gt;=VALUE(LEFT('UMR Brief'!E5,2)),'UMR Brief'!H5&lt;VALUE(RIGHT('UMR Brief'!E5,2))),"Watch",IF('UMR Brief'!H5&gt;=VALUE(RIGHT('UMR Brief'!E5,2)),"Action",""))</f>
        <v/>
      </c>
    </row>
    <row r="4" customFormat="false" ht="19.5" hidden="false" customHeight="true" outlineLevel="0" collapsed="false">
      <c r="A4" s="112" t="str">
        <f aca="false">CONCATENATE("UMR ",'UMR Brief'!A7," (",Observed_Data!J2,", MM ",'UMR Brief'!C7,"); Action Phase: ",'UMR Brief'!F7,"; Current: ",'UMR Brief'!H7," ft; 24-Hr Trend: ",'UMR Brief'!I7,"; Long-Term: ",'UMR Brief'!J7," ",'UMR Brief'!K7," ",(LEFT('UMR Brief'!L7,4)),'UMR Brief'!N7,(RIGHT('UMR Brief'!L7,3))," ",'UMR Brief'!M7,IF('UMR Brief'!J8="","","; "),IF('UMR Brief'!J8="","",(CONCATENATE('UMR Brief'!J8," ",'UMR Brief'!M8,))))</f>
        <v>UMR Pool 4 (Alma, MM 752.8 - 796.8); Action Phase: 18 &amp; Above; Current:  ft; 24-Hr Trend: ; Long-Term:    </v>
      </c>
      <c r="B4" s="175" t="str">
        <f aca="false">IF(AND('UMR Brief'!H7&gt;=VALUE(LEFT('UMR Brief'!E7,2)),'UMR Brief'!H7&lt;VALUE(RIGHT('UMR Brief'!E7,2))),"Watch",IF('UMR Brief'!H7&gt;=VALUE(RIGHT('UMR Brief'!E7,2)),"Action",""))</f>
        <v/>
      </c>
      <c r="K4" s="2"/>
    </row>
    <row r="5" customFormat="false" ht="19.5" hidden="false" customHeight="true" outlineLevel="0" collapsed="false">
      <c r="A5" s="112" t="str">
        <f aca="false">CONCATENATE("UMR ",'UMR Brief'!A9," (",Observed_Data!K2,", MM ",'UMR Brief'!C9,"); Action Phase: ",'UMR Brief'!F9,"; Current: ",'UMR Brief'!H9," ft; 24-Hr Trend: ",'UMR Brief'!I9,"; Long-Term: ",'UMR Brief'!J9," ",'UMR Brief'!K9," ",(LEFT('UMR Brief'!L9,4)),'UMR Brief'!N9,(RIGHT('UMR Brief'!L9,3))," ",'UMR Brief'!M9,IF('UMR Brief'!J10="","","; "),IF('UMR Brief'!J10="","",(CONCATENATE('UMR Brief'!J10," ",'UMR Brief'!M10,))))</f>
        <v>UMR Pool 5 (MN City, MM 738.1 - 752.7); Action Phase: 667 &amp; Above; Current:  ft; 24-Hr Trend: ; Long-Term:    </v>
      </c>
      <c r="B5" s="177" t="str">
        <f aca="false">IF(AND('UMR Brief'!H9&gt;=VALUE(LEFT('UMR Brief'!E9,3)),'UMR Brief'!H9&lt;VALUE(RIGHT('UMR Brief'!E9,3))),"Watch",IF('UMR Brief'!H9&gt;=VALUE(RIGHT('UMR Brief'!E9,3)),"Action",""))</f>
        <v/>
      </c>
      <c r="K5" s="2"/>
    </row>
    <row r="6" customFormat="false" ht="19.5" hidden="false" customHeight="true" outlineLevel="0" collapsed="false">
      <c r="A6" s="112" t="str">
        <f aca="false">CONCATENATE("UMR ",'UMR Brief'!A11," (",Observed_Data!L2,", MM ",'UMR Brief'!C11,"); Action Phase: ",'UMR Brief'!F11,"; Current: ",'UMR Brief'!H11," ft; 24-Hr Trend: ",'UMR Brief'!I11,"; Long-Term: ",'UMR Brief'!J11," ",'UMR Brief'!K11," ",(LEFT('UMR Brief'!L11,4)),'UMR Brief'!N11,(RIGHT('UMR Brief'!L11,3))," ",'UMR Brief'!M11,IF('UMR Brief'!J12="","","; "),IF('UMR Brief'!J12="","",(CONCATENATE('UMR Brief'!J12," ",'UMR Brief'!M12,))))</f>
        <v>UMR Pool 5A (Winona, MM 728.6 - 738.0); Action Phase: 655 &amp; Above; Current:  ft; 24-Hr Trend: ; Long-Term:    </v>
      </c>
      <c r="B6" s="177" t="str">
        <f aca="false">IF(AND('UMR Brief'!H11&gt;=VALUE(LEFT('UMR Brief'!E11,3)),'UMR Brief'!H11&lt;VALUE(RIGHT('UMR Brief'!E11,3))),"Watch",IF('UMR Brief'!H11&gt;=VALUE(RIGHT('UMR Brief'!E11,3)),"Action",""))</f>
        <v/>
      </c>
      <c r="K6" s="2"/>
    </row>
    <row r="7" customFormat="false" ht="19.5" hidden="false" customHeight="true" outlineLevel="0" collapsed="false">
      <c r="A7" s="112" t="str">
        <f aca="false">CONCATENATE("UMR ",'UMR Brief'!A13," (",Observed_Data!M2,", MM ",'UMR Brief'!C13,"); Action Phase: ",'UMR Brief'!F13,"; Current: ",'UMR Brief'!H13," ft; 24-Hr Trend: ",'UMR Brief'!I13,"; Long-Term: ",'UMR Brief'!J13," ",'UMR Brief'!K13," ",(LEFT('UMR Brief'!L13,4)),'UMR Brief'!N13,(RIGHT('UMR Brief'!L13,3))," ",'UMR Brief'!M13,IF('UMR Brief'!J14="","","; "),IF('UMR Brief'!J14="","",(CONCATENATE('UMR Brief'!J14," ",'UMR Brief'!M14,))))</f>
        <v>UMR Pool 6 (Trempealaeu, MM 714.3 - 728.5); Action Phase: 649 &amp; Above; Current:  ft; 24-Hr Trend: ; Long-Term:    </v>
      </c>
      <c r="B7" s="177" t="str">
        <f aca="false">IF(AND('UMR Brief'!H13&gt;=VALUE(LEFT('UMR Brief'!E13,3)),'UMR Brief'!H13&lt;VALUE(RIGHT('UMR Brief'!E13,3))),"Watch",IF('UMR Brief'!H13&gt;=VALUE(RIGHT('UMR Brief'!E13,3)),"Action",""))</f>
        <v/>
      </c>
      <c r="K7" s="2"/>
    </row>
    <row r="8" customFormat="false" ht="19.5" hidden="false" customHeight="true" outlineLevel="0" collapsed="false">
      <c r="A8" s="112" t="str">
        <f aca="false">CONCATENATE("UMR ",'UMR Brief'!A15," (",Observed_Data!N2,", MM ",'UMR Brief'!C15,"); Action Phase: ",'UMR Brief'!F15,"; Current: ",'UMR Brief'!H15," ft; 24-Hr Trend: ",'UMR Brief'!I15,"; Long-Term: ",'UMR Brief'!J15," ",'UMR Brief'!K15," ",(LEFT('UMR Brief'!L15,4)),'UMR Brief'!N15,(RIGHT('UMR Brief'!L15,3))," ",'UMR Brief'!M15,IF('UMR Brief'!J16="","","; "),IF('UMR Brief'!J16="","",(CONCATENATE('UMR Brief'!J16," ",'UMR Brief'!M16,))))</f>
        <v>UMR Pool 7 (La Crescent, MM 702.5 - 714.2); Action Phase: 643 &amp; Above; Current:  ft; 24-Hr Trend: ; Long-Term:    </v>
      </c>
      <c r="B8" s="177" t="str">
        <f aca="false">IF(AND('UMR Brief'!H15&gt;=VALUE(LEFT('UMR Brief'!E15,3)),'UMR Brief'!H15&lt;VALUE(RIGHT('UMR Brief'!E15,3))),"Watch",IF('UMR Brief'!H15&gt;=VALUE(RIGHT('UMR Brief'!E15,3)),"Action",""))</f>
        <v/>
      </c>
      <c r="K8" s="2"/>
    </row>
    <row r="9" customFormat="false" ht="19.5" hidden="false" customHeight="true" outlineLevel="0" collapsed="false">
      <c r="A9" s="112" t="str">
        <f aca="false">CONCATENATE("UMR ",'UMR Brief'!A17," (",Observed_Data!O2,", MM ",'UMR Brief'!C17,"); Action Phase: ",'UMR Brief'!F17,"; Current: ",'UMR Brief'!H17," ft; 24-Hr Trend: ",'UMR Brief'!I17,"; Long-Term: ",'UMR Brief'!J17," ",'UMR Brief'!K17," ",(LEFT('UMR Brief'!L17,4)),'UMR Brief'!N17,(RIGHT('UMR Brief'!L17,3))," ",'UMR Brief'!M17,IF('UMR Brief'!J18="","","; "),IF('UMR Brief'!J18="","",(CONCATENATE('UMR Brief'!J18," ",'UMR Brief'!M18,))))</f>
        <v>UMR Pool 8 (Genoa, MM 679.2 - 702.4); Action Phase: 636 &amp; Above; Current:  ft; 24-Hr Trend: ; Long-Term:    </v>
      </c>
      <c r="B9" s="177" t="str">
        <f aca="false">IF(AND('UMR Brief'!H17&gt;=VALUE(LEFT('UMR Brief'!E17,3)),'UMR Brief'!H17&lt;VALUE(RIGHT('UMR Brief'!E17,3))),"Watch",IF('UMR Brief'!H17&gt;=VALUE(RIGHT('UMR Brief'!E17,3)),"Action",""))</f>
        <v/>
      </c>
      <c r="K9" s="2"/>
    </row>
    <row r="10" customFormat="false" ht="19.5" hidden="false" customHeight="true" outlineLevel="0" collapsed="false">
      <c r="A10" s="112" t="str">
        <f aca="false">CONCATENATE("UMR ",'UMR Brief'!A19," (",Observed_Data!P2,", MM ",'UMR Brief'!C19,"); Action Phase: ",'UMR Brief'!F19,"; Current: ",'UMR Brief'!H19," ft; 24-Hr Trend: ",'UMR Brief'!I19,"; Long-Term: ",'UMR Brief'!J19," ",'UMR Brief'!K19," ",(LEFT('UMR Brief'!L19,4)),'UMR Brief'!N19,(RIGHT('UMR Brief'!L19,3))," ",'UMR Brief'!M19,IF('UMR Brief'!J20="","","; "),IF('UMR Brief'!J20="","",(CONCATENATE('UMR Brief'!J20," ",'UMR Brief'!M20,))))</f>
        <v>UMR Pool 9 (Lynxville, MM 647.9 - 679.1); Action Phase: 628 &amp; Above; Current:  ft; 24-Hr Trend: ; Long-Term:    </v>
      </c>
      <c r="B10" s="177" t="str">
        <f aca="false">IF(AND('UMR Brief'!H19&gt;=VALUE(LEFT('UMR Brief'!E19,3)),'UMR Brief'!H19&lt;VALUE(RIGHT('UMR Brief'!E19,3))),"Watch",IF('UMR Brief'!H19&gt;=VALUE(RIGHT('UMR Brief'!E19,3)),"Action",""))</f>
        <v/>
      </c>
      <c r="K10" s="2"/>
    </row>
    <row r="11" customFormat="false" ht="19.5" hidden="false" customHeight="true" outlineLevel="0" collapsed="false">
      <c r="A11" s="112" t="str">
        <f aca="false">CONCATENATE("UMR ",'UMR Brief'!A21," (",Observed_Data!Q2,", MM ",'UMR Brief'!C21,"); Action Phase: ",'UMR Brief'!F21,"; Current: ",'UMR Brief'!H21," ft; 24-Hr Trend: ",'UMR Brief'!I21,"; Long-Term: ",'UMR Brief'!J21," ",'UMR Brief'!K21," ",(LEFT('UMR Brief'!L21,4)),'UMR Brief'!N21,(RIGHT('UMR Brief'!L21,3))," ",'UMR Brief'!M21,IF('UMR Brief'!J22="","","; "),IF('UMR Brief'!J22="","",(CONCATENATE('UMR Brief'!J22," ",'UMR Brief'!M22,))))</f>
        <v>UMR Pool 10 (Guttenberg, MM 615.1 - 647.8); Action Phase: 18 &amp; Above; Current:  ft; 24-Hr Trend: ; Long-Term:    </v>
      </c>
      <c r="B11" s="175" t="str">
        <f aca="false">IF(AND('UMR Brief'!H21&gt;=VALUE(LEFT('UMR Brief'!E21,2)),'UMR Brief'!H21&lt;VALUE(RIGHT('UMR Brief'!E21,2))),"Watch",IF('UMR Brief'!H21&gt;=VALUE(RIGHT('UMR Brief'!E21,2)),"Action",""))</f>
        <v/>
      </c>
      <c r="K11" s="2"/>
    </row>
    <row r="12" customFormat="false" ht="19.5" hidden="false" customHeight="true" outlineLevel="0" collapsed="false">
      <c r="A12" s="112" t="str">
        <f aca="false">CONCATENATE("UMR ",'UMR Brief'!A23," (",Observed_Data!R2,", MM ",'UMR Brief'!C23,"); Action Phase: ",'UMR Brief'!F23,"; Current: ",'UMR Brief'!H23," ft; 24-Hr Trend: ",'UMR Brief'!I23,"; Long-Term: ",'UMR Brief'!J23," ",'UMR Brief'!K23," ",(LEFT('UMR Brief'!L23,4)),'UMR Brief'!N23,(RIGHT('UMR Brief'!L23,3))," ",'UMR Brief'!M23,IF('UMR Brief'!J24="","","; "),IF('UMR Brief'!J24="","",(CONCATENATE('UMR Brief'!J24," ",'UMR Brief'!M24,))))</f>
        <v>UMR Pool 11 (Dubuque, MM 583.0 - 615.0); Action Phase: 18 &amp; Above; Current:  ft; 24-Hr Trend: ; Long-Term:    </v>
      </c>
      <c r="B12" s="175" t="str">
        <f aca="false">IF(AND('UMR Brief'!H23&gt;=VALUE(LEFT('UMR Brief'!E23,2)),'UMR Brief'!H23&lt;VALUE(RIGHT('UMR Brief'!E23,2))),"Watch",IF('UMR Brief'!H23&gt;=VALUE(RIGHT('UMR Brief'!E23,2)),"Action",""))</f>
        <v/>
      </c>
      <c r="K12" s="2"/>
    </row>
    <row r="13" customFormat="false" ht="19.5" hidden="false" customHeight="true" outlineLevel="0" collapsed="false">
      <c r="A13" s="112" t="str">
        <f aca="false">CONCATENATE("UMR ",'UMR Brief'!A25," (",Observed_Data!S2,", MM ",'UMR Brief'!C25,"); Action Phase: ",'UMR Brief'!F25,"; Current: ",'UMR Brief'!H25," ft; 24-Hr Trend: ",'UMR Brief'!I25,"; Long-Term: ",'UMR Brief'!J25," ",'UMR Brief'!K25," ",(LEFT('UMR Brief'!L25,4)),'UMR Brief'!N25,(RIGHT('UMR Brief'!L25,3))," ",'UMR Brief'!M25,IF('UMR Brief'!J26="","","; "),IF('UMR Brief'!J26="","",(CONCATENATE('UMR Brief'!J26," ",'UMR Brief'!M26,))))</f>
        <v>UMR Pool 12 (Bellevue, MM 556.7 - 582.9); Action Phase: 19 &amp; Above; Current:  ft; 24-Hr Trend: ; Long-Term:    </v>
      </c>
      <c r="B13" s="175" t="str">
        <f aca="false">IF(AND('UMR Brief'!H25&gt;=VALUE(LEFT('UMR Brief'!E25,2)),'UMR Brief'!H25&lt;VALUE(RIGHT('UMR Brief'!E25,2))),"Watch",IF('UMR Brief'!H25&gt;=VALUE(RIGHT('UMR Brief'!E25,2)),"Action",""))</f>
        <v/>
      </c>
      <c r="K13" s="2"/>
    </row>
    <row r="14" customFormat="false" ht="19.5" hidden="false" customHeight="true" outlineLevel="0" collapsed="false">
      <c r="A14" s="112" t="str">
        <f aca="false">CONCATENATE("UMR ",'UMR Brief'!A27," (",Observed_Data!T2,", MM ",'UMR Brief'!C27,"); Action Phase: ",'UMR Brief'!F27,"; Current: ",'UMR Brief'!H27," ft; 24-Hr Trend: ",'UMR Brief'!I27,"; Long-Term: ",'UMR Brief'!J27," ",'UMR Brief'!K27," ",(LEFT('UMR Brief'!L27,4)),'UMR Brief'!N27,(RIGHT('UMR Brief'!L27,3))," ",'UMR Brief'!M27,IF('UMR Brief'!J28="","","; "),IF('UMR Brief'!J28="","",(CONCATENATE('UMR Brief'!J28," ",'UMR Brief'!M28,))))</f>
        <v>UMR Pool 13 (Fulton, MM 522.4 - 556.6); Action Phase: 18 &amp; Above; Current:  ft; 24-Hr Trend: ; Long-Term:    </v>
      </c>
      <c r="B14" s="175" t="str">
        <f aca="false">IF(AND('UMR Brief'!H27&gt;=VALUE(LEFT('UMR Brief'!E27,2)),'UMR Brief'!H27&lt;VALUE(RIGHT('UMR Brief'!E27,2))),"Watch",IF('UMR Brief'!H27&gt;=VALUE(RIGHT('UMR Brief'!E27,2)),"Action",""))</f>
        <v/>
      </c>
      <c r="K14" s="2"/>
    </row>
    <row r="15" customFormat="false" ht="19.5" hidden="false" customHeight="true" outlineLevel="0" collapsed="false">
      <c r="A15" s="112" t="str">
        <f aca="false">CONCATENATE("UMR ",'UMR Brief'!A29," (",Observed_Data!U2,", MM ",'UMR Brief'!C29,"); Action Phase: ",'UMR Brief'!F29,"; Current: ",'UMR Brief'!H29," ft; 24-Hr Trend: ",'UMR Brief'!I29,"; Long-Term: ",'UMR Brief'!J29," ",'UMR Brief'!K29," ",(LEFT('UMR Brief'!L29,4)),'UMR Brief'!N29,(RIGHT('UMR Brief'!L29,3))," ",'UMR Brief'!M29,IF('UMR Brief'!J30="","","; "),IF('UMR Brief'!J30="","",(CONCATENATE('UMR Brief'!J30," ",'UMR Brief'!M30,))))</f>
        <v>UMR Pool 14 (LeClaire, MM 493.3 - 522.3); Action Phase: 13 &amp; Above; Current:  ft; 24-Hr Trend: ; Long-Term:    </v>
      </c>
      <c r="B15" s="175" t="str">
        <f aca="false">IF(AND('UMR Brief'!H29&gt;=VALUE(LEFT('UMR Brief'!E29,2)),'UMR Brief'!H29&lt;VALUE(RIGHT('UMR Brief'!E29,2))),"Watch",IF('UMR Brief'!H29&gt;=VALUE(RIGHT('UMR Brief'!E29,2)),"Action",""))</f>
        <v/>
      </c>
      <c r="K15" s="2"/>
    </row>
    <row r="16" customFormat="false" ht="19.5" hidden="false" customHeight="true" outlineLevel="0" collapsed="false">
      <c r="A16" s="112" t="str">
        <f aca="false">CONCATENATE("UMR ",'UMR Brief'!A31," (",Observed_Data!V2,", MM ",'UMR Brief'!C31,"); Action Phase: ",'UMR Brief'!F31,"; Current: ",'UMR Brief'!H31," ft; 24-Hr Trend: ",'UMR Brief'!I31,"; Long-Term: ",'UMR Brief'!J31," ",'UMR Brief'!K31," ",(LEFT('UMR Brief'!L31,4)),'UMR Brief'!N31,(RIGHT('UMR Brief'!L31,3))," ",'UMR Brief'!M31,IF('UMR Brief'!J32="","","; "),IF('UMR Brief'!J32="","",(CONCATENATE('UMR Brief'!J32," ",'UMR Brief'!M32,))))</f>
        <v>UMR Pool 15 (Rock Island, MM 482.9 - 493.2); Action Phase: 17 &amp; Above; Current:  ft; 24-Hr Trend: ; Long-Term:    </v>
      </c>
      <c r="B16" s="175" t="str">
        <f aca="false">IF(AND('UMR Brief'!H31&gt;=VALUE(LEFT('UMR Brief'!E31,2)),'UMR Brief'!H31&lt;VALUE(RIGHT('UMR Brief'!E31,2))),"Watch",IF('UMR Brief'!H31&gt;=VALUE(RIGHT('UMR Brief'!E31,2)),"Action",""))</f>
        <v/>
      </c>
      <c r="K16" s="2"/>
    </row>
    <row r="17" customFormat="false" ht="19.5" hidden="false" customHeight="true" outlineLevel="0" collapsed="false">
      <c r="A17" s="112" t="str">
        <f aca="false">CONCATENATE("UMR ",'UMR Brief'!A33," (",Observed_Data!W2,", MM ",'UMR Brief'!C33,"); Action Phase: ",'UMR Brief'!F33,"; Current: ",'UMR Brief'!H33," ft; 24-Hr Trend: ",'UMR Brief'!I33,"; Long-Term: ",'UMR Brief'!J33," ",'UMR Brief'!K33," ",(LEFT('UMR Brief'!L33,4)),'UMR Brief'!N33,(RIGHT('UMR Brief'!L33,3))," ",'UMR Brief'!M33,IF('UMR Brief'!J34="","","; "),IF('UMR Brief'!J34="","",(CONCATENATE('UMR Brief'!J34," ",'UMR Brief'!M34,))))</f>
        <v>UMR Pool 16 (Illinois City, MM 457.2 - 482.8); Action Phase: 17 &amp; Above; Current:  ft; 24-Hr Trend: ; Long-Term:    </v>
      </c>
      <c r="B17" s="175" t="str">
        <f aca="false">IF(AND('UMR Brief'!H33&gt;=VALUE(LEFT('UMR Brief'!E33,2)),'UMR Brief'!H33&lt;VALUE(RIGHT('UMR Brief'!E33,2))),"Watch",IF('UMR Brief'!H33&gt;=VALUE(RIGHT('UMR Brief'!E33,2)),"Action",""))</f>
        <v/>
      </c>
      <c r="K17" s="2"/>
    </row>
    <row r="18" customFormat="false" ht="18.75" hidden="false" customHeight="true" outlineLevel="0" collapsed="false">
      <c r="A18" s="112" t="str">
        <f aca="false">CONCATENATE("UMR ",'UMR Brief'!A35," (",Observed_Data!X2,", MM ",'UMR Brief'!C35,"); Action Phase: ",'UMR Brief'!F35,"; Current: ",'UMR Brief'!H35," ft; 24-Hr Trend: ",'UMR Brief'!I35,"; Long-Term: ",'UMR Brief'!J35," ",'UMR Brief'!K35," ",(LEFT('UMR Brief'!L35,4)),'UMR Brief'!N35,(RIGHT('UMR Brief'!L35,3))," ",'UMR Brief'!M35,IF('UMR Brief'!J36="","","; "),IF('UMR Brief'!J36="","",(CONCATENATE('UMR Brief'!J36," ",'UMR Brief'!M36,))))</f>
        <v>UMR Pool 17 (New Boston, MM 437.1 - 457.1); Action Phase: 16 &amp; Above; Current:  ft; 24-Hr Trend: ; Long-Term:    </v>
      </c>
      <c r="B18" s="175" t="str">
        <f aca="false">IF(AND('UMR Brief'!H35&gt;=VALUE(LEFT('UMR Brief'!E35,2)),'UMR Brief'!H35&lt;VALUE(RIGHT('UMR Brief'!E35,2))),"Watch",IF('UMR Brief'!H35&gt;=VALUE(RIGHT('UMR Brief'!E35,2)),"Action",""))</f>
        <v/>
      </c>
      <c r="K18" s="2"/>
    </row>
    <row r="19" customFormat="false" ht="19.5" hidden="false" customHeight="true" outlineLevel="0" collapsed="false">
      <c r="A19" s="112" t="str">
        <f aca="false">CONCATENATE("UMR ",'UMR Brief'!A37," (",Observed_Data!Y2,", MM ",'UMR Brief'!C37,"); Action Phase: ",'UMR Brief'!F37,"; Current: ",'UMR Brief'!H37," ft; 24-Hr Trend: ",'UMR Brief'!I37,"; Long-Term: ",'UMR Brief'!J37," ",'UMR Brief'!K37," ",(LEFT('UMR Brief'!L37,4)),'UMR Brief'!N37,(RIGHT('UMR Brief'!L37,3))," ",'UMR Brief'!M37,IF('UMR Brief'!J38="","","; "),IF('UMR Brief'!J38="","",(CONCATENATE('UMR Brief'!J38," ",'UMR Brief'!M38,))))</f>
        <v>UMR Pool 18 (Gladstone, MM 410.5 - 437.0); Action Phase: 12 &amp; Above; Current:  ft; 24-Hr Trend: ; Long-Term:    </v>
      </c>
      <c r="B19" s="175" t="str">
        <f aca="false">IF(AND('UMR Brief'!H37&gt;=VALUE(LEFT('UMR Brief'!E37,2)),'UMR Brief'!H37&lt;VALUE(RIGHT('UMR Brief'!E37,2))),"Watch",IF('UMR Brief'!H37&gt;=VALUE(RIGHT('UMR Brief'!E37,2)),"Action",""))</f>
        <v/>
      </c>
      <c r="K19" s="2"/>
    </row>
    <row r="20" customFormat="false" ht="19.5" hidden="false" customHeight="true" outlineLevel="0" collapsed="false">
      <c r="A20" s="112" t="str">
        <f aca="false">CONCATENATE("UMR ",'UMR Brief'!A39," (",Observed_Data!Z2,", MM ",'UMR Brief'!C39,"); Action Phase: ",'UMR Brief'!F39,"; Current: ",'UMR Brief'!H39," ft; 24-Hr Trend: ",'UMR Brief'!I39,"; Long-Term: ",'UMR Brief'!J39," ",'UMR Brief'!K39," ",(LEFT('UMR Brief'!L39,4)),'UMR Brief'!N39,(RIGHT('UMR Brief'!L39,3))," ",'UMR Brief'!M39,IF('UMR Brief'!J40="","","; "),IF('UMR Brief'!J40="","",(CONCATENATE('UMR Brief'!J40," ",'UMR Brief'!M40,))))</f>
        <v>UMR Pool 19 (Keokuk, MM 364.2 - 410.4); Action Phase: 18 &amp; Above; Current:  ft; 24-Hr Trend: ; Long-Term:    </v>
      </c>
      <c r="B20" s="175" t="str">
        <f aca="false">IF(AND('UMR Brief'!H39&gt;=VALUE(LEFT('UMR Brief'!E39,2)),'UMR Brief'!H39&lt;VALUE(RIGHT('UMR Brief'!E39,2))),"Watch",IF('UMR Brief'!H39&gt;=VALUE(RIGHT('UMR Brief'!E39,2)),"Action",""))</f>
        <v/>
      </c>
      <c r="K20" s="2"/>
    </row>
    <row r="21" customFormat="false" ht="19.5" hidden="false" customHeight="true" outlineLevel="0" collapsed="false">
      <c r="A21" s="112" t="str">
        <f aca="false">CONCATENATE("UMR ",'UMR Brief'!A41," (",Observed_Data!AA2,", MM ",'UMR Brief'!C41,"); Action Phase: ",'UMR Brief'!F41,"; Current: ",'UMR Brief'!H41," ft; 24-Hr Trend: ",'UMR Brief'!I41,"; Long-Term: ",'UMR Brief'!J41," ",'UMR Brief'!K41," ",(LEFT('UMR Brief'!L41,4)),'UMR Brief'!N41,(RIGHT('UMR Brief'!L41,3))," ",'UMR Brief'!M41,IF('UMR Brief'!J42="","","; "),IF('UMR Brief'!J42="","",(CONCATENATE('UMR Brief'!J42," ",'UMR Brief'!M42,))))</f>
        <v>UMR Pool 20 (Canton, MM 343.2 - 364.1); Action Phase: 16 &amp; Above; Current:  ft; 24-Hr Trend: ; Long-Term:    </v>
      </c>
      <c r="B21" s="175" t="str">
        <f aca="false">IF(AND('UMR Brief'!H41&gt;=VALUE(LEFT('UMR Brief'!E41,2)),'UMR Brief'!H41&lt;VALUE(RIGHT('UMR Brief'!E41,2))),"Watch",IF('UMR Brief'!H41&gt;=VALUE(RIGHT('UMR Brief'!E41,2)),"Action",""))</f>
        <v/>
      </c>
      <c r="K21" s="2"/>
    </row>
    <row r="22" customFormat="false" ht="19.5" hidden="false" customHeight="true" outlineLevel="0" collapsed="false">
      <c r="A22" s="112" t="str">
        <f aca="false">CONCATENATE("UMR ",'UMR Brief'!A43," (",Observed_Data!AB2,", MM ",'UMR Brief'!C43,"); Action Phase: ",'UMR Brief'!F43,"; Current: ",'UMR Brief'!H43," ft; 24-Hr Trend: ",'UMR Brief'!I43,"; Long-Term: ",'UMR Brief'!J43," ",'UMR Brief'!K43," ",(LEFT('UMR Brief'!L43,4)),'UMR Brief'!N43,(RIGHT('UMR Brief'!L43,3))," ",'UMR Brief'!M43,IF('UMR Brief'!J44="","","; "),IF('UMR Brief'!J44="","",(CONCATENATE('UMR Brief'!J44," ",'UMR Brief'!M44,))))</f>
        <v>UMR Pool 21 (Quincy, MM 324.9 - 343.1); Action Phase: 21.9 &amp; Above; Current:  ft; 24-Hr Trend: ; Long-Term:    </v>
      </c>
      <c r="B22" s="177" t="str">
        <f aca="false">IF(AND('UMR Brief'!H43&gt;=VALUE(LEFT('UMR Brief'!E43,2)),'UMR Brief'!H43&lt;VALUE(RIGHT('UMR Brief'!E43,4))),"Watch",IF('UMR Brief'!H43&gt;=VALUE(RIGHT('UMR Brief'!E43,4)),"Action",""))</f>
        <v/>
      </c>
      <c r="K22" s="2"/>
    </row>
    <row r="23" customFormat="false" ht="19.5" hidden="false" customHeight="true" outlineLevel="0" collapsed="false">
      <c r="A23" s="112" t="str">
        <f aca="false">CONCATENATE("UMR ",'UMR Brief'!A45," (",Observed_Data!AC2,", MM ",'UMR Brief'!C45,"); Action Phase: ",'UMR Brief'!F45,"; Current: ",'UMR Brief'!H45," ft; 24-Hr Trend: ",'UMR Brief'!I45,"; Long-Term: ",'UMR Brief'!J45," ",'UMR Brief'!K45," ",(LEFT('UMR Brief'!L45,4)),'UMR Brief'!N45,(RIGHT('UMR Brief'!L45,3))," ",'UMR Brief'!M45,IF('UMR Brief'!J46="","","; "),IF('UMR Brief'!J46="","",(CONCATENATE('UMR Brief'!J46," ",'UMR Brief'!M46,))))</f>
        <v>UMR Pool 22 (Saverton, MM 301.2 - 324.8); Action Phase: 21.4 &amp; Above; Current:  ft; 24-Hr Trend: ; Long-Term:    </v>
      </c>
      <c r="B23" s="177" t="str">
        <f aca="false">IF(AND('UMR Brief'!H45&gt;=VALUE(LEFT('UMR Brief'!E45,2)),'UMR Brief'!H45&lt;VALUE(RIGHT('UMR Brief'!E45,4))),"Watch",IF('UMR Brief'!H45&gt;=VALUE(RIGHT('UMR Brief'!E45,4)),"Action",""))</f>
        <v/>
      </c>
      <c r="K23" s="2"/>
    </row>
    <row r="24" customFormat="false" ht="19.5" hidden="false" customHeight="true" outlineLevel="0" collapsed="false">
      <c r="A24" s="112" t="str">
        <f aca="false">CONCATENATE("UMR ",'UMR Brief'!A47," (",Observed_Data!AD2,", MM ",'UMR Brief'!C47,"); Action Phase: ",'UMR Brief'!F47,"; Current: ",'UMR Brief'!H47," ft; 24-Hr Trend: ",'UMR Brief'!I47,"; Long-Term: ",'UMR Brief'!J47," ",'UMR Brief'!K47," ",(LEFT('UMR Brief'!L47,4)),'UMR Brief'!N47,(RIGHT('UMR Brief'!L47,3))," ",'UMR Brief'!M47,IF('UMR Brief'!J48="","","; "),IF('UMR Brief'!J48="","",(CONCATENATE('UMR Brief'!J48," ",'UMR Brief'!M48,))))</f>
        <v>UMR Pool 24 (Clarksville, MM 273.4 - 301.1); Action Phase: 29 &amp; Above; Current:  ft; 24-Hr Trend: ; Long-Term:    </v>
      </c>
      <c r="B24" s="175" t="str">
        <f aca="false">IF(AND('UMR Brief'!H47&gt;=VALUE(LEFT('UMR Brief'!E47,2)),'UMR Brief'!H47&lt;VALUE(RIGHT('UMR Brief'!E47,2))),"Watch",IF('UMR Brief'!H47&gt;=VALUE(RIGHT('UMR Brief'!E47,2)),"Action",""))</f>
        <v/>
      </c>
      <c r="K24" s="2"/>
    </row>
    <row r="25" customFormat="false" ht="19.5" hidden="false" customHeight="true" outlineLevel="0" collapsed="false">
      <c r="A25" s="112" t="str">
        <f aca="false">CONCATENATE("UMR ",'UMR Brief'!A49," (",Observed_Data!AE2,", MM ",'UMR Brief'!C49,"); Action Phase: ",'UMR Brief'!F49,"; Current: ",'UMR Brief'!H49," ft; 24-Hr Trend: ",'UMR Brief'!I49,"; Long-Term: ",'UMR Brief'!J49," ",'UMR Brief'!K49," ",(LEFT('UMR Brief'!L49,4)),'UMR Brief'!N49,(RIGHT('UMR Brief'!L49,3))," ",'UMR Brief'!M49,IF('UMR Brief'!J50="","","; "),IF('UMR Brief'!J50="","",(CONCATENATE('UMR Brief'!J50," ",'UMR Brief'!M50,))))</f>
        <v>UMR Pool 25 (Winfield, MM 241.4 - 273.3); Action Phase: 33.8 &amp; Above; Current:  ft; 24-Hr Trend: ; Long-Term:    </v>
      </c>
      <c r="B25" s="177" t="str">
        <f aca="false">IF(AND('UMR Brief'!H49&gt;=VALUE(LEFT('UMR Brief'!E49,2)),'UMR Brief'!H49&lt;VALUE(RIGHT('UMR Brief'!E49,4))),"Watch",IF('UMR Brief'!H49&gt;=VALUE(RIGHT('UMR Brief'!E49,4)),"Action",""))</f>
        <v/>
      </c>
      <c r="K25" s="2"/>
    </row>
    <row r="26" customFormat="false" ht="19.5" hidden="false" customHeight="true" outlineLevel="0" collapsed="false">
      <c r="A26" s="112" t="str">
        <f aca="false">CONCATENATE("UMR ",'UMR Brief'!A51," (",Observed_Data!AF2,", MM ",'UMR Brief'!C51,"); Action Phase: ",'UMR Brief'!F51,"; Current: ",'UMR Brief'!H51," ft; 24-Hr Trend: ",'UMR Brief'!I51,"; Long-Term: ",'UMR Brief'!J51," ",'UMR Brief'!K51," ",(LEFT('UMR Brief'!L51,4)),'UMR Brief'!N51,(RIGHT('UMR Brief'!L51,3))," ",'UMR Brief'!M51,IF('UMR Brief'!J52="","","; "),IF('UMR Brief'!J52="","",(CONCATENATE('UMR Brief'!J52," ",'UMR Brief'!M52,))))</f>
        <v>UMR Pool 26 (Mel Price, MM 200.5 - 241.3); Action Phase: 36.5 &amp; Above; Current:  ft; 24-Hr Trend: ; Long-Term:    </v>
      </c>
      <c r="B26" s="177" t="str">
        <f aca="false">IF(AND('UMR Brief'!H51&gt;=VALUE(LEFT('UMR Brief'!E51,2)),'UMR Brief'!H51&lt;VALUE(RIGHT('UMR Brief'!E51,4))),"Watch",IF('UMR Brief'!H51&gt;=VALUE(RIGHT('UMR Brief'!E51,4)),"Action",""))</f>
        <v/>
      </c>
      <c r="K26" s="2"/>
    </row>
    <row r="27" customFormat="false" ht="19.5" hidden="false" customHeight="true" outlineLevel="0" collapsed="false">
      <c r="A27" s="112" t="str">
        <f aca="false">CONCATENATE("UMR ",'UMR Brief'!A53," (",Observed_Data!AG2,", MM ",'UMR Brief'!C53,"); Action Phase: ",'UMR Brief'!F53,"; Current: ",'UMR Brief'!H53," ft; 24-Hr Trend: ",'UMR Brief'!I53,"; Long-Term: ",'UMR Brief'!J53," ",'UMR Brief'!K53," ",(LEFT('UMR Brief'!L53,4)),'UMR Brief'!N53,(RIGHT('UMR Brief'!L53,3))," ",'UMR Brief'!M53,IF('UMR Brief'!J54="","","; "),IF('UMR Brief'!J54="","",(CONCATENATE('UMR Brief'!J54," ",'UMR Brief'!M54,))))</f>
        <v>UMR Pool 27 (St. Louis, MM 185.5 - 200.4); Action Phase: 40 &amp; Above; Current:  ft; 24-Hr Trend: ; Long-Term:    </v>
      </c>
      <c r="B27" s="175" t="str">
        <f aca="false">IF(AND('UMR Brief'!H53&gt;=VALUE(LEFT('UMR Brief'!E53,2)),'UMR Brief'!H53&lt;VALUE(RIGHT('UMR Brief'!E53,2))),"Watch",IF('UMR Brief'!H53&gt;=VALUE(RIGHT('UMR Brief'!E53,2)),"Action",""))</f>
        <v/>
      </c>
      <c r="K27" s="2"/>
    </row>
    <row r="28" customFormat="false" ht="19.5" hidden="false" customHeight="true" outlineLevel="0" collapsed="false">
      <c r="A28" s="112" t="str">
        <f aca="false">CONCATENATE("UMR ",'UMR Brief'!A55," (","Port of St. Louis",", MM ",'UMR Brief'!C55,"); Action Phase: 25 to 30, Extreme Action Phase: 30 &amp; Above","; Current: ",'UMR Brief'!H55," ft; 24-Hr Trend: ",'UMR Brief'!I55,"; Long-Term: ",'UMR Brief'!J55," ",'UMR Brief'!K55," ",(LEFT('UMR Brief'!L55,4)),'UMR Brief'!N55,(RIGHT('UMR Brief'!L55,3))," ",'UMR Brief'!M55,IF('UMR Brief'!J56="","","; "),IF('UMR Brief'!J56="","",(CONCATENATE('UMR Brief'!J56," ",'UMR Brief'!M56,))))</f>
        <v>UMR Zone 28 (Port of St. Louis, MM 160.1 - 185.4); Action Phase: 25 to 30, Extreme Action Phase: 30 &amp; Above; Current:  ft; 24-Hr Trend: ; Long-Term:    </v>
      </c>
      <c r="B28" s="177" t="str">
        <f aca="false">IF(AND('UMR Brief'!H55&gt;=VALUE(LEFT('UMR Brief'!E55,2)),'UMR Brief'!H55&lt;VALUE(RIGHT('UMR Brief'!E55,2))),"Watch",IF(AND('UMR Brief'!H55&gt;=VALUE(RIGHT('UMR Brief'!E55,2)),'UMR Brief'!H55&lt;30),"Action",IF('UMR Brief'!H55&gt;=30,"Extreme Action","")))</f>
        <v/>
      </c>
      <c r="K28" s="2"/>
    </row>
    <row r="29" customFormat="false" ht="19.5" hidden="false" customHeight="true" outlineLevel="0" collapsed="false">
      <c r="A29" s="112" t="str">
        <f aca="false">CONCATENATE("UMR ",'UMR Brief'!A58," (","Chester to Meramec River",", MM ",'UMR Brief'!C58,"); Action Phase: ",'UMR Brief'!F58,"; Current: ",'UMR Brief'!H58," ft; 24-Hr Trend: ",'UMR Brief'!I58,"; Long-Term: ",'UMR Brief'!J58," ",'UMR Brief'!K58," ",(LEFT('UMR Brief'!L58,4)),'UMR Brief'!N58,(RIGHT('UMR Brief'!L58,3))," ",'UMR Brief'!M58,IF('UMR Brief'!J59="","","; "),IF('UMR Brief'!J59="","",(CONCATENATE('UMR Brief'!J59," ",'UMR Brief'!M59,))))</f>
        <v>UMR Zone 29 (Chester to Meramec River, MM 109.9 - 160.0); Action Phase: 25 &amp; Above; Current:  ft; 24-Hr Trend: ; Long-Term:    </v>
      </c>
      <c r="B29" s="175" t="str">
        <f aca="false">IF(AND('UMR Brief'!H58&gt;=VALUE(LEFT('UMR Brief'!E58,2)),'UMR Brief'!H58&lt;VALUE(RIGHT('UMR Brief'!E58,2))),"Watch",IF('UMR Brief'!H58&gt;=VALUE(RIGHT('UMR Brief'!E58,2)),"Action",""))</f>
        <v/>
      </c>
      <c r="K29" s="2"/>
    </row>
    <row r="32" customFormat="false" ht="19.5" hidden="false" customHeight="true" outlineLevel="0" collapsed="false">
      <c r="A32" s="112" t="str">
        <f aca="false">CONCATENATE("ILR ",'ILR Brief'!A3," (",LEFT('ILR Brief'!B3,LEN('ILR Brief'!B3)-8),", MM ",'ILR Brief'!C3,"); Action Phase: ",'ILR Brief'!H3,"; Current: ",'ILR Brief'!J3," ft; 24-Hr Trend: ",'ILR Brief'!K3,"; Long-Term: ",'ILR Brief'!L3," ",'ILR Brief'!M3," ",(LEFT('ILR Brief'!N3,4)),'ILR Brief'!P3,(RIGHT('ILR Brief'!N3,3))," ",'ILR Brief'!O3,IF('ILR Brief'!L4="","","; "),IF('ILR Brief'!L4="","",(CONCATENATE('ILR Brief'!L4," ",'ILR Brief'!O4,))))</f>
        <v>ILR Zone 1 (Grafton, MM 0.0 - 9.9); Action Phase: 22 &amp; Above; Current: 16.28 ft; 24-Hr Trend: ; Long-Term:    </v>
      </c>
      <c r="B32" s="175" t="str">
        <f aca="false">IF(AND('ILR Brief'!J3&gt;=VALUE(LEFT('ILR Brief'!G3,2)),'ILR Brief'!J3&lt;VALUE(RIGHT('ILR Brief'!G3,2))),"Watch",IF('ILR Brief'!J3&gt;=VALUE(RIGHT('ILR Brief'!G3,2)),"Action",""))</f>
        <v/>
      </c>
    </row>
    <row r="33" customFormat="false" ht="19.5" hidden="false" customHeight="true" outlineLevel="0" collapsed="false">
      <c r="A33" s="112" t="str">
        <f aca="false">CONCATENATE("ILR ",'ILR Brief'!A5," (",LEFT('ILR Brief'!B5,LEN('ILR Brief'!B5)-8),", MM ",'ILR Brief'!C5,"); Action Phase: ",'ILR Brief'!H5,"; Current: ",'ILR Brief'!J5," ft; 24-Hr Trend: ",'ILR Brief'!K5,"; Long-Term: ",'ILR Brief'!L5," ",'ILR Brief'!M5," ",(LEFT('ILR Brief'!N5,4)),'ILR Brief'!P5,(RIGHT('ILR Brief'!N5,3))," ",'ILR Brief'!O5,IF('ILR Brief'!L6="","","; "),IF('ILR Brief'!L6="","",(CONCATENATE('ILR Brief'!L6," ",'ILR Brief'!O6,))))</f>
        <v>ILR Zone 2 (Hardin, MM 10 - 49.9); Action Phase: 33 &amp; Above; Current: 20.13 ft; 24-Hr Trend: ; Long-Term:    </v>
      </c>
      <c r="B33" s="175" t="str">
        <f aca="false">IF(AND('ILR Brief'!J5&gt;=VALUE(LEFT('ILR Brief'!G5,2)),'ILR Brief'!J5&lt;VALUE(RIGHT('ILR Brief'!G5,2))),"Watch",IF('ILR Brief'!J5&gt;=VALUE(RIGHT('ILR Brief'!G5,2)),"Action",""))</f>
        <v/>
      </c>
    </row>
    <row r="34" customFormat="false" ht="19.5" hidden="false" customHeight="true" outlineLevel="0" collapsed="false">
      <c r="A34" s="112" t="str">
        <f aca="false">CONCATENATE("ILR ",'ILR Brief'!A7," (",LEFT('ILR Brief'!B7,LEN('ILR Brief'!B7)-8),", MM ",'ILR Brief'!C7,"); Action Phase: ",'ILR Brief'!H7,"; Current: ",'ILR Brief'!J7," ft; 24-Hr Trend: ",'ILR Brief'!K7,"; Long-Term: ",'ILR Brief'!L7," ",'ILR Brief'!M7," ",(LEFT('ILR Brief'!N7,4)),'ILR Brief'!P7,(RIGHT('ILR Brief'!N7,3))," ",'ILR Brief'!O7,IF('ILR Brief'!L8="","","; "),IF('ILR Brief'!L8="","",(CONCATENATE('ILR Brief'!L8," ",'ILR Brief'!O8,))))</f>
        <v>ILR Zone 3 (Meredosia, MM 50 - 80.2); Action Phase: 23 &amp; Above; Current: 3.21 ft; 24-Hr Trend: ; Long-Term:    </v>
      </c>
      <c r="B34" s="175" t="str">
        <f aca="false">IF(AND('ILR Brief'!J7&gt;=VALUE(LEFT('ILR Brief'!G7,2)),'ILR Brief'!J7&lt;VALUE(RIGHT('ILR Brief'!G7,2))),"Watch",IF('ILR Brief'!J7&gt;=VALUE(RIGHT('ILR Brief'!G7,2)),"Action",""))</f>
        <v/>
      </c>
    </row>
    <row r="35" customFormat="false" ht="19.5" hidden="false" customHeight="true" outlineLevel="0" collapsed="false">
      <c r="A35" s="112" t="str">
        <f aca="false">CONCATENATE("ILR ",'ILR Brief'!A9," (",LEFT('ILR Brief'!B9,LEN('ILR Brief'!B9)-8),", MM ",'ILR Brief'!C9,"); Action Phase: ",'ILR Brief'!H9,"; Current: ",'ILR Brief'!J9," ft; 24-Hr Trend: ",'ILR Brief'!K9,"; Long-Term: ",'ILR Brief'!L9," ",'ILR Brief'!M9," ",(LEFT('ILR Brief'!N9,4)),'ILR Brief'!P9,(RIGHT('ILR Brief'!N9,3))," ",'ILR Brief'!O9,IF('ILR Brief'!L10="","","; "),IF('ILR Brief'!L10="","",(CONCATENATE('ILR Brief'!L10," ",'ILR Brief'!O10,))))</f>
        <v>ILR Zone 4 (Beardstown, MM 80.3 - 101.9); Action Phase: 22 &amp; Above; Current: 9.7 ft; 24-Hr Trend: ; Long-Term:    </v>
      </c>
      <c r="B35" s="175" t="str">
        <f aca="false">IF(AND('ILR Brief'!J9&gt;=VALUE(LEFT('ILR Brief'!G9,2)),'ILR Brief'!J9&lt;VALUE(RIGHT('ILR Brief'!G9,2))),"Watch",IF('ILR Brief'!J9&gt;=VALUE(RIGHT('ILR Brief'!G9,2)),"Action",""))</f>
        <v/>
      </c>
    </row>
    <row r="36" customFormat="false" ht="19.5" hidden="false" customHeight="true" outlineLevel="0" collapsed="false">
      <c r="A36" s="112" t="str">
        <f aca="false">CONCATENATE("ILR ",'ILR Brief'!A11," (",LEFT('ILR Brief'!B11,LEN('ILR Brief'!B11)-8),", MM ",'ILR Brief'!C11,"); Action Phase: ",'ILR Brief'!H11,"; Current: ",'ILR Brief'!J11," ft; 24-Hr Trend: ",'ILR Brief'!K11,"; Long-Term: ",'ILR Brief'!L11," ",'ILR Brief'!M11," ",(LEFT('ILR Brief'!N11,4)),'ILR Brief'!P11,(RIGHT('ILR Brief'!N11,3))," ",'ILR Brief'!O11,IF('ILR Brief'!L12="","","; "),IF('ILR Brief'!L12="","",(CONCATENATE('ILR Brief'!L12," ",'ILR Brief'!O12,))))</f>
        <v>ILR Zone 5 (Havana, MM 102 - 128.9); Action Phase: 20 &amp; Above; Current: 5.17 ft; 24-Hr Trend: ; Long-Term:    </v>
      </c>
      <c r="B36" s="175" t="str">
        <f aca="false">IF(AND('ILR Brief'!J11&gt;=VALUE(LEFT('ILR Brief'!G11,2)),'ILR Brief'!J11&lt;VALUE(RIGHT('ILR Brief'!G11,2))),"Watch",IF('ILR Brief'!J11&gt;=VALUE(RIGHT('ILR Brief'!G11,2)),"Action",""))</f>
        <v/>
      </c>
    </row>
    <row r="37" customFormat="false" ht="19.5" hidden="false" customHeight="true" outlineLevel="0" collapsed="false">
      <c r="A37" s="112" t="str">
        <f aca="false">CONCATENATE("ILR ",'ILR Brief'!A13," (",LEFT('ILR Brief'!B13,LEN('ILR Brief'!B13)-8),", MM ",'ILR Brief'!C13,"); Action Phase: ",'ILR Brief'!H13,"; Current: ",'ILR Brief'!J13," ft; ",'ILR Brief'!K13)</f>
        <v>ILR Zone 6 (Copperas, MM 129 - 145.5); Action Phase: 16.4 &amp; Above; Current: 2.12 ft; </v>
      </c>
      <c r="B37" s="175" t="str">
        <f aca="false">IF(AND('ILR Brief'!J13&gt;=VALUE(LEFT('ILR Brief'!G13,2)),'ILR Brief'!J13&lt;VALUE(RIGHT('ILR Brief'!G13,4))),"Watch",IF('ILR Brief'!J13&gt;=VALUE(RIGHT('ILR Brief'!G13,4)),"Action",""))</f>
        <v/>
      </c>
    </row>
    <row r="38" customFormat="false" ht="19.5" hidden="false" customHeight="true" outlineLevel="0" collapsed="false">
      <c r="A38" s="112" t="str">
        <f aca="false">CONCATENATE("ILR ",'ILR Brief'!A14," (",LEFT('ILR Brief'!B14,LEN('ILR Brief'!B14)-8),", MM ",'ILR Brief'!C14,"); Action Phase: ",'ILR Brief'!H14,"; Current: ",'ILR Brief'!J14," ft; 24-Hr Trend: ",'ILR Brief'!K14,"; Long-Term: ",'ILR Brief'!L14," ",'ILR Brief'!M14," ",(LEFT('ILR Brief'!N14,4)),'ILR Brief'!P14,(RIGHT('ILR Brief'!N14,3))," ",'ILR Brief'!O14,IF('ILR Brief'!L15="","","; "),IF('ILR Brief'!L15="","",(CONCATENATE('ILR Brief'!L15," ",'ILR Brief'!O15,))))</f>
        <v>ILR Zone 7 (Peoria, MM 145.6 - 187); Action Phase: 22 &amp; Above; Current: 12.04 ft; 24-Hr Trend: ; Long-Term:    </v>
      </c>
      <c r="B38" s="175" t="str">
        <f aca="false">IF(AND('ILR Brief'!J14&gt;=VALUE(LEFT('ILR Brief'!G14,2)),'ILR Brief'!J14&lt;VALUE(RIGHT('ILR Brief'!G14,2))),"Watch",IF('ILR Brief'!J14&gt;=VALUE(RIGHT('ILR Brief'!G14,2)),"Action",""))</f>
        <v/>
      </c>
    </row>
    <row r="41" customFormat="false" ht="19.5" hidden="false" customHeight="true" outlineLevel="0" collapsed="false">
      <c r="A41" s="178" t="str">
        <f aca="false">CONCATENATE("MOR Sioux City Reach (MM 630-734.8), ",(LEFT('MOR Brief'!B3,10))," Gauge; Action Phase: ",'MOR Brief'!G3,"; Current: ",'MOR Brief'!H3," ft; 24-Hr Trend: ",'MOR Brief'!I3,"; Long-Term: ",'MOR Brief'!J3," ",'MOR Brief'!K3," ",(LEFT('MOR Brief'!L3,4)),'MOR Brief'!N3,(RIGHT('MOR Brief'!L3,3))," ",'MOR Brief'!M3,IF('MOR Brief'!J4="","","; "),IF('MOR Brief'!J4="","",(CONCATENATE('MOR Brief'!J4," ",'MOR Brief'!M4,))))</f>
        <v>MOR Sioux City Reach (MM 630-734.8), Sioux City Gauge; Action Phase: 30 &amp; Above; Current: 12.56 ft; 24-Hr Trend: ; Long-Term:    </v>
      </c>
      <c r="B41" s="175" t="str">
        <f aca="false">IF(AND('MOR Brief'!H3&gt;=VALUE(LEFT('MOR Brief'!F3,2)),'MOR Brief'!H3&lt;VALUE(RIGHT('MOR Brief'!F3,2))),"Watch",IF('MOR Brief'!H3&gt;=VALUE(RIGHT('MOR Brief'!F3,2)),"Action",""))</f>
        <v/>
      </c>
    </row>
    <row r="42" customFormat="false" ht="19.5" hidden="false" customHeight="true" outlineLevel="0" collapsed="false">
      <c r="A42" s="178" t="str">
        <f aca="false">CONCATENATE("MOR Sioux City Reach (MM 630-734.8), ",(LEFT('MOR Brief'!B5,5))," Gauge; Action Phase: ",'MOR Brief'!G5,"; Current: ",'MOR Brief'!H5," ft; 24-Hr Trend: ",'MOR Brief'!I5,"; Long-Term: ",'MOR Brief'!J5," ",'MOR Brief'!K5," ",(LEFT('MOR Brief'!L5,4)),'MOR Brief'!N5,(RIGHT('MOR Brief'!L5,3))," ",'MOR Brief'!M5,IF('MOR Brief'!J6="","","; "),IF('MOR Brief'!J6="","",(CONCATENATE('MOR Brief'!J6," ",'MOR Brief'!M6,))))</f>
        <v>MOR Sioux City Reach (MM 630-734.8), Omaha Gauge; Action Phase: 29 &amp; Above; Current: 15.48 ft; 24-Hr Trend: ; Long-Term:    </v>
      </c>
      <c r="B42" s="175" t="str">
        <f aca="false">IF(AND('MOR Brief'!H5&gt;=VALUE(LEFT('MOR Brief'!F5,2)),'MOR Brief'!H5&lt;VALUE(RIGHT('MOR Brief'!F5,2))),"Watch",IF('MOR Brief'!H5&gt;=VALUE(RIGHT('MOR Brief'!F5,2)),"Action",""))</f>
        <v/>
      </c>
    </row>
    <row r="43" customFormat="false" ht="19.5" hidden="false" customHeight="true" outlineLevel="0" collapsed="false">
      <c r="A43" s="178" t="str">
        <f aca="false">CONCATENATE("MOR Omaha Reach (MM 500-630), ",(LEFT('MOR Brief'!B8,5))," Gauge; Action Phase: ",'MOR Brief'!G8,"; Current: ",'MOR Brief'!H8," ft; 24-Hr Trend: ",'MOR Brief'!I8,"; Long-Term: ",'MOR Brief'!J8," ",'MOR Brief'!K8," ",(LEFT('MOR Brief'!L8,4)),'MOR Brief'!N8,(RIGHT('MOR Brief'!L8,3))," ",'MOR Brief'!M8,IF('MOR Brief'!J9="","","; "),IF('MOR Brief'!J9="","",(CONCATENATE('MOR Brief'!J9," ",'MOR Brief'!M9,))))</f>
        <v>MOR Omaha Reach (MM 500-630), Omaha Gauge; Action Phase: 29 &amp; Above; Current: 15.48 ft; 24-Hr Trend: ; Long-Term:    </v>
      </c>
      <c r="B43" s="175" t="str">
        <f aca="false">IF(AND('MOR Brief'!H8&gt;=VALUE(LEFT('MOR Brief'!F8,2)),'MOR Brief'!H8&lt;VALUE(RIGHT('MOR Brief'!F8,2))),"Watch",IF('MOR Brief'!H8&gt;=VALUE(RIGHT('MOR Brief'!F8,2)),"Action",""))</f>
        <v/>
      </c>
    </row>
    <row r="44" customFormat="false" ht="19.5" hidden="false" customHeight="true" outlineLevel="0" collapsed="false">
      <c r="A44" s="178" t="str">
        <f aca="false">CONCATENATE("MOR Omaha Reach (MM 500-630), ",(LEFT('MOR Brief'!B10,4))," Gauge; Action Phase: ",'MOR Brief'!G10,"; Current: ",'MOR Brief'!H10," ft; 24-Hr Trend: ",'MOR Brief'!I10,"; Long-Term: ",'MOR Brief'!J10," ",'MOR Brief'!K10," ",(LEFT('MOR Brief'!L10,4)),'MOR Brief'!N10,(RIGHT('MOR Brief'!L10,3))," ",'MOR Brief'!M10,IF('MOR Brief'!J11="","","; "),IF('MOR Brief'!J11="","",(CONCATENATE('MOR Brief'!J11," ",'MOR Brief'!M11,))))</f>
        <v>MOR Omaha Reach (MM 500-630), Rulo Gauge; Action Phase: 20 &amp; Above; Current: 8.27 ft; 24-Hr Trend: ; Long-Term:    </v>
      </c>
      <c r="B44" s="175" t="str">
        <f aca="false">IF(AND('MOR Brief'!H10&gt;=VALUE(LEFT('MOR Brief'!F10,2)),'MOR Brief'!H10&lt;VALUE(RIGHT('MOR Brief'!F10,2))),"Watch",IF('MOR Brief'!H10&gt;=VALUE(RIGHT('MOR Brief'!F10,2)),"Action",""))</f>
        <v/>
      </c>
    </row>
    <row r="45" customFormat="false" ht="19.5" hidden="false" customHeight="true" outlineLevel="0" collapsed="false">
      <c r="A45" s="178" t="str">
        <f aca="false">CONCATENATE("MOR St. Joseph Reach (MM 400-500), ",(LEFT('MOR Brief'!B13,4))," Gauge; Action Phase: ",'MOR Brief'!G13,"; Current: ",'MOR Brief'!H13," ft; 24-Hr Trend: ",'MOR Brief'!I13,"; Long-Term: ",'MOR Brief'!J13," ",'MOR Brief'!K13," ",(LEFT('MOR Brief'!L13,4)),'MOR Brief'!N13,(RIGHT('MOR Brief'!L13,3))," ",'MOR Brief'!M13,IF('MOR Brief'!J14="","","; "),IF('MOR Brief'!J14="","",(CONCATENATE('MOR Brief'!J14," ",'MOR Brief'!M14,))))</f>
        <v>MOR St. Joseph Reach (MM 400-500), Rulo Gauge; Action Phase: 20 &amp; Above; Current: 8.27 ft; 24-Hr Trend: ; Long-Term:    </v>
      </c>
      <c r="B45" s="175" t="str">
        <f aca="false">IF(AND('MOR Brief'!H13&gt;=VALUE(LEFT('MOR Brief'!F13,2)),'MOR Brief'!H13&lt;VALUE(RIGHT('MOR Brief'!F13,2))),"Watch",IF('MOR Brief'!H13&gt;=VALUE(RIGHT('MOR Brief'!F13,2)),"Action",""))</f>
        <v/>
      </c>
    </row>
    <row r="46" customFormat="false" ht="19.5" hidden="false" customHeight="true" outlineLevel="0" collapsed="false">
      <c r="A46" s="178" t="str">
        <f aca="false">CONCATENATE("MOR St. Joseph Reach (MM 400-500), ",(LEFT('MOR Brief'!B15,10))," Gauge; Action Phase: ",'MOR Brief'!G15,"; Current: ",'MOR Brief'!H15," ft; 24-Hr Trend: ",'MOR Brief'!I15,"; Long-Term: ",'MOR Brief'!J15," ",'MOR Brief'!K15," ",(LEFT('MOR Brief'!L15,4)),'MOR Brief'!N15,(RIGHT('MOR Brief'!L15,3))," ",'MOR Brief'!M15,IF('MOR Brief'!J16="","","; "),IF('MOR Brief'!J16="","",(CONCATENATE('MOR Brief'!J16," ",'MOR Brief'!M16,))))</f>
        <v>MOR St. Joseph Reach (MM 400-500), St. Joseph Gauge; Action Phase: 20 &amp; Above; Current: 7.72 ft; 24-Hr Trend: ; Long-Term:    </v>
      </c>
      <c r="B46" s="175" t="str">
        <f aca="false">IF(AND('MOR Brief'!H15&gt;=VALUE(LEFT('MOR Brief'!F15,2)),'MOR Brief'!H15&lt;VALUE(RIGHT('MOR Brief'!F15,2))),"Watch",IF('MOR Brief'!H15&gt;=VALUE(RIGHT('MOR Brief'!F15,2)),"Action",""))</f>
        <v/>
      </c>
    </row>
    <row r="47" customFormat="false" ht="19.5" hidden="false" customHeight="true" outlineLevel="0" collapsed="false">
      <c r="A47" s="178" t="str">
        <f aca="false">CONCATENATE("MOR St. Joseph Reach (MM 400-500), ",(LEFT('MOR Brief'!B17,8))," Gauge; Action Phase: ",'MOR Brief'!G17,"; Current: ",'MOR Brief'!H17," ft; 24-Hr Trend: ",'MOR Brief'!I17,"; Long-Term: ",'MOR Brief'!J17," ",'MOR Brief'!K17," ",(LEFT('MOR Brief'!L17,4)),'MOR Brief'!N17,(RIGHT('MOR Brief'!L17,3))," ",'MOR Brief'!M17,IF('MOR Brief'!J18="","","; "),IF('MOR Brief'!J18="","",(CONCATENATE('MOR Brief'!J18," ",'MOR Brief'!M18,))))</f>
        <v>MOR St. Joseph Reach (MM 400-500), Atchison Gauge; Action Phase: 26 &amp; Above; Current: 9.46 ft; 24-Hr Trend: ; Long-Term:    </v>
      </c>
      <c r="B47" s="175" t="str">
        <f aca="false">IF(AND('MOR Brief'!H17&gt;=VALUE(LEFT('MOR Brief'!F17,2)),'MOR Brief'!H17&lt;VALUE(RIGHT('MOR Brief'!F17,2))),"Watch",IF('MOR Brief'!H17&gt;=VALUE(RIGHT('MOR Brief'!F17,2)),"Action",""))</f>
        <v/>
      </c>
    </row>
    <row r="48" customFormat="false" ht="19.5" hidden="false" customHeight="true" outlineLevel="0" collapsed="false">
      <c r="A48" s="178" t="str">
        <f aca="false">CONCATENATE("MOR St. Joseph Reach (MM 400-500), ",(LEFT('MOR Brief'!B19,11))," Gauge; Action Phase: ",'MOR Brief'!G19,"; Current: ",'MOR Brief'!H19," ft; 24-Hr Trend: ",'MOR Brief'!I19,"; Long-Term: ",'MOR Brief'!J19," ",'MOR Brief'!K19," ",(LEFT('MOR Brief'!L19,4)),'MOR Brief'!N19,(RIGHT('MOR Brief'!L19,3))," ",'MOR Brief'!M19,IF('MOR Brief'!J20="","","; "),IF('MOR Brief'!J20="","",(CONCATENATE('MOR Brief'!J20," ",'MOR Brief'!M20,))))</f>
        <v>MOR St. Joseph Reach (MM 400-500), Kansas City Gauge; Action Phase: 35 &amp; Above; Current: 10.38 ft; 24-Hr Trend: ; Long-Term:    </v>
      </c>
      <c r="B48" s="175" t="str">
        <f aca="false">IF(AND('MOR Brief'!H19&gt;=VALUE(LEFT('MOR Brief'!F19,2)),'MOR Brief'!H19&lt;VALUE(RIGHT('MOR Brief'!F19,2))),"Watch",IF('MOR Brief'!H19&gt;=VALUE(RIGHT('MOR Brief'!F19,2)),"Action",""))</f>
        <v/>
      </c>
    </row>
    <row r="49" customFormat="false" ht="19.5" hidden="false" customHeight="true" outlineLevel="0" collapsed="false">
      <c r="A49" s="178" t="str">
        <f aca="false">CONCATENATE("MOR Kansas City Reach (MM 300-400), ",(LEFT('MOR Brief'!B22,11))," Gauge; Action Phase: ",'MOR Brief'!G22,"; Current: ",'MOR Brief'!H22," ft; 24-Hr Trend: ",'MOR Brief'!I22,"; Long-Term: ",'MOR Brief'!J22," ",'MOR Brief'!K22," ",(LEFT('MOR Brief'!L22,4)),'MOR Brief'!N22,(RIGHT('MOR Brief'!L22,3))," ",'MOR Brief'!M22,IF('MOR Brief'!J23="","","; "),IF('MOR Brief'!J23="","",(CONCATENATE('MOR Brief'!J23," ",'MOR Brief'!M23,))))</f>
        <v>MOR Kansas City Reach (MM 300-400), Kansas City Gauge; Action Phase: 35 &amp; Above; Current: 10.38 ft; 24-Hr Trend: ; Long-Term:    </v>
      </c>
      <c r="B49" s="175" t="str">
        <f aca="false">IF(AND('MOR Brief'!H22&gt;=VALUE(LEFT('MOR Brief'!F22,2)),'MOR Brief'!H22&lt;VALUE(RIGHT('MOR Brief'!F22,2))),"Watch",IF('MOR Brief'!H22&gt;=VALUE(RIGHT('MOR Brief'!F22,2)),"Action",""))</f>
        <v/>
      </c>
    </row>
    <row r="50" customFormat="false" ht="19.5" hidden="false" customHeight="true" outlineLevel="0" collapsed="false">
      <c r="A50" s="178" t="str">
        <f aca="false">CONCATENATE("MOR Kansas City Reach (MM 300-400), ",(LEFT('MOR Brief'!B24,7))," Gauge; Action Phase: ",'MOR Brief'!G24,"; Current: ",'MOR Brief'!H24," ft; 24-Hr Trend: ",'MOR Brief'!I24,"; Long-Term: ",'MOR Brief'!J24," ",'MOR Brief'!K24," ",(LEFT('MOR Brief'!L24,4)),'MOR Brief'!N24,(RIGHT('MOR Brief'!L24,3))," ",'MOR Brief'!M24,IF('MOR Brief'!J25="","","; "),IF('MOR Brief'!J25="","",(CONCATENATE('MOR Brief'!J25," ",'MOR Brief'!M25,))))</f>
        <v>MOR Kansas City Reach (MM 300-400), Waverly Gauge; Action Phase: 25 &amp; Above; Current: 11.51 ft; 24-Hr Trend: ; Long-Term:    </v>
      </c>
      <c r="B50" s="175" t="str">
        <f aca="false">IF(AND('MOR Brief'!H24&gt;=VALUE(LEFT('MOR Brief'!F24,2)),'MOR Brief'!H24&lt;VALUE(RIGHT('MOR Brief'!F24,2))),"Watch",IF('MOR Brief'!H24&gt;=VALUE(RIGHT('MOR Brief'!F24,2)),"Action",""))</f>
        <v/>
      </c>
    </row>
    <row r="51" customFormat="false" ht="19.5" hidden="false" customHeight="true" outlineLevel="0" collapsed="false">
      <c r="A51" s="178" t="str">
        <f aca="false">CONCATENATE("MOR Brunswick Reach (MM 200-300), ",(LEFT('MOR Brief'!B27,7))," Gauge; Action Phase: ",'MOR Brief'!G27,"; Current: ",'MOR Brief'!H27," ft; 24-Hr Trend: ",'MOR Brief'!I27,"; Long-Term: ",'MOR Brief'!J27," ",'MOR Brief'!K27," ",(LEFT('MOR Brief'!L27,4)),'MOR Brief'!N27,(RIGHT('MOR Brief'!L27,3))," ",'MOR Brief'!M27,IF('MOR Brief'!J28="","","; "),IF('MOR Brief'!J28="","",(CONCATENATE('MOR Brief'!J28," ",'MOR Brief'!M28,))))</f>
        <v>MOR Brunswick Reach (MM 200-300), Waverly Gauge; Action Phase:  25 &amp; Above; Current: 11.51 ft; 24-Hr Trend: ; Long-Term:    </v>
      </c>
      <c r="B51" s="175" t="str">
        <f aca="false">IF(AND('MOR Brief'!H27&gt;=VALUE(LEFT('MOR Brief'!F27,2)),'MOR Brief'!H27&lt;VALUE(RIGHT('MOR Brief'!F27,2))),"Watch",IF('MOR Brief'!H27&gt;=VALUE(RIGHT('MOR Brief'!F27,2)),"Action",""))</f>
        <v/>
      </c>
    </row>
    <row r="52" customFormat="false" ht="19.5" hidden="false" customHeight="true" outlineLevel="0" collapsed="false">
      <c r="A52" s="178" t="str">
        <f aca="false">CONCATENATE("MOR Brunswick Reach (MM 200-300), ",(LEFT('MOR Brief'!B29,5))," Gauge; Action Phase: ",'MOR Brief'!G29,"; Current: ",'MOR Brief'!H29," ft; 24-Hr Trend: ",'MOR Brief'!I29,"; Long-Term: ",'MOR Brief'!J29," ",'MOR Brief'!K29," ",(LEFT('MOR Brief'!L29,4)),'MOR Brief'!N29,(RIGHT('MOR Brief'!L29,3))," ",'MOR Brief'!M29,IF('MOR Brief'!J30="","","; "),IF('MOR Brief'!J30="","",(CONCATENATE('MOR Brief'!J30," ",'MOR Brief'!M30,))))</f>
        <v>MOR Brunswick Reach (MM 200-300), Miami Gauge; Action Phase: 25 &amp; Above; Current: URL error ft; 24-Hr Trend: ; Long-Term:    </v>
      </c>
      <c r="B52" s="175" t="str">
        <f aca="false">IF(AND('MOR Brief'!H29&gt;=VALUE(LEFT('MOR Brief'!F29,2)),'MOR Brief'!H29&lt;VALUE(RIGHT('MOR Brief'!F29,2))),"Watch",IF('MOR Brief'!H29&gt;=VALUE(RIGHT('MOR Brief'!F29,2)),"Action",""))</f>
        <v>Action</v>
      </c>
    </row>
    <row r="53" customFormat="false" ht="19.5" hidden="false" customHeight="true" outlineLevel="0" collapsed="false">
      <c r="A53" s="178" t="str">
        <f aca="false">CONCATENATE("MOR Brunswick Reach (MM 200-300), ",(LEFT('MOR Brief'!B31,7))," Gauge; Action Phase: ",'MOR Brief'!G31,"; Current: ",'MOR Brief'!H31," ft; 24-Hr Trend: ",'MOR Brief'!I31,"; Long-Term: ",'MOR Brief'!J31," ",'MOR Brief'!K31," ",(LEFT('MOR Brief'!L31,4)),'MOR Brief'!N31,(RIGHT('MOR Brief'!L31,3))," ",'MOR Brief'!M31,IF('MOR Brief'!J32="","","; "),IF('MOR Brief'!J32="","",(CONCATENATE('MOR Brief'!J32," ",'MOR Brief'!M32,))))</f>
        <v>MOR Brunswick Reach (MM 200-300), Glasgow Gauge; Action Phase: 27 &amp; Above; Current: 11.75 ft; 24-Hr Trend: ; Long-Term:    </v>
      </c>
      <c r="B53" s="175" t="str">
        <f aca="false">IF(AND('MOR Brief'!H31&gt;=VALUE(LEFT('MOR Brief'!F31,2)),'MOR Brief'!H31&lt;VALUE(RIGHT('MOR Brief'!F31,2))),"Watch",IF('MOR Brief'!H31&gt;=VALUE(RIGHT('MOR Brief'!F31,2)),"Action",""))</f>
        <v/>
      </c>
    </row>
    <row r="54" customFormat="false" ht="19.5" hidden="false" customHeight="true" outlineLevel="0" collapsed="false">
      <c r="A54" s="178" t="str">
        <f aca="false">CONCATENATE("MOR Brunswick Reach (MM 200-300), ",(LEFT('MOR Brief'!B33,9))," Gauge; Action Phase: ",'MOR Brief'!G33,"; Current: ",'MOR Brief'!H33," ft; 24-Hr Trend: ",'MOR Brief'!I33,"; Long-Term: ",'MOR Brief'!J33," ",'MOR Brief'!K33," ",(LEFT('MOR Brief'!L33,4)),'MOR Brief'!N33,(RIGHT('MOR Brief'!L33,3))," ",'MOR Brief'!M33,IF('MOR Brief'!J34="","","; "),IF('MOR Brief'!J34="","",(CONCATENATE('MOR Brief'!J34," ",'MOR Brief'!M34,))))</f>
        <v>MOR Brunswick Reach (MM 200-300), Boonville Gauge; Action Phase: 25 &amp; Above; Current: 7.6 ft; 24-Hr Trend: ; Long-Term:    </v>
      </c>
      <c r="B54" s="175" t="str">
        <f aca="false">IF(AND('MOR Brief'!H33&gt;=VALUE(LEFT('MOR Brief'!F33,2)),'MOR Brief'!H33&lt;VALUE(RIGHT('MOR Brief'!F33,2))),"Watch",IF('MOR Brief'!H33&gt;=VALUE(RIGHT('MOR Brief'!F33,2)),"Action",""))</f>
        <v/>
      </c>
    </row>
    <row r="55" customFormat="false" ht="19.5" hidden="false" customHeight="true" outlineLevel="0" collapsed="false">
      <c r="A55" s="178" t="str">
        <f aca="false">CONCATENATE("MOR Jefferson Reach (MM 100-200), ",(LEFT('MOR Brief'!B36,9))," Gauge; Action Phase: ",'MOR Brief'!G36,"; Current: ",'MOR Brief'!H36," ft; 24-Hr Trend: ",'MOR Brief'!I36,"; Long-Term: ",'MOR Brief'!J36," ",'MOR Brief'!K36," ",(LEFT('MOR Brief'!L36,4)),'MOR Brief'!N36,(RIGHT('MOR Brief'!L36,3))," ",'MOR Brief'!M36,IF('MOR Brief'!J37="","","; "),IF('MOR Brief'!J37="","",(CONCATENATE('MOR Brief'!J37," ",'MOR Brief'!M37,))))</f>
        <v>MOR Jefferson Reach (MM 100-200), Boonville Gauge; Action Phase: 25 &amp; Above; Current: 7.6 ft; 24-Hr Trend: ; Long-Term:    </v>
      </c>
      <c r="B55" s="175" t="str">
        <f aca="false">IF(AND('MOR Brief'!H36&gt;=VALUE(LEFT('MOR Brief'!F36,2)),'MOR Brief'!H36&lt;VALUE(RIGHT('MOR Brief'!F36,2))),"Watch",IF('MOR Brief'!H36&gt;=VALUE(RIGHT('MOR Brief'!F36,2)),"Action",""))</f>
        <v/>
      </c>
    </row>
    <row r="56" customFormat="false" ht="19.5" hidden="false" customHeight="true" outlineLevel="0" collapsed="false">
      <c r="A56" s="178" t="str">
        <f aca="false">CONCATENATE("MOR Jefferson Reach (MM 100-200), ",(LEFT('MOR Brief'!B38,14))," Gauge; Action Phase: ",'MOR Brief'!G38,"; Current: ",'MOR Brief'!H38," ft; 24-Hr Trend: ",'MOR Brief'!I38,"; Long-Term: ",'MOR Brief'!J38," ",'MOR Brief'!K38," ",(LEFT('MOR Brief'!L38,4)),'MOR Brief'!N38,(RIGHT('MOR Brief'!L38,3))," ",'MOR Brief'!M38,IF('MOR Brief'!J39="","","; "),IF('MOR Brief'!J39="","",(CONCATENATE('MOR Brief'!J39," ",'MOR Brief'!M39,))))</f>
        <v>MOR Jefferson Reach (MM 100-200), Jefferson City Gauge; Action Phase: 26 &amp; Above; Current: 6.07 ft; 24-Hr Trend: ; Long-Term:    </v>
      </c>
      <c r="B56" s="175" t="str">
        <f aca="false">IF(AND('MOR Brief'!H38&gt;=VALUE(LEFT('MOR Brief'!F38,2)),'MOR Brief'!H38&lt;VALUE(RIGHT('MOR Brief'!F38,2))),"Watch",IF('MOR Brief'!H38&gt;=VALUE(RIGHT('MOR Brief'!F38,2)),"Action",""))</f>
        <v/>
      </c>
    </row>
    <row r="57" customFormat="false" ht="19.5" hidden="false" customHeight="true" outlineLevel="0" collapsed="false">
      <c r="A57" s="178" t="str">
        <f aca="false">CONCATENATE("MOR Jefferson Reach (MM 100-200), ",(LEFT('MOR Brief'!B40,7))," Gauge; Action Phase: ",'MOR Brief'!G40,"; Current: ",'MOR Brief'!H40," ft; 24-Hr Trend: ",'MOR Brief'!I40,"; Long-Term: ",'MOR Brief'!J40," ",'MOR Brief'!K40," ",(LEFT('MOR Brief'!L40,4)),'MOR Brief'!N40,(RIGHT('MOR Brief'!L40,3))," ",'MOR Brief'!M40,IF('MOR Brief'!J41="","","; "),IF('MOR Brief'!J41="","",(CONCATENATE('MOR Brief'!J41," ",'MOR Brief'!M41,))))</f>
        <v>MOR Jefferson Reach (MM 100-200), Hermann Gauge; Action Phase:  25 &amp; Above; Current: 5.3 ft; 24-Hr Trend: ; Long-Term:    </v>
      </c>
      <c r="B57" s="175" t="str">
        <f aca="false">IF(AND('MOR Brief'!H40&gt;=VALUE(LEFT('MOR Brief'!F40,2)),'MOR Brief'!H40&lt;VALUE(RIGHT('MOR Brief'!F40,2))),"Watch",IF('MOR Brief'!H40&gt;=VALUE(RIGHT('MOR Brief'!F40,2)),"Action",""))</f>
        <v/>
      </c>
    </row>
    <row r="58" customFormat="false" ht="19.5" hidden="false" customHeight="true" outlineLevel="0" collapsed="false">
      <c r="A58" s="178" t="str">
        <f aca="false">CONCATENATE("MOR Washington Reach (MM 0-100), ",(LEFT('MOR Brief'!B43,7))," Gauge; Action Phase: ",'MOR Brief'!G43,"; Current: ",'MOR Brief'!H43," ft; 24-Hr Trend: ",'MOR Brief'!I43,"; Long-Term: ",'MOR Brief'!J43," ",'MOR Brief'!K43," ",(LEFT('MOR Brief'!L43,4)),'MOR Brief'!N43,(RIGHT('MOR Brief'!L43,3))," ",'MOR Brief'!M43,IF('MOR Brief'!J44="","","; "),IF('MOR Brief'!J44="","",(CONCATENATE('MOR Brief'!J44," ",'MOR Brief'!M44,))))</f>
        <v>MOR Washington Reach (MM 0-100), Hermann Gauge; Action Phase: 25 &amp; Above; Current: 5.3 ft; 24-Hr Trend: ; Long-Term:    </v>
      </c>
      <c r="B58" s="175" t="str">
        <f aca="false">IF(AND('MOR Brief'!H43&gt;=VALUE(LEFT('MOR Brief'!F43,2)),'MOR Brief'!H43&lt;VALUE(RIGHT('MOR Brief'!F43,2))),"Watch",IF('MOR Brief'!H43&gt;=VALUE(RIGHT('MOR Brief'!F43,2)),"Action",""))</f>
        <v/>
      </c>
    </row>
    <row r="59" customFormat="false" ht="19.5" hidden="false" customHeight="true" outlineLevel="0" collapsed="false">
      <c r="A59" s="178" t="str">
        <f aca="false">CONCATENATE("MOR Washington Reach (MM 0-100), ",(LEFT('MOR Brief'!B45,10))," Gauge; Action Phase: ",'MOR Brief'!G45,"; Current: ",'MOR Brief'!H45," ft; 24-Hr Trend: ",'MOR Brief'!I45,"; Long-Term: ",'MOR Brief'!J45," ",'MOR Brief'!K45," ",(LEFT('MOR Brief'!L45,4)),'MOR Brief'!N45,(RIGHT('MOR Brief'!L45,3))," ",'MOR Brief'!M45,IF('MOR Brief'!J46="","","; "),IF('MOR Brief'!J46="","",(CONCATENATE('MOR Brief'!J46," ",'MOR Brief'!M46,))))</f>
        <v>MOR Washington Reach (MM 0-100), Washington Gauge; Action Phase: 26 &amp; Above; Current: 3.3 ft; 24-Hr Trend: ; Long-Term:    </v>
      </c>
      <c r="B59" s="175" t="str">
        <f aca="false">IF(AND('MOR Brief'!H45&gt;=VALUE(LEFT('MOR Brief'!F45,2)),'MOR Brief'!H45&lt;VALUE(RIGHT('MOR Brief'!F45,2))),"Watch",IF('MOR Brief'!H45&gt;=VALUE(RIGHT('MOR Brief'!F45,2)),"Action",""))</f>
        <v/>
      </c>
    </row>
    <row r="60" customFormat="false" ht="19.5" hidden="false" customHeight="true" outlineLevel="0" collapsed="false">
      <c r="A60" s="178" t="str">
        <f aca="false">CONCATENATE("MOR Washington Reach (MM 0-100), ",(LEFT('MOR Brief'!B47,11))," Gauge; Action Phase: ",'MOR Brief'!G47,"; Current: ",'MOR Brief'!H47," ft; 24-Hr Trend: ",'MOR Brief'!I47,"; Long-Term: ",'MOR Brief'!J47," ",'MOR Brief'!K47," ",(LEFT('MOR Brief'!L47,4)),'MOR Brief'!N47,(RIGHT('MOR Brief'!L47,3))," ",'MOR Brief'!M47,IF('MOR Brief'!J48="","","; "),IF('MOR Brief'!J48="","",(CONCATENATE('MOR Brief'!J48," ",'MOR Brief'!M48,))))</f>
        <v>MOR Washington Reach (MM 0-100), St. Charles Gauge; Action Phase: 27 &amp; Above; Current: 10.44 ft; 24-Hr Trend: ; Long-Term:    </v>
      </c>
      <c r="B60" s="175" t="str">
        <f aca="false">IF(AND('MOR Brief'!H47&gt;=VALUE(LEFT('MOR Brief'!F47,2)),'MOR Brief'!H47&lt;VALUE(RIGHT('MOR Brief'!F47,2))),"Watch",IF('MOR Brief'!H47&gt;=VALUE(RIGHT('MOR Brief'!F47,2)),"Action",""))</f>
        <v/>
      </c>
    </row>
  </sheetData>
  <sheetProtection sheet="true" objects="true" scenarios="true"/>
  <conditionalFormatting sqref="A60">
    <cfRule type="expression" priority="2" aboveAverage="0" equalAverage="0" bottom="0" percent="0" rank="0" text="" dxfId="276">
      <formula>STC_Current&gt;27</formula>
    </cfRule>
    <cfRule type="expression" priority="3" aboveAverage="0" equalAverage="0" bottom="0" percent="0" rank="0" text="" dxfId="277">
      <formula>STC_Current&gt;=25</formula>
    </cfRule>
    <cfRule type="expression" priority="4" aboveAverage="0" equalAverage="0" bottom="0" percent="0" rank="0" text="" dxfId="278">
      <formula>STC_Current&lt;25</formula>
    </cfRule>
  </conditionalFormatting>
  <conditionalFormatting sqref="A59">
    <cfRule type="expression" priority="5" aboveAverage="0" equalAverage="0" bottom="0" percent="0" rank="0" text="" dxfId="279">
      <formula>WASH_Current&gt;26</formula>
    </cfRule>
    <cfRule type="expression" priority="6" aboveAverage="0" equalAverage="0" bottom="0" percent="0" rank="0" text="" dxfId="280">
      <formula>WASH_Current&gt;=20</formula>
    </cfRule>
    <cfRule type="expression" priority="7" aboveAverage="0" equalAverage="0" bottom="0" percent="0" rank="0" text="" dxfId="281">
      <formula>WASH_Current&lt;20</formula>
    </cfRule>
  </conditionalFormatting>
  <conditionalFormatting sqref="A57:A58">
    <cfRule type="expression" priority="8" aboveAverage="0" equalAverage="0" bottom="0" percent="0" rank="0" text="" dxfId="282">
      <formula>HER_Current&gt;25</formula>
    </cfRule>
    <cfRule type="expression" priority="9" aboveAverage="0" equalAverage="0" bottom="0" percent="0" rank="0" text="" dxfId="283">
      <formula>HER_Current&gt;=21</formula>
    </cfRule>
    <cfRule type="expression" priority="10" aboveAverage="0" equalAverage="0" bottom="0" percent="0" rank="0" text="" dxfId="284">
      <formula>HER_Current&lt;21</formula>
    </cfRule>
  </conditionalFormatting>
  <conditionalFormatting sqref="A56">
    <cfRule type="expression" priority="11" aboveAverage="0" equalAverage="0" bottom="0" percent="0" rank="0" text="" dxfId="285">
      <formula>JEFF_Current&gt;26</formula>
    </cfRule>
    <cfRule type="expression" priority="12" aboveAverage="0" equalAverage="0" bottom="0" percent="0" rank="0" text="" dxfId="286">
      <formula>JEFF_Current&gt;=23</formula>
    </cfRule>
    <cfRule type="expression" priority="13" aboveAverage="0" equalAverage="0" bottom="0" percent="0" rank="0" text="" dxfId="287">
      <formula>JEFF_Current&lt;23</formula>
    </cfRule>
  </conditionalFormatting>
  <conditionalFormatting sqref="A54:A55">
    <cfRule type="expression" priority="14" aboveAverage="0" equalAverage="0" bottom="0" percent="0" rank="0" text="" dxfId="288">
      <formula>BOON_Current&gt;25</formula>
    </cfRule>
    <cfRule type="expression" priority="15" aboveAverage="0" equalAverage="0" bottom="0" percent="0" rank="0" text="" dxfId="289">
      <formula>BOON_Current&gt;=21</formula>
    </cfRule>
    <cfRule type="expression" priority="16" aboveAverage="0" equalAverage="0" bottom="0" percent="0" rank="0" text="" dxfId="290">
      <formula>BOON_Current&lt;21</formula>
    </cfRule>
  </conditionalFormatting>
  <conditionalFormatting sqref="A53">
    <cfRule type="expression" priority="17" aboveAverage="0" equalAverage="0" bottom="0" percent="0" rank="0" text="" dxfId="291">
      <formula>GLAS_Current&gt;27</formula>
    </cfRule>
    <cfRule type="expression" priority="18" aboveAverage="0" equalAverage="0" bottom="0" percent="0" rank="0" text="" dxfId="292">
      <formula>"GLAS_Current&gt;=25"</formula>
    </cfRule>
    <cfRule type="expression" priority="19" aboveAverage="0" equalAverage="0" bottom="0" percent="0" rank="0" text="" dxfId="293">
      <formula>GLAS_Current&lt;25</formula>
    </cfRule>
  </conditionalFormatting>
  <conditionalFormatting sqref="A52">
    <cfRule type="expression" priority="20" aboveAverage="0" equalAverage="0" bottom="0" percent="0" rank="0" text="" dxfId="294">
      <formula>MIA_Current&gt;25</formula>
    </cfRule>
    <cfRule type="expression" priority="21" aboveAverage="0" equalAverage="0" bottom="0" percent="0" rank="0" text="" dxfId="295">
      <formula>MIA_Current&gt;=21</formula>
    </cfRule>
    <cfRule type="expression" priority="22" aboveAverage="0" equalAverage="0" bottom="0" percent="0" rank="0" text="" dxfId="296">
      <formula>MIA_Current&lt;21</formula>
    </cfRule>
  </conditionalFormatting>
  <conditionalFormatting sqref="A50:A51">
    <cfRule type="expression" priority="23" aboveAverage="0" equalAverage="0" bottom="0" percent="0" rank="0" text="" dxfId="297">
      <formula>WAV_Current&gt;25</formula>
    </cfRule>
    <cfRule type="expression" priority="24" aboveAverage="0" equalAverage="0" bottom="0" percent="0" rank="0" text="" dxfId="298">
      <formula>WAV_Current&gt;=22</formula>
    </cfRule>
    <cfRule type="expression" priority="25" aboveAverage="0" equalAverage="0" bottom="0" percent="0" rank="0" text="" dxfId="299">
      <formula>WAV_Current&lt;22</formula>
    </cfRule>
  </conditionalFormatting>
  <conditionalFormatting sqref="A48:A49">
    <cfRule type="expression" priority="26" aboveAverage="0" equalAverage="0" bottom="0" percent="0" rank="0" text="" dxfId="300">
      <formula>KC_Current&gt;35</formula>
    </cfRule>
    <cfRule type="expression" priority="27" aboveAverage="0" equalAverage="0" bottom="0" percent="0" rank="0" text="" dxfId="301">
      <formula>KC_Current&gt;=32</formula>
    </cfRule>
    <cfRule type="expression" priority="28" aboveAverage="0" equalAverage="0" bottom="0" percent="0" rank="0" text="" dxfId="302">
      <formula>KC_Current&lt;32</formula>
    </cfRule>
  </conditionalFormatting>
  <conditionalFormatting sqref="A47">
    <cfRule type="expression" priority="29" aboveAverage="0" equalAverage="0" bottom="0" percent="0" rank="0" text="" dxfId="303">
      <formula>ATCH_Current&gt;26</formula>
    </cfRule>
    <cfRule type="expression" priority="30" aboveAverage="0" equalAverage="0" bottom="0" percent="0" rank="0" text="" dxfId="304">
      <formula>ATCH_Current&gt;=22</formula>
    </cfRule>
    <cfRule type="expression" priority="31" aboveAverage="0" equalAverage="0" bottom="0" percent="0" rank="0" text="" dxfId="305">
      <formula>ATCH_Current&lt;22</formula>
    </cfRule>
  </conditionalFormatting>
  <conditionalFormatting sqref="A46">
    <cfRule type="expression" priority="32" aboveAverage="0" equalAverage="0" bottom="0" percent="0" rank="0" text="" dxfId="306">
      <formula>STJ_Current&gt;20</formula>
    </cfRule>
    <cfRule type="expression" priority="33" aboveAverage="0" equalAverage="0" bottom="0" percent="0" rank="0" text="" dxfId="307">
      <formula>STJ_Current&gt;=17</formula>
    </cfRule>
    <cfRule type="expression" priority="34" aboveAverage="0" equalAverage="0" bottom="0" percent="0" rank="0" text="" dxfId="308">
      <formula>STJ_Current&lt;17</formula>
    </cfRule>
  </conditionalFormatting>
  <conditionalFormatting sqref="A44:A45">
    <cfRule type="expression" priority="35" aboveAverage="0" equalAverage="0" bottom="0" percent="0" rank="0" text="" dxfId="309">
      <formula>RUL_Current&gt;20</formula>
    </cfRule>
    <cfRule type="expression" priority="36" aboveAverage="0" equalAverage="0" bottom="0" percent="0" rank="0" text="" dxfId="310">
      <formula>RUL_Current&gt;=17</formula>
    </cfRule>
    <cfRule type="expression" priority="37" aboveAverage="0" equalAverage="0" bottom="0" percent="0" rank="0" text="" dxfId="311">
      <formula>RUL_Current&lt;17</formula>
    </cfRule>
  </conditionalFormatting>
  <conditionalFormatting sqref="A42:A43">
    <cfRule type="expression" priority="38" aboveAverage="0" equalAverage="0" bottom="0" percent="0" rank="0" text="" dxfId="312">
      <formula>OMA_Current&gt;29</formula>
    </cfRule>
    <cfRule type="expression" priority="39" aboveAverage="0" equalAverage="0" bottom="0" percent="0" rank="0" text="" dxfId="313">
      <formula>OMA_Current&gt;=26</formula>
    </cfRule>
    <cfRule type="expression" priority="40" aboveAverage="0" equalAverage="0" bottom="0" percent="0" rank="0" text="" dxfId="314">
      <formula>OMA_Current&lt;26</formula>
    </cfRule>
  </conditionalFormatting>
  <conditionalFormatting sqref="A41">
    <cfRule type="expression" priority="41" aboveAverage="0" equalAverage="0" bottom="0" percent="0" rank="0" text="" dxfId="315">
      <formula>SC_Current&gt;30</formula>
    </cfRule>
    <cfRule type="expression" priority="42" aboveAverage="0" equalAverage="0" bottom="0" percent="0" rank="0" text="" dxfId="316">
      <formula>SC_Current&gt;=29</formula>
    </cfRule>
    <cfRule type="expression" priority="43" aboveAverage="0" equalAverage="0" bottom="0" percent="0" rank="0" text="" dxfId="317">
      <formula>SC_Current&lt;29</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44" id="{6798F0E6-D85D-4FE0-A8D5-2771901E55AE}">
            <xm:f>'UMR Brief'!H3&gt;=17</xm:f>
            <x14:dxf>
              <fill>
                <patternFill>
                  <bgColor rgb="FFFF0000"/>
                </patternFill>
              </fill>
            </x14:dxf>
          </x14:cfRule>
          <x14:cfRule type="expression" priority="45" id="{A82192E0-52B3-4E4C-846B-E9DCCAC0C0E6}">
            <xm:f>'UMR Brief'!H3&gt;=14</xm:f>
            <x14:dxf>
              <fill>
                <patternFill>
                  <bgColor rgb="FFFFFF00"/>
                </patternFill>
              </fill>
            </x14:dxf>
          </x14:cfRule>
          <x14:cfRule type="expression" priority="46" id="{F215E7B1-7DD0-419F-A81D-758B2D15C050}">
            <xm:f>'UMR Brief'!H3&lt;14</xm:f>
            <x14:dxf>
              <fill>
                <patternFill>
                  <bgColor rgb="FF92D050"/>
                </patternFill>
              </fill>
            </x14:dxf>
          </x14:cfRule>
          <xm:sqref>A2</xm:sqref>
        </x14:conditionalFormatting>
        <x14:conditionalFormatting xmlns:xm="http://schemas.microsoft.com/office/excel/2006/main">
          <x14:cfRule type="expression" priority="47" id="{EE64EED9-85C3-4851-88B9-64CFDA5319DF}">
            <xm:f>'UMR Brief'!H5&gt;=17</xm:f>
            <x14:dxf>
              <fill>
                <patternFill>
                  <bgColor rgb="FFFF0000"/>
                </patternFill>
              </fill>
            </x14:dxf>
          </x14:cfRule>
          <x14:cfRule type="expression" priority="48" id="{C934DBC2-FF93-47EE-A2D2-40C8EB19F099}">
            <xm:f>'UMR Brief'!H5&gt;=14</xm:f>
            <x14:dxf>
              <fill>
                <patternFill>
                  <bgColor rgb="FFFFFF00"/>
                </patternFill>
              </fill>
            </x14:dxf>
          </x14:cfRule>
          <x14:cfRule type="expression" priority="49" id="{3AA2D085-842C-4D30-ABD0-74105E6FE657}">
            <xm:f>'UMR Brief'!H5&lt;14</xm:f>
            <x14:dxf>
              <fill>
                <patternFill>
                  <bgColor rgb="FF92D050"/>
                </patternFill>
              </fill>
            </x14:dxf>
          </x14:cfRule>
          <xm:sqref>A3</xm:sqref>
        </x14:conditionalFormatting>
        <x14:conditionalFormatting xmlns:xm="http://schemas.microsoft.com/office/excel/2006/main">
          <x14:cfRule type="expression" priority="50" id="{1AE245A4-1053-4AFA-9465-9F2971F8322E}">
            <xm:f>'UMR Brief'!H7&gt;=18</xm:f>
            <x14:dxf>
              <fill>
                <patternFill>
                  <bgColor rgb="FFFF0000"/>
                </patternFill>
              </fill>
            </x14:dxf>
          </x14:cfRule>
          <x14:cfRule type="expression" priority="51" id="{D6CA8A19-6B98-4260-86D7-2FC5DC2EE54F}">
            <xm:f>'UMR Brief'!H7&gt;=16</xm:f>
            <x14:dxf>
              <fill>
                <patternFill>
                  <bgColor rgb="FFFFFF00"/>
                </patternFill>
              </fill>
            </x14:dxf>
          </x14:cfRule>
          <x14:cfRule type="expression" priority="52" id="{10C460CB-3C50-4C82-85C2-8F1542AEA88C}">
            <xm:f>'UMR Brief'!H7&lt;16</xm:f>
            <x14:dxf>
              <fill>
                <patternFill>
                  <bgColor rgb="FF92D050"/>
                </patternFill>
              </fill>
            </x14:dxf>
          </x14:cfRule>
          <xm:sqref>A4</xm:sqref>
        </x14:conditionalFormatting>
        <x14:conditionalFormatting xmlns:xm="http://schemas.microsoft.com/office/excel/2006/main">
          <x14:cfRule type="expression" priority="53" id="{E086A571-E463-4990-B6FF-1334E1E25CE3}">
            <xm:f>'UMR Brief'!H9&gt;=667</xm:f>
            <x14:dxf>
              <fill>
                <patternFill>
                  <bgColor rgb="FFFF0000"/>
                </patternFill>
              </fill>
            </x14:dxf>
          </x14:cfRule>
          <x14:cfRule type="expression" priority="54" id="{304480DE-F88F-4CE6-AB83-D3C9A46269F1}">
            <xm:f>'UMR Brief'!H9&gt;=665</xm:f>
            <x14:dxf>
              <fill>
                <patternFill>
                  <bgColor rgb="FFFFFF00"/>
                </patternFill>
              </fill>
            </x14:dxf>
          </x14:cfRule>
          <x14:cfRule type="expression" priority="55" id="{CEA57471-1491-4381-BBD0-9AF6E698402F}">
            <xm:f>'UMR Brief'!H9&lt;665</xm:f>
            <x14:dxf>
              <fill>
                <patternFill>
                  <bgColor rgb="FF92D050"/>
                </patternFill>
              </fill>
            </x14:dxf>
          </x14:cfRule>
          <xm:sqref>A5</xm:sqref>
        </x14:conditionalFormatting>
        <x14:conditionalFormatting xmlns:xm="http://schemas.microsoft.com/office/excel/2006/main">
          <x14:cfRule type="expression" priority="56" id="{EC9E69C0-71EF-4724-8928-5BCE21CAE7E8}">
            <xm:f>'UMR Brief'!H11&gt;=655</xm:f>
            <x14:dxf>
              <fill>
                <patternFill>
                  <bgColor rgb="FFFF0000"/>
                </patternFill>
              </fill>
            </x14:dxf>
          </x14:cfRule>
          <x14:cfRule type="expression" priority="57" id="{6CF4D831-724B-4DD0-AC49-E8B915CBE759}">
            <xm:f>'UMR Brief'!H11&gt;=653</xm:f>
            <x14:dxf>
              <fill>
                <patternFill>
                  <bgColor rgb="FFFFFF00"/>
                </patternFill>
              </fill>
            </x14:dxf>
          </x14:cfRule>
          <x14:cfRule type="expression" priority="58" id="{BF81608F-FECD-44BA-9893-F740BA9DB95D}">
            <xm:f>'UMR Brief'!H11&lt;653</xm:f>
            <x14:dxf>
              <fill>
                <patternFill>
                  <bgColor rgb="FF92D050"/>
                </patternFill>
              </fill>
            </x14:dxf>
          </x14:cfRule>
          <xm:sqref>A6</xm:sqref>
        </x14:conditionalFormatting>
        <x14:conditionalFormatting xmlns:xm="http://schemas.microsoft.com/office/excel/2006/main">
          <x14:cfRule type="expression" priority="59" id="{B8B4AB10-D02E-4CA3-BBB3-CCEA35268E28}">
            <xm:f>'UMR Brief'!H13&gt;=649</xm:f>
            <x14:dxf>
              <fill>
                <patternFill>
                  <bgColor rgb="FFFF0000"/>
                </patternFill>
              </fill>
            </x14:dxf>
          </x14:cfRule>
          <x14:cfRule type="expression" priority="60" id="{29D1FC37-B29F-4F78-B8EA-F14CC6F0311D}">
            <xm:f>'UMR Brief'!H13&gt;=647</xm:f>
            <x14:dxf>
              <fill>
                <patternFill>
                  <bgColor rgb="FFFFFF00"/>
                </patternFill>
              </fill>
            </x14:dxf>
          </x14:cfRule>
          <x14:cfRule type="expression" priority="61" id="{1C3B8C1D-5BDA-4D2E-AF25-216723C06695}">
            <xm:f>'UMR Brief'!H13&lt;647</xm:f>
            <x14:dxf>
              <fill>
                <patternFill>
                  <bgColor rgb="FF92D050"/>
                </patternFill>
              </fill>
            </x14:dxf>
          </x14:cfRule>
          <xm:sqref>A7</xm:sqref>
        </x14:conditionalFormatting>
        <x14:conditionalFormatting xmlns:xm="http://schemas.microsoft.com/office/excel/2006/main">
          <x14:cfRule type="expression" priority="62" id="{318C3147-5694-49AD-A478-951795112FF5}">
            <xm:f>'UMR Brief'!H15&gt;=643</xm:f>
            <x14:dxf>
              <fill>
                <patternFill>
                  <bgColor rgb="FFFF0000"/>
                </patternFill>
              </fill>
            </x14:dxf>
          </x14:cfRule>
          <x14:cfRule type="expression" priority="63" id="{6EF8D9C0-B87B-4E42-A129-50D138FEC53C}">
            <xm:f>'UMR Brief'!H15&gt;=641</xm:f>
            <x14:dxf>
              <fill>
                <patternFill>
                  <bgColor rgb="FFFFFF00"/>
                </patternFill>
              </fill>
            </x14:dxf>
          </x14:cfRule>
          <x14:cfRule type="expression" priority="64" id="{505DA695-94B8-4124-A7C2-B626ECF0483D}">
            <xm:f>'UMR Brief'!H15&lt;641</xm:f>
            <x14:dxf>
              <fill>
                <patternFill>
                  <bgColor rgb="FF92D050"/>
                </patternFill>
              </fill>
            </x14:dxf>
          </x14:cfRule>
          <xm:sqref>A8</xm:sqref>
        </x14:conditionalFormatting>
        <x14:conditionalFormatting xmlns:xm="http://schemas.microsoft.com/office/excel/2006/main">
          <x14:cfRule type="expression" priority="65" id="{A793CBF0-3FD0-4250-BEE8-339FEC2F1D7D}">
            <xm:f>'UMR Brief'!H17&gt;=636</xm:f>
            <x14:dxf>
              <fill>
                <patternFill>
                  <bgColor rgb="FFFF0000"/>
                </patternFill>
              </fill>
            </x14:dxf>
          </x14:cfRule>
          <x14:cfRule type="expression" priority="66" id="{B7366ABD-A64B-4D95-83F4-2A86E0E06B24}">
            <xm:f>'UMR Brief'!H17&gt;=634</xm:f>
            <x14:dxf>
              <fill>
                <patternFill>
                  <bgColor rgb="FFFFFF00"/>
                </patternFill>
              </fill>
            </x14:dxf>
          </x14:cfRule>
          <x14:cfRule type="expression" priority="67" id="{69EFC9F2-F01F-4ADD-904D-3D3F3F76805D}">
            <xm:f>'UMR Brief'!H17&lt;634</xm:f>
            <x14:dxf>
              <fill>
                <patternFill>
                  <bgColor rgb="FF92D050"/>
                </patternFill>
              </fill>
            </x14:dxf>
          </x14:cfRule>
          <xm:sqref>A9</xm:sqref>
        </x14:conditionalFormatting>
        <x14:conditionalFormatting xmlns:xm="http://schemas.microsoft.com/office/excel/2006/main">
          <x14:cfRule type="expression" priority="68" id="{B23AF53E-80C0-455A-82FA-AD3A883AE546}">
            <xm:f>'UMR Brief'!H19&gt;=628</xm:f>
            <x14:dxf>
              <fill>
                <patternFill>
                  <bgColor rgb="FFFF0000"/>
                </patternFill>
              </fill>
            </x14:dxf>
          </x14:cfRule>
          <x14:cfRule type="expression" priority="69" id="{CFF2862C-EE15-4314-B330-B6F834902441}">
            <xm:f>'UMR Brief'!H19&gt;=625</xm:f>
            <x14:dxf>
              <fill>
                <patternFill>
                  <bgColor rgb="FFFFFF00"/>
                </patternFill>
              </fill>
            </x14:dxf>
          </x14:cfRule>
          <x14:cfRule type="expression" priority="70" id="{703164C5-A5F6-40F0-B520-D763B153906D}">
            <xm:f>'UMR Brief'!H19&lt;625</xm:f>
            <x14:dxf>
              <fill>
                <patternFill>
                  <bgColor rgb="FF92D050"/>
                </patternFill>
              </fill>
            </x14:dxf>
          </x14:cfRule>
          <xm:sqref>A10</xm:sqref>
        </x14:conditionalFormatting>
        <x14:conditionalFormatting xmlns:xm="http://schemas.microsoft.com/office/excel/2006/main">
          <x14:cfRule type="expression" priority="71" id="{B776FBCC-BAC0-4320-B1DF-FA3C69C6FA10}">
            <xm:f>'UMR Brief'!H21&gt;=18</xm:f>
            <x14:dxf>
              <fill>
                <patternFill>
                  <bgColor rgb="FFFF0000"/>
                </patternFill>
              </fill>
            </x14:dxf>
          </x14:cfRule>
          <x14:cfRule type="expression" priority="72" id="{92E920EF-907D-4D84-B454-7763648D865B}">
            <xm:f>'UMR Brief'!H21&gt;=15</xm:f>
            <x14:dxf>
              <fill>
                <patternFill>
                  <bgColor rgb="FFFFFF00"/>
                </patternFill>
              </fill>
            </x14:dxf>
          </x14:cfRule>
          <x14:cfRule type="expression" priority="73" id="{3E6B60A1-C47B-4085-82A5-8F36A6204C96}">
            <xm:f>'UMR Brief'!H21&lt;15</xm:f>
            <x14:dxf>
              <fill>
                <patternFill>
                  <bgColor rgb="FF92D050"/>
                </patternFill>
              </fill>
            </x14:dxf>
          </x14:cfRule>
          <xm:sqref>A11</xm:sqref>
        </x14:conditionalFormatting>
        <x14:conditionalFormatting xmlns:xm="http://schemas.microsoft.com/office/excel/2006/main">
          <x14:cfRule type="expression" priority="74" id="{614416C2-CEDC-41C7-81C4-A9F4B03219CC}">
            <xm:f>'UMR Brief'!H23&gt;=18</xm:f>
            <x14:dxf>
              <fill>
                <patternFill>
                  <bgColor rgb="FFFF0000"/>
                </patternFill>
              </fill>
            </x14:dxf>
          </x14:cfRule>
          <x14:cfRule type="expression" priority="75" id="{19A0325D-B9C7-4BA5-A393-CFA729E34330}">
            <xm:f>'UMR Brief'!H23&gt;=16</xm:f>
            <x14:dxf>
              <fill>
                <patternFill>
                  <bgColor rgb="FFFFFF00"/>
                </patternFill>
              </fill>
            </x14:dxf>
          </x14:cfRule>
          <x14:cfRule type="expression" priority="76" id="{CBD0545A-B135-4469-B47F-2736B5614620}">
            <xm:f>'UMR Brief'!H23&lt;16</xm:f>
            <x14:dxf>
              <fill>
                <patternFill>
                  <bgColor rgb="FF92D050"/>
                </patternFill>
              </fill>
            </x14:dxf>
          </x14:cfRule>
          <xm:sqref>A12</xm:sqref>
        </x14:conditionalFormatting>
        <x14:conditionalFormatting xmlns:xm="http://schemas.microsoft.com/office/excel/2006/main">
          <x14:cfRule type="expression" priority="77" id="{1BF31C2C-F83C-42F1-84C8-79C8306436F4}">
            <xm:f>'UMR Brief'!H25&gt;=19</xm:f>
            <x14:dxf>
              <fill>
                <patternFill>
                  <bgColor rgb="FFFF0000"/>
                </patternFill>
              </fill>
            </x14:dxf>
          </x14:cfRule>
          <x14:cfRule type="expression" priority="78" id="{4B238021-F0E0-41B3-8D70-AE4C72D06378}">
            <xm:f>'UMR Brief'!H25&gt;=17</xm:f>
            <x14:dxf>
              <fill>
                <patternFill>
                  <bgColor rgb="FFFFFF00"/>
                </patternFill>
              </fill>
            </x14:dxf>
          </x14:cfRule>
          <x14:cfRule type="expression" priority="79" id="{50AE28EF-11A2-4C6C-8430-40735C207892}">
            <xm:f>'UMR Brief'!H25&lt;17</xm:f>
            <x14:dxf>
              <fill>
                <patternFill>
                  <bgColor rgb="FF92D050"/>
                </patternFill>
              </fill>
            </x14:dxf>
          </x14:cfRule>
          <xm:sqref>A13</xm:sqref>
        </x14:conditionalFormatting>
        <x14:conditionalFormatting xmlns:xm="http://schemas.microsoft.com/office/excel/2006/main">
          <x14:cfRule type="expression" priority="80" id="{985BA9DD-6161-4DD0-8FA7-F16C88C55BAD}">
            <xm:f>'UMR Brief'!H27&gt;=18</xm:f>
            <x14:dxf>
              <fill>
                <patternFill>
                  <bgColor rgb="FFFF0000"/>
                </patternFill>
              </fill>
            </x14:dxf>
          </x14:cfRule>
          <x14:cfRule type="expression" priority="81" id="{E96A9146-2628-4234-B2B9-8D313230BC9D}">
            <xm:f>'UMR Brief'!H27&gt;=16</xm:f>
            <x14:dxf>
              <fill>
                <patternFill>
                  <bgColor rgb="FFFFFF00"/>
                </patternFill>
              </fill>
            </x14:dxf>
          </x14:cfRule>
          <x14:cfRule type="expression" priority="82" id="{E1D0645C-68A9-48DF-B718-176043C0C7A9}">
            <xm:f>'UMR Brief'!H27&lt;16</xm:f>
            <x14:dxf>
              <fill>
                <patternFill>
                  <bgColor rgb="FF92D050"/>
                </patternFill>
              </fill>
            </x14:dxf>
          </x14:cfRule>
          <xm:sqref>A14</xm:sqref>
        </x14:conditionalFormatting>
        <x14:conditionalFormatting xmlns:xm="http://schemas.microsoft.com/office/excel/2006/main">
          <x14:cfRule type="expression" priority="83" id="{62AA9E3F-D97C-4CB1-8DBB-6D9A1775A713}">
            <xm:f>'UMR Brief'!H29&gt;=13</xm:f>
            <x14:dxf>
              <fill>
                <patternFill>
                  <bgColor rgb="FFFF0000"/>
                </patternFill>
              </fill>
            </x14:dxf>
          </x14:cfRule>
          <x14:cfRule type="expression" priority="84" id="{A532E850-2050-41A4-BD39-6994BD9AE614}">
            <xm:f>'UMR Brief'!H29&gt;=11</xm:f>
            <x14:dxf>
              <fill>
                <patternFill>
                  <bgColor rgb="FFFFFF00"/>
                </patternFill>
              </fill>
            </x14:dxf>
          </x14:cfRule>
          <x14:cfRule type="expression" priority="85" id="{6E59B04D-6492-48DB-A438-6A207C62C084}">
            <xm:f>'UMR Brief'!H29&lt;11</xm:f>
            <x14:dxf>
              <fill>
                <patternFill>
                  <bgColor rgb="FF92D050"/>
                </patternFill>
              </fill>
            </x14:dxf>
          </x14:cfRule>
          <xm:sqref>A15</xm:sqref>
        </x14:conditionalFormatting>
        <x14:conditionalFormatting xmlns:xm="http://schemas.microsoft.com/office/excel/2006/main">
          <x14:cfRule type="expression" priority="86" id="{8E69F4B0-E417-42D6-98A5-3B7825966D72}">
            <xm:f>'UMR Brief'!H31&gt;=17</xm:f>
            <x14:dxf>
              <fill>
                <patternFill>
                  <bgColor rgb="FFFF0000"/>
                </patternFill>
              </fill>
            </x14:dxf>
          </x14:cfRule>
          <x14:cfRule type="expression" priority="87" id="{D44A7557-4A1A-4A88-A6D4-A91EF343E2BF}">
            <xm:f>'UMR Brief'!H31&gt;=15</xm:f>
            <x14:dxf>
              <fill>
                <patternFill>
                  <bgColor rgb="FFFFFF00"/>
                </patternFill>
              </fill>
            </x14:dxf>
          </x14:cfRule>
          <x14:cfRule type="expression" priority="88" id="{9CB298CC-F29B-4531-8058-D0C91792C443}">
            <xm:f>'UMR Brief'!H31&lt;15</xm:f>
            <x14:dxf>
              <fill>
                <patternFill>
                  <bgColor rgb="FF92D050"/>
                </patternFill>
              </fill>
            </x14:dxf>
          </x14:cfRule>
          <xm:sqref>A16</xm:sqref>
        </x14:conditionalFormatting>
        <x14:conditionalFormatting xmlns:xm="http://schemas.microsoft.com/office/excel/2006/main">
          <x14:cfRule type="expression" priority="89" id="{174ED0C8-35AD-478C-B84B-3026E8CC49B5}">
            <xm:f>'UMR Brief'!H33&gt;=17</xm:f>
            <x14:dxf>
              <fill>
                <patternFill>
                  <bgColor rgb="FFFF0000"/>
                </patternFill>
              </fill>
            </x14:dxf>
          </x14:cfRule>
          <x14:cfRule type="expression" priority="90" id="{6017B0DE-A3C0-4534-96E4-1AB49C164857}">
            <xm:f>'UMR Brief'!H33&gt;=15</xm:f>
            <x14:dxf>
              <fill>
                <patternFill>
                  <bgColor rgb="FFFFFF00"/>
                </patternFill>
              </fill>
            </x14:dxf>
          </x14:cfRule>
          <x14:cfRule type="expression" priority="91" id="{422C6FDB-488B-4FA5-8DCB-9558DAF6FDF4}">
            <xm:f>'UMR Brief'!H33&lt;15</xm:f>
            <x14:dxf>
              <fill>
                <patternFill>
                  <bgColor rgb="FF92D050"/>
                </patternFill>
              </fill>
            </x14:dxf>
          </x14:cfRule>
          <xm:sqref>A17</xm:sqref>
        </x14:conditionalFormatting>
        <x14:conditionalFormatting xmlns:xm="http://schemas.microsoft.com/office/excel/2006/main">
          <x14:cfRule type="expression" priority="92" id="{408668DE-833E-4B37-9C3D-4A29D5CAEE91}">
            <xm:f>'UMR Brief'!H35&gt;=16</xm:f>
            <x14:dxf>
              <fill>
                <patternFill>
                  <bgColor rgb="FFFF0000"/>
                </patternFill>
              </fill>
            </x14:dxf>
          </x14:cfRule>
          <x14:cfRule type="expression" priority="93" id="{7B36BED4-1764-4C10-8153-A0FD1A84E823}">
            <xm:f>'UMR Brief'!H35&gt;=14</xm:f>
            <x14:dxf>
              <fill>
                <patternFill>
                  <bgColor rgb="FFFFFF00"/>
                </patternFill>
              </fill>
            </x14:dxf>
          </x14:cfRule>
          <x14:cfRule type="expression" priority="94" id="{6BFC8DC1-68C8-43CE-8742-9A9BEC4436CD}">
            <xm:f>'UMR Brief'!H35&lt;14</xm:f>
            <x14:dxf>
              <fill>
                <patternFill>
                  <bgColor rgb="FF92D050"/>
                </patternFill>
              </fill>
            </x14:dxf>
          </x14:cfRule>
          <xm:sqref>A18</xm:sqref>
        </x14:conditionalFormatting>
        <x14:conditionalFormatting xmlns:xm="http://schemas.microsoft.com/office/excel/2006/main">
          <x14:cfRule type="expression" priority="95" id="{A8B790DE-24C5-4DB9-ADBB-8B9D13DA6EF6}">
            <xm:f>'UMR Brief'!H37&gt;=12</xm:f>
            <x14:dxf>
              <fill>
                <patternFill>
                  <bgColor rgb="FFFF0000"/>
                </patternFill>
              </fill>
            </x14:dxf>
          </x14:cfRule>
          <x14:cfRule type="expression" priority="96" id="{875DABAE-1390-4B31-A88C-B88390B0A199}">
            <xm:f>'UMR Brief'!H37&gt;=10</xm:f>
            <x14:dxf>
              <fill>
                <patternFill>
                  <bgColor rgb="FFFFFF00"/>
                </patternFill>
              </fill>
            </x14:dxf>
          </x14:cfRule>
          <x14:cfRule type="expression" priority="97" id="{AB7BE78C-80B9-4A9F-848E-A07A10A8509D}">
            <xm:f>'UMR Brief'!H37&lt;10</xm:f>
            <x14:dxf>
              <fill>
                <patternFill>
                  <bgColor rgb="FF92D050"/>
                </patternFill>
              </fill>
            </x14:dxf>
          </x14:cfRule>
          <xm:sqref>A19</xm:sqref>
        </x14:conditionalFormatting>
        <x14:conditionalFormatting xmlns:xm="http://schemas.microsoft.com/office/excel/2006/main">
          <x14:cfRule type="expression" priority="98" id="{E76168A0-D221-42DE-8333-7F7AA4E19940}">
            <xm:f>'UMR Brief'!H39&gt;=18</xm:f>
            <x14:dxf>
              <fill>
                <patternFill>
                  <bgColor rgb="FFFF0000"/>
                </patternFill>
              </fill>
            </x14:dxf>
          </x14:cfRule>
          <x14:cfRule type="expression" priority="99" id="{ADDBF0E0-8255-41BB-A85A-7F6FA353AD4D}">
            <xm:f>'UMR Brief'!H39&gt;=16</xm:f>
            <x14:dxf>
              <fill>
                <patternFill>
                  <bgColor rgb="FFFFFF00"/>
                </patternFill>
              </fill>
            </x14:dxf>
          </x14:cfRule>
          <x14:cfRule type="expression" priority="100" id="{31C15F20-5237-40B0-90EB-A764E66175F3}">
            <xm:f>'UMR Brief'!H39&lt;16</xm:f>
            <x14:dxf>
              <fill>
                <patternFill>
                  <bgColor rgb="FF92D050"/>
                </patternFill>
              </fill>
            </x14:dxf>
          </x14:cfRule>
          <xm:sqref>A20</xm:sqref>
        </x14:conditionalFormatting>
        <x14:conditionalFormatting xmlns:xm="http://schemas.microsoft.com/office/excel/2006/main">
          <x14:cfRule type="expression" priority="101" id="{AC9088A1-87A9-4FC9-96EE-B0EE80A6A951}">
            <xm:f>'UMR Brief'!H41&gt;=16</xm:f>
            <x14:dxf>
              <fill>
                <patternFill>
                  <bgColor rgb="FFFF0000"/>
                </patternFill>
              </fill>
            </x14:dxf>
          </x14:cfRule>
          <x14:cfRule type="expression" priority="102" id="{66ED404E-13EF-46A9-8840-28DD2E43844E}">
            <xm:f>'UMR Brief'!H41&gt;=14</xm:f>
            <x14:dxf>
              <fill>
                <patternFill>
                  <bgColor rgb="FFFFFF00"/>
                </patternFill>
              </fill>
            </x14:dxf>
          </x14:cfRule>
          <x14:cfRule type="expression" priority="103" id="{C02D12F7-FE65-484B-8ADE-FB3D9FB16DBF}">
            <xm:f>'UMR Brief'!H41&lt;14</xm:f>
            <x14:dxf>
              <fill>
                <patternFill>
                  <bgColor rgb="FF92D050"/>
                </patternFill>
              </fill>
            </x14:dxf>
          </x14:cfRule>
          <xm:sqref>A21</xm:sqref>
        </x14:conditionalFormatting>
        <x14:conditionalFormatting xmlns:xm="http://schemas.microsoft.com/office/excel/2006/main">
          <x14:cfRule type="expression" priority="104" id="{DD44561C-84E9-4611-BF38-71E2C1273E84}">
            <xm:f>'UMR Brief'!H43&gt;=21.9</xm:f>
            <x14:dxf>
              <fill>
                <patternFill>
                  <bgColor rgb="FFFF0000"/>
                </patternFill>
              </fill>
            </x14:dxf>
          </x14:cfRule>
          <x14:cfRule type="expression" priority="105" id="{2EDCFC79-1C2A-40C6-A0FE-1CF0AA5A3EF1}">
            <xm:f>'UMR Brief'!H43&gt;=17</xm:f>
            <x14:dxf>
              <fill>
                <patternFill>
                  <bgColor rgb="FFFFFF00"/>
                </patternFill>
              </fill>
            </x14:dxf>
          </x14:cfRule>
          <x14:cfRule type="expression" priority="106" id="{5B90B81D-4BB4-4FFB-9DFF-1A91CE2C91CF}">
            <xm:f>'UMR Brief'!H43&lt;17</xm:f>
            <x14:dxf>
              <fill>
                <patternFill>
                  <bgColor rgb="FF92D050"/>
                </patternFill>
              </fill>
            </x14:dxf>
          </x14:cfRule>
          <xm:sqref>A22</xm:sqref>
        </x14:conditionalFormatting>
        <x14:conditionalFormatting xmlns:xm="http://schemas.microsoft.com/office/excel/2006/main">
          <x14:cfRule type="expression" priority="107" id="{FB19A766-B925-4988-88AC-A969C52894CB}">
            <xm:f>'UMR Brief'!H45&gt;=21.4</xm:f>
            <x14:dxf>
              <fill>
                <patternFill>
                  <bgColor rgb="FFFF0000"/>
                </patternFill>
              </fill>
            </x14:dxf>
          </x14:cfRule>
          <x14:cfRule type="expression" priority="108" id="{ECA3D662-D3C0-48CE-84F8-D4EC892DC897}">
            <xm:f>'UMR Brief'!H45&gt;=16</xm:f>
            <x14:dxf>
              <fill>
                <patternFill>
                  <bgColor rgb="FFFFFF00"/>
                </patternFill>
              </fill>
            </x14:dxf>
          </x14:cfRule>
          <x14:cfRule type="expression" priority="109" id="{30363AAC-125D-405E-B99C-5A6D20BBBBB7}">
            <xm:f>'UMR Brief'!H45&lt;16</xm:f>
            <x14:dxf>
              <fill>
                <patternFill>
                  <bgColor rgb="FF92D050"/>
                </patternFill>
              </fill>
            </x14:dxf>
          </x14:cfRule>
          <xm:sqref>A23</xm:sqref>
        </x14:conditionalFormatting>
        <x14:conditionalFormatting xmlns:xm="http://schemas.microsoft.com/office/excel/2006/main">
          <x14:cfRule type="expression" priority="110" id="{4F34C6E1-F1DB-4313-84A0-5F64508B57D6}">
            <xm:f>'UMR Brief'!H47&gt;=29</xm:f>
            <x14:dxf>
              <fill>
                <patternFill>
                  <bgColor rgb="FFFF0000"/>
                </patternFill>
              </fill>
            </x14:dxf>
          </x14:cfRule>
          <x14:cfRule type="expression" priority="111" id="{2E40FA36-2DA9-4CE3-9AA3-6E51A6A5CD72}">
            <xm:f>'UMR Brief'!H47&gt;=25</xm:f>
            <x14:dxf>
              <fill>
                <patternFill>
                  <bgColor rgb="FFFFFF00"/>
                </patternFill>
              </fill>
            </x14:dxf>
          </x14:cfRule>
          <x14:cfRule type="expression" priority="112" id="{7941FAE9-1345-47F1-B9AD-449EDF3C479A}">
            <xm:f>'UMR Brief'!H47&lt;25</xm:f>
            <x14:dxf>
              <fill>
                <patternFill>
                  <bgColor rgb="FF92D050"/>
                </patternFill>
              </fill>
            </x14:dxf>
          </x14:cfRule>
          <xm:sqref>A24</xm:sqref>
        </x14:conditionalFormatting>
        <x14:conditionalFormatting xmlns:xm="http://schemas.microsoft.com/office/excel/2006/main">
          <x14:cfRule type="expression" priority="113" id="{1CD8E531-6E49-4EAB-A1A7-D16B8EA7833A}">
            <xm:f>'UMR Brief'!H49&gt;=33.8</xm:f>
            <x14:dxf>
              <fill>
                <patternFill>
                  <bgColor rgb="FFFF0000"/>
                </patternFill>
              </fill>
            </x14:dxf>
          </x14:cfRule>
          <x14:cfRule type="expression" priority="114" id="{54319B80-7210-4A86-9BD3-C3FD6FCA37A7}">
            <xm:f>'UMR Brief'!H49&gt;=26</xm:f>
            <x14:dxf>
              <fill>
                <patternFill>
                  <bgColor rgb="FFFFFF00"/>
                </patternFill>
              </fill>
            </x14:dxf>
          </x14:cfRule>
          <x14:cfRule type="expression" priority="115" id="{4F2F2A70-28C8-4873-BE51-3823E0BBB2EA}">
            <xm:f>'UMR Brief'!H49&lt;26</xm:f>
            <x14:dxf>
              <fill>
                <patternFill>
                  <bgColor rgb="FF92D050"/>
                </patternFill>
              </fill>
            </x14:dxf>
          </x14:cfRule>
          <xm:sqref>A25</xm:sqref>
        </x14:conditionalFormatting>
        <x14:conditionalFormatting xmlns:xm="http://schemas.microsoft.com/office/excel/2006/main">
          <x14:cfRule type="expression" priority="116" id="{885FDABF-8DA5-4FCC-9DCB-31E5BAF9F056}">
            <xm:f>'UMR Brief'!H51&gt;=36.5</xm:f>
            <x14:dxf>
              <fill>
                <patternFill>
                  <bgColor rgb="FFFF0000"/>
                </patternFill>
              </fill>
            </x14:dxf>
          </x14:cfRule>
          <x14:cfRule type="expression" priority="117" id="{33A0D615-D059-4DAD-9E83-F141E82740B2}">
            <xm:f>'UMR Brief'!H51&gt;=21</xm:f>
            <x14:dxf>
              <fill>
                <patternFill>
                  <bgColor rgb="FFFFFF00"/>
                </patternFill>
              </fill>
            </x14:dxf>
          </x14:cfRule>
          <x14:cfRule type="expression" priority="118" id="{2E54C2C6-3283-47B5-82C9-5EA78185AABE}">
            <xm:f>'UMR Brief'!H51&lt;21</xm:f>
            <x14:dxf>
              <fill>
                <patternFill>
                  <bgColor rgb="FF92D050"/>
                </patternFill>
              </fill>
            </x14:dxf>
          </x14:cfRule>
          <xm:sqref>A26</xm:sqref>
        </x14:conditionalFormatting>
        <x14:conditionalFormatting xmlns:xm="http://schemas.microsoft.com/office/excel/2006/main">
          <x14:cfRule type="expression" priority="119" id="{3786E900-A424-412D-A14D-E779D1D121B3}">
            <xm:f>'UMR Brief'!H53&gt;=40</xm:f>
            <x14:dxf>
              <fill>
                <patternFill>
                  <bgColor rgb="FFFF0000"/>
                </patternFill>
              </fill>
            </x14:dxf>
          </x14:cfRule>
          <x14:cfRule type="expression" priority="120" id="{7199A149-96C2-4C32-95E4-3C5D9BA80025}">
            <xm:f>'UMR Brief'!H53&gt;=38</xm:f>
            <x14:dxf>
              <fill>
                <patternFill>
                  <bgColor rgb="FFFFFF00"/>
                </patternFill>
              </fill>
            </x14:dxf>
          </x14:cfRule>
          <x14:cfRule type="expression" priority="121" id="{C0663370-E834-4270-A4F2-48B1299166C8}">
            <xm:f>'UMR Brief'!H53&lt;38</xm:f>
            <x14:dxf>
              <fill>
                <patternFill>
                  <bgColor rgb="FF92D050"/>
                </patternFill>
              </fill>
            </x14:dxf>
          </x14:cfRule>
          <xm:sqref>A27</xm:sqref>
        </x14:conditionalFormatting>
        <x14:conditionalFormatting xmlns:xm="http://schemas.microsoft.com/office/excel/2006/main">
          <x14:cfRule type="expression" priority="122" id="{12E2BC96-1660-4930-8010-109B9B27AA89}">
            <xm:f>'UMR Brief'!H55&gt;=30</xm:f>
            <x14:dxf>
              <font>
                <color rgb="00FFFFFF"/>
              </font>
              <fill>
                <patternFill>
                  <bgColor rgb="FFFFC000"/>
                </patternFill>
              </fill>
            </x14:dxf>
          </x14:cfRule>
          <x14:cfRule type="expression" priority="123" id="{AE505E18-67C4-44BC-B0B2-508BD9BA1084}">
            <xm:f>'UMR Brief'!H55&gt;=25</xm:f>
            <x14:dxf>
              <fill>
                <patternFill>
                  <bgColor rgb="FFFF0000"/>
                </patternFill>
              </fill>
            </x14:dxf>
          </x14:cfRule>
          <x14:cfRule type="expression" priority="124" id="{4987EAFA-2460-4B19-90A6-366485993E8C}">
            <xm:f>'UMR Brief'!H55&gt;=20</xm:f>
            <x14:dxf>
              <fill>
                <patternFill>
                  <bgColor rgb="FFFFFF00"/>
                </patternFill>
              </fill>
            </x14:dxf>
          </x14:cfRule>
          <x14:cfRule type="expression" priority="125" id="{D1F5B827-7EFA-4941-8FE9-5B362018FBC1}">
            <xm:f>'UMR Brief'!H55&lt;20</xm:f>
            <x14:dxf>
              <fill>
                <patternFill>
                  <bgColor rgb="FF92D050"/>
                </patternFill>
              </fill>
            </x14:dxf>
          </x14:cfRule>
          <xm:sqref>A28</xm:sqref>
        </x14:conditionalFormatting>
        <x14:conditionalFormatting xmlns:xm="http://schemas.microsoft.com/office/excel/2006/main">
          <x14:cfRule type="expression" priority="126" id="{C030BCDF-B2D2-4E59-BE5D-7971FB9D8B87}">
            <xm:f>'UMR Brief'!H58&gt;=25</xm:f>
            <x14:dxf>
              <fill>
                <patternFill>
                  <bgColor rgb="FFFF0000"/>
                </patternFill>
              </fill>
            </x14:dxf>
          </x14:cfRule>
          <x14:cfRule type="expression" priority="127" id="{23C510A0-8CB0-496A-865C-49989A3D7F88}">
            <xm:f>'UMR Brief'!H58&gt;=20</xm:f>
            <x14:dxf>
              <fill>
                <patternFill>
                  <bgColor rgb="FFFFFF00"/>
                </patternFill>
              </fill>
            </x14:dxf>
          </x14:cfRule>
          <x14:cfRule type="expression" priority="128" id="{22D54050-DE8B-4F8B-8783-A8C74BA5BCCD}">
            <xm:f>'UMR Brief'!H58&lt;20</xm:f>
            <x14:dxf>
              <fill>
                <patternFill>
                  <bgColor rgb="FF92D050"/>
                </patternFill>
              </fill>
            </x14:dxf>
          </x14:cfRule>
          <xm:sqref>A29</xm:sqref>
        </x14:conditionalFormatting>
        <x14:conditionalFormatting xmlns:xm="http://schemas.microsoft.com/office/excel/2006/main">
          <x14:cfRule type="expression" priority="129" id="{782A8F74-ABA6-4542-8E69-4770276898A3}">
            <xm:f>'ILR Brief'!J3&gt;=22</xm:f>
            <x14:dxf>
              <fill>
                <patternFill>
                  <bgColor rgb="FFFF0000"/>
                </patternFill>
              </fill>
            </x14:dxf>
          </x14:cfRule>
          <x14:cfRule type="expression" priority="130" id="{17A0D0BF-F512-43B7-BF00-5394553BEBA9}">
            <xm:f>'ILR Brief'!J3&gt;=18</xm:f>
            <x14:dxf>
              <fill>
                <patternFill>
                  <bgColor rgb="FFFFFF00"/>
                </patternFill>
              </fill>
            </x14:dxf>
          </x14:cfRule>
          <x14:cfRule type="expression" priority="131" id="{3B1B7CC8-E0D8-4755-8935-392636C4A25D}">
            <xm:f>'ILR Brief'!J3&lt;18</xm:f>
            <x14:dxf>
              <fill>
                <patternFill>
                  <bgColor rgb="FF92D050"/>
                </patternFill>
              </fill>
            </x14:dxf>
          </x14:cfRule>
          <xm:sqref>A32</xm:sqref>
        </x14:conditionalFormatting>
        <x14:conditionalFormatting xmlns:xm="http://schemas.microsoft.com/office/excel/2006/main">
          <x14:cfRule type="expression" priority="132" id="{EC4030F6-2AD2-49DB-BB8A-30137AAA4DA6}">
            <xm:f>'ILR Brief'!J5&gt;=33</xm:f>
            <x14:dxf>
              <fill>
                <patternFill>
                  <bgColor rgb="FFFF0000"/>
                </patternFill>
              </fill>
            </x14:dxf>
          </x14:cfRule>
          <x14:cfRule type="expression" priority="133" id="{A5508849-FA93-49A8-90F6-1656E66592DE}">
            <xm:f>'ILR Brief'!J5&gt;=25</xm:f>
            <x14:dxf>
              <fill>
                <patternFill>
                  <bgColor rgb="FFFFFF00"/>
                </patternFill>
              </fill>
            </x14:dxf>
          </x14:cfRule>
          <x14:cfRule type="expression" priority="134" id="{2EA6A8DC-F7C9-4FE5-BCA9-F5DFE448C461}">
            <xm:f>'ILR Brief'!J5&lt;25</xm:f>
            <x14:dxf>
              <fill>
                <patternFill>
                  <bgColor rgb="FF92D050"/>
                </patternFill>
              </fill>
            </x14:dxf>
          </x14:cfRule>
          <xm:sqref>A33</xm:sqref>
        </x14:conditionalFormatting>
        <x14:conditionalFormatting xmlns:xm="http://schemas.microsoft.com/office/excel/2006/main">
          <x14:cfRule type="expression" priority="135" id="{65F71258-FBA9-45BF-A8B8-278BE1B81EC7}">
            <xm:f>'ILR Brief'!J7&gt;=23</xm:f>
            <x14:dxf>
              <fill>
                <patternFill>
                  <bgColor rgb="FFFF0000"/>
                </patternFill>
              </fill>
            </x14:dxf>
          </x14:cfRule>
          <x14:cfRule type="expression" priority="136" id="{AD5C3D40-00EE-4DD1-BF53-8CD0BB6772CC}">
            <xm:f>'ILR Brief'!J7&gt;=14</xm:f>
            <x14:dxf>
              <fill>
                <patternFill>
                  <bgColor rgb="FFFFFF00"/>
                </patternFill>
              </fill>
            </x14:dxf>
          </x14:cfRule>
          <x14:cfRule type="expression" priority="137" id="{4B44A395-C03B-4B1B-9521-AE747AAFFD5D}">
            <xm:f>'ILR Brief'!J7&lt;14</xm:f>
            <x14:dxf>
              <fill>
                <patternFill>
                  <bgColor rgb="FF92D050"/>
                </patternFill>
              </fill>
            </x14:dxf>
          </x14:cfRule>
          <xm:sqref>A34</xm:sqref>
        </x14:conditionalFormatting>
        <x14:conditionalFormatting xmlns:xm="http://schemas.microsoft.com/office/excel/2006/main">
          <x14:cfRule type="expression" priority="138" id="{ABE9FD93-70DE-4EE8-9A72-2ACAEAE2527C}">
            <xm:f>'ILR Brief'!J9&gt;=22</xm:f>
            <x14:dxf>
              <fill>
                <patternFill>
                  <bgColor rgb="FFFF0000"/>
                </patternFill>
              </fill>
            </x14:dxf>
          </x14:cfRule>
          <x14:cfRule type="expression" priority="139" id="{30D56887-B0D0-4B6D-A154-89623A58129C}">
            <xm:f>'ILR Brief'!J9&gt;=14</xm:f>
            <x14:dxf>
              <fill>
                <patternFill>
                  <bgColor rgb="FFFFFF00"/>
                </patternFill>
              </fill>
            </x14:dxf>
          </x14:cfRule>
          <x14:cfRule type="expression" priority="140" id="{20C0D929-76A8-4D78-B7C2-7BB0C8938799}">
            <xm:f>'ILR Brief'!J9&lt;14</xm:f>
            <x14:dxf>
              <fill>
                <patternFill>
                  <bgColor rgb="FF92D050"/>
                </patternFill>
              </fill>
            </x14:dxf>
          </x14:cfRule>
          <xm:sqref>A35</xm:sqref>
        </x14:conditionalFormatting>
        <x14:conditionalFormatting xmlns:xm="http://schemas.microsoft.com/office/excel/2006/main">
          <x14:cfRule type="expression" priority="141" id="{343ED090-9A42-4B77-A7A0-18A2D25A9AE0}">
            <xm:f>'ILR Brief'!J11&gt;=30</xm:f>
            <x14:dxf>
              <fill>
                <patternFill>
                  <bgColor rgb="FFFF0000"/>
                </patternFill>
              </fill>
            </x14:dxf>
          </x14:cfRule>
          <x14:cfRule type="expression" priority="142" id="{DE1D1D89-3069-42E5-80D8-7684309BDC95}">
            <xm:f>'ILR Brief'!J11&gt;=14</xm:f>
            <x14:dxf>
              <fill>
                <patternFill>
                  <bgColor rgb="FFFFFF00"/>
                </patternFill>
              </fill>
            </x14:dxf>
          </x14:cfRule>
          <x14:cfRule type="expression" priority="143" id="{8AE83B13-94C3-4534-837D-74BC22483B19}">
            <xm:f>'ILR Brief'!J11&lt;14</xm:f>
            <x14:dxf>
              <fill>
                <patternFill>
                  <bgColor rgb="FF92D050"/>
                </patternFill>
              </fill>
            </x14:dxf>
          </x14:cfRule>
          <xm:sqref>A36</xm:sqref>
        </x14:conditionalFormatting>
        <x14:conditionalFormatting xmlns:xm="http://schemas.microsoft.com/office/excel/2006/main">
          <x14:cfRule type="expression" priority="144" id="{4072E2D4-E6E4-4493-9293-8539B83154FD}">
            <xm:f>'ILR Brief'!J13&gt;=16.4</xm:f>
            <x14:dxf>
              <fill>
                <patternFill>
                  <bgColor rgb="FFFF0000"/>
                </patternFill>
              </fill>
            </x14:dxf>
          </x14:cfRule>
          <x14:cfRule type="expression" priority="145" id="{C01B6157-4AA5-40D6-9110-2618E3F0EF6C}">
            <xm:f>'ILR Brief'!J13&gt;=13</xm:f>
            <x14:dxf>
              <fill>
                <patternFill>
                  <bgColor rgb="FFFFFF00"/>
                </patternFill>
              </fill>
            </x14:dxf>
          </x14:cfRule>
          <x14:cfRule type="expression" priority="146" id="{13976064-72D9-40F4-B819-B010614810FE}">
            <xm:f>'ILR Brief'!J13&lt;13</xm:f>
            <x14:dxf>
              <fill>
                <patternFill>
                  <bgColor rgb="FF92D050"/>
                </patternFill>
              </fill>
            </x14:dxf>
          </x14:cfRule>
          <xm:sqref>A37</xm:sqref>
        </x14:conditionalFormatting>
        <x14:conditionalFormatting xmlns:xm="http://schemas.microsoft.com/office/excel/2006/main">
          <x14:cfRule type="expression" priority="147" id="{55B6E830-A8A0-4977-B560-FA273013F0ED}">
            <xm:f>'ILR Brief'!J15&gt;=22</xm:f>
            <x14:dxf>
              <fill>
                <patternFill>
                  <bgColor rgb="FFFF0000"/>
                </patternFill>
              </fill>
            </x14:dxf>
          </x14:cfRule>
          <x14:cfRule type="expression" priority="148" id="{55E21530-D332-452E-8614-392934751EC4}">
            <xm:f>'ILR Brief'!J15&gt;=18</xm:f>
            <x14:dxf>
              <fill>
                <patternFill>
                  <bgColor rgb="FFFFFF00"/>
                </patternFill>
              </fill>
            </x14:dxf>
          </x14:cfRule>
          <x14:cfRule type="expression" priority="149" id="{BC9DDEA8-8CE0-4C4B-B951-60EE48DE26C7}">
            <xm:f>'ILR Brief'!J15&lt;18</xm:f>
            <x14:dxf>
              <fill>
                <patternFill>
                  <bgColor rgb="FF92D050"/>
                </patternFill>
              </fill>
            </x14:dxf>
          </x14:cfRule>
          <xm:sqref>A38</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ColWidth="8.54296875" defaultRowHeight="14.25" zeroHeight="false" outlineLevelRow="0" outlineLevelCol="0"/>
  <cols>
    <col collapsed="false" customWidth="true" hidden="true" outlineLevel="0" max="2" min="2" style="0" width="18.67"/>
    <col collapsed="false" customWidth="true" hidden="true" outlineLevel="0" max="3" min="3" style="0" width="11.53"/>
    <col collapsed="false" customWidth="true" hidden="false" outlineLevel="0" max="4" min="4" style="0" width="178.11"/>
  </cols>
  <sheetData>
    <row r="1" customFormat="false" ht="14.25" hidden="false" customHeight="false" outlineLevel="0" collapsed="false">
      <c r="A1" s="179" t="s">
        <v>6</v>
      </c>
      <c r="D1" s="179" t="s">
        <v>297</v>
      </c>
    </row>
    <row r="2" customFormat="false" ht="14.25" hidden="false" customHeight="false" outlineLevel="0" collapsed="false">
      <c r="B2" s="0" t="str">
        <f aca="false">IF('CART Data'!B2=$A$1,ROW(),"")</f>
        <v/>
      </c>
      <c r="C2" s="0" t="str">
        <f aca="false">IF(ROWS($1:1)&gt;COUNT($B:$B),"",INDEX('CART Data'!B:B,SMALL($B:$B,ROWS($1:1))))</f>
        <v/>
      </c>
      <c r="D2" s="0" t="str">
        <f aca="false">IF(ROWS($1:1)&gt;COUNT($B:$B),"",INDEX('CART Data'!A:A,SMALL($B:$B,ROWS($1:1))))</f>
        <v/>
      </c>
    </row>
    <row r="3" customFormat="false" ht="14.25" hidden="false" customHeight="false" outlineLevel="0" collapsed="false">
      <c r="B3" s="0" t="str">
        <f aca="false">IF('CART Data'!B3=$A$1,ROW(),"")</f>
        <v/>
      </c>
      <c r="C3" s="0" t="str">
        <f aca="false">IF(ROWS($1:2)&gt;COUNT($B:$B),"",INDEX('CART Data'!B:B,SMALL($B:$B,ROWS($1:2))))</f>
        <v/>
      </c>
      <c r="D3" s="0" t="str">
        <f aca="false">IF(ROWS($1:2)&gt;COUNT($B:$B),"",INDEX('CART Data'!A:A,SMALL($B:$B,ROWS($1:2))))</f>
        <v/>
      </c>
    </row>
    <row r="4" customFormat="false" ht="14.25" hidden="false" customHeight="false" outlineLevel="0" collapsed="false">
      <c r="B4" s="0" t="str">
        <f aca="false">IF('CART Data'!B4=$A$1,ROW(),"")</f>
        <v/>
      </c>
      <c r="C4" s="0" t="str">
        <f aca="false">IF(ROWS($1:3)&gt;COUNT($B:$B),"",INDEX('CART Data'!B:B,SMALL($B:$B,ROWS($1:3))))</f>
        <v/>
      </c>
      <c r="D4" s="0" t="str">
        <f aca="false">IF(ROWS($1:3)&gt;COUNT($B:$B),"",INDEX('CART Data'!A:A,SMALL($B:$B,ROWS($1:3))))</f>
        <v/>
      </c>
    </row>
    <row r="5" customFormat="false" ht="14.25" hidden="false" customHeight="false" outlineLevel="0" collapsed="false">
      <c r="B5" s="0" t="str">
        <f aca="false">IF('CART Data'!B5=$A$1,ROW(),"")</f>
        <v/>
      </c>
      <c r="C5" s="0" t="str">
        <f aca="false">IF(ROWS($1:4)&gt;COUNT($B:$B),"",INDEX('CART Data'!B:B,SMALL($B:$B,ROWS($1:4))))</f>
        <v/>
      </c>
      <c r="D5" s="0" t="str">
        <f aca="false">IF(ROWS($1:4)&gt;COUNT($B:$B),"",INDEX('CART Data'!A:A,SMALL($B:$B,ROWS($1:4))))</f>
        <v/>
      </c>
    </row>
    <row r="6" customFormat="false" ht="14.25" hidden="false" customHeight="false" outlineLevel="0" collapsed="false">
      <c r="B6" s="0" t="str">
        <f aca="false">IF('CART Data'!B6=$A$1,ROW(),"")</f>
        <v/>
      </c>
      <c r="C6" s="0" t="str">
        <f aca="false">IF(ROWS($1:5)&gt;COUNT($B:$B),"",INDEX('CART Data'!B:B,SMALL($B:$B,ROWS($1:5))))</f>
        <v/>
      </c>
      <c r="D6" s="0" t="str">
        <f aca="false">IF(ROWS($1:5)&gt;COUNT($B:$B),"",INDEX('CART Data'!A:A,SMALL($B:$B,ROWS($1:5))))</f>
        <v/>
      </c>
    </row>
    <row r="7" customFormat="false" ht="14.25" hidden="false" customHeight="false" outlineLevel="0" collapsed="false">
      <c r="B7" s="0" t="str">
        <f aca="false">IF('CART Data'!B7=$A$1,ROW(),"")</f>
        <v/>
      </c>
      <c r="C7" s="0" t="str">
        <f aca="false">IF(ROWS($1:6)&gt;COUNT($B:$B),"",INDEX('CART Data'!B:B,SMALL($B:$B,ROWS($1:6))))</f>
        <v/>
      </c>
      <c r="D7" s="0" t="str">
        <f aca="false">IF(ROWS($1:6)&gt;COUNT($B:$B),"",INDEX('CART Data'!A:A,SMALL($B:$B,ROWS($1:6))))</f>
        <v/>
      </c>
    </row>
    <row r="8" customFormat="false" ht="14.25" hidden="false" customHeight="false" outlineLevel="0" collapsed="false">
      <c r="B8" s="0" t="str">
        <f aca="false">IF('CART Data'!B8=$A$1,ROW(),"")</f>
        <v/>
      </c>
      <c r="C8" s="0" t="str">
        <f aca="false">IF(ROWS($1:7)&gt;COUNT($B:$B),"",INDEX('CART Data'!B:B,SMALL($B:$B,ROWS($1:7))))</f>
        <v/>
      </c>
      <c r="D8" s="0" t="str">
        <f aca="false">IF(ROWS($1:7)&gt;COUNT($B:$B),"",INDEX('CART Data'!A:A,SMALL($B:$B,ROWS($1:7))))</f>
        <v/>
      </c>
    </row>
    <row r="9" customFormat="false" ht="14.25" hidden="false" customHeight="false" outlineLevel="0" collapsed="false">
      <c r="B9" s="0" t="str">
        <f aca="false">IF('CART Data'!B9=$A$1,ROW(),"")</f>
        <v/>
      </c>
      <c r="C9" s="0" t="str">
        <f aca="false">IF(ROWS($1:8)&gt;COUNT($B:$B),"",INDEX('CART Data'!B:B,SMALL($B:$B,ROWS($1:8))))</f>
        <v/>
      </c>
      <c r="D9" s="0" t="str">
        <f aca="false">IF(ROWS($1:8)&gt;COUNT($B:$B),"",INDEX('CART Data'!A:A,SMALL($B:$B,ROWS($1:8))))</f>
        <v/>
      </c>
    </row>
    <row r="10" customFormat="false" ht="14.25" hidden="false" customHeight="false" outlineLevel="0" collapsed="false">
      <c r="B10" s="0" t="str">
        <f aca="false">IF('CART Data'!B10=$A$1,ROW(),"")</f>
        <v/>
      </c>
      <c r="C10" s="0" t="str">
        <f aca="false">IF(ROWS($1:9)&gt;COUNT($B:$B),"",INDEX('CART Data'!B:B,SMALL($B:$B,ROWS($1:9))))</f>
        <v/>
      </c>
      <c r="D10" s="0" t="str">
        <f aca="false">IF(ROWS($1:9)&gt;COUNT($B:$B),"",INDEX('CART Data'!A:A,SMALL($B:$B,ROWS($1:9))))</f>
        <v/>
      </c>
    </row>
    <row r="11" customFormat="false" ht="14.25" hidden="false" customHeight="false" outlineLevel="0" collapsed="false">
      <c r="B11" s="0" t="str">
        <f aca="false">IF('CART Data'!B11=$A$1,ROW(),"")</f>
        <v/>
      </c>
      <c r="C11" s="0" t="str">
        <f aca="false">IF(ROWS($1:10)&gt;COUNT($B:$B),"",INDEX('CART Data'!B:B,SMALL($B:$B,ROWS($1:10))))</f>
        <v/>
      </c>
      <c r="D11" s="0" t="str">
        <f aca="false">IF(ROWS($1:10)&gt;COUNT($B:$B),"",INDEX('CART Data'!A:A,SMALL($B:$B,ROWS($1:10))))</f>
        <v/>
      </c>
    </row>
    <row r="12" customFormat="false" ht="14.25" hidden="false" customHeight="false" outlineLevel="0" collapsed="false">
      <c r="B12" s="0" t="str">
        <f aca="false">IF('CART Data'!B12=$A$1,ROW(),"")</f>
        <v/>
      </c>
      <c r="C12" s="0" t="str">
        <f aca="false">IF(ROWS($1:11)&gt;COUNT($B:$B),"",INDEX('CART Data'!B:B,SMALL($B:$B,ROWS($1:11))))</f>
        <v/>
      </c>
      <c r="D12" s="0" t="str">
        <f aca="false">IF(ROWS($1:11)&gt;COUNT($B:$B),"",INDEX('CART Data'!A:A,SMALL($B:$B,ROWS($1:11))))</f>
        <v/>
      </c>
    </row>
    <row r="13" customFormat="false" ht="14.25" hidden="false" customHeight="false" outlineLevel="0" collapsed="false">
      <c r="B13" s="0" t="str">
        <f aca="false">IF('CART Data'!B13=$A$1,ROW(),"")</f>
        <v/>
      </c>
      <c r="C13" s="0" t="str">
        <f aca="false">IF(ROWS($1:12)&gt;COUNT($B:$B),"",INDEX('CART Data'!B:B,SMALL($B:$B,ROWS($1:12))))</f>
        <v/>
      </c>
      <c r="D13" s="0" t="str">
        <f aca="false">IF(ROWS($1:12)&gt;COUNT($B:$B),"",INDEX('CART Data'!A:A,SMALL($B:$B,ROWS($1:12))))</f>
        <v/>
      </c>
    </row>
    <row r="14" customFormat="false" ht="14.25" hidden="false" customHeight="false" outlineLevel="0" collapsed="false">
      <c r="B14" s="0" t="str">
        <f aca="false">IF('CART Data'!B14=$A$1,ROW(),"")</f>
        <v/>
      </c>
      <c r="C14" s="0" t="str">
        <f aca="false">IF(ROWS($1:13)&gt;COUNT($B:$B),"",INDEX('CART Data'!B:B,SMALL($B:$B,ROWS($1:13))))</f>
        <v/>
      </c>
      <c r="D14" s="0" t="str">
        <f aca="false">IF(ROWS($1:13)&gt;COUNT($B:$B),"",INDEX('CART Data'!A:A,SMALL($B:$B,ROWS($1:13))))</f>
        <v/>
      </c>
    </row>
    <row r="15" customFormat="false" ht="14.25" hidden="false" customHeight="false" outlineLevel="0" collapsed="false">
      <c r="B15" s="0" t="str">
        <f aca="false">IF('CART Data'!B15=$A$1,ROW(),"")</f>
        <v/>
      </c>
      <c r="C15" s="0" t="str">
        <f aca="false">IF(ROWS($1:14)&gt;COUNT($B:$B),"",INDEX('CART Data'!B:B,SMALL($B:$B,ROWS($1:14))))</f>
        <v/>
      </c>
      <c r="D15" s="0" t="str">
        <f aca="false">IF(ROWS($1:14)&gt;COUNT($B:$B),"",INDEX('CART Data'!A:A,SMALL($B:$B,ROWS($1:14))))</f>
        <v/>
      </c>
    </row>
    <row r="16" customFormat="false" ht="14.25" hidden="false" customHeight="false" outlineLevel="0" collapsed="false">
      <c r="B16" s="0" t="str">
        <f aca="false">IF('CART Data'!B16=$A$1,ROW(),"")</f>
        <v/>
      </c>
      <c r="C16" s="0" t="str">
        <f aca="false">IF(ROWS($1:15)&gt;COUNT($B:$B),"",INDEX('CART Data'!B:B,SMALL($B:$B,ROWS($1:15))))</f>
        <v/>
      </c>
      <c r="D16" s="0" t="str">
        <f aca="false">IF(ROWS($1:15)&gt;COUNT($B:$B),"",INDEX('CART Data'!A:A,SMALL($B:$B,ROWS($1:15))))</f>
        <v/>
      </c>
    </row>
    <row r="17" customFormat="false" ht="14.25" hidden="false" customHeight="false" outlineLevel="0" collapsed="false">
      <c r="B17" s="0" t="str">
        <f aca="false">IF('CART Data'!B17=$A$1,ROW(),"")</f>
        <v/>
      </c>
      <c r="C17" s="0" t="str">
        <f aca="false">IF(ROWS($1:16)&gt;COUNT($B:$B),"",INDEX('CART Data'!B:B,SMALL($B:$B,ROWS($1:16))))</f>
        <v/>
      </c>
      <c r="D17" s="0" t="str">
        <f aca="false">IF(ROWS($1:16)&gt;COUNT($B:$B),"",INDEX('CART Data'!A:A,SMALL($B:$B,ROWS($1:16))))</f>
        <v/>
      </c>
    </row>
    <row r="18" customFormat="false" ht="14.25" hidden="false" customHeight="false" outlineLevel="0" collapsed="false">
      <c r="B18" s="0" t="str">
        <f aca="false">IF('CART Data'!B18=$A$1,ROW(),"")</f>
        <v/>
      </c>
      <c r="C18" s="0" t="str">
        <f aca="false">IF(ROWS($1:17)&gt;COUNT($B:$B),"",INDEX('CART Data'!B:B,SMALL($B:$B,ROWS($1:17))))</f>
        <v/>
      </c>
      <c r="D18" s="0" t="str">
        <f aca="false">IF(ROWS($1:17)&gt;COUNT($B:$B),"",INDEX('CART Data'!A:A,SMALL($B:$B,ROWS($1:17))))</f>
        <v/>
      </c>
    </row>
    <row r="19" customFormat="false" ht="14.25" hidden="false" customHeight="false" outlineLevel="0" collapsed="false">
      <c r="B19" s="0" t="str">
        <f aca="false">IF('CART Data'!B19=$A$1,ROW(),"")</f>
        <v/>
      </c>
      <c r="C19" s="0" t="str">
        <f aca="false">IF(ROWS($1:18)&gt;COUNT($B:$B),"",INDEX('CART Data'!B:B,SMALL($B:$B,ROWS($1:18))))</f>
        <v/>
      </c>
      <c r="D19" s="0" t="str">
        <f aca="false">IF(ROWS($1:18)&gt;COUNT($B:$B),"",INDEX('CART Data'!A:A,SMALL($B:$B,ROWS($1:18))))</f>
        <v/>
      </c>
    </row>
    <row r="20" customFormat="false" ht="14.25" hidden="false" customHeight="false" outlineLevel="0" collapsed="false">
      <c r="B20" s="0" t="str">
        <f aca="false">IF('CART Data'!B20=$A$1,ROW(),"")</f>
        <v/>
      </c>
      <c r="C20" s="0" t="str">
        <f aca="false">IF(ROWS($1:19)&gt;COUNT($B:$B),"",INDEX('CART Data'!B:B,SMALL($B:$B,ROWS($1:19))))</f>
        <v/>
      </c>
      <c r="D20" s="0" t="str">
        <f aca="false">IF(ROWS($1:19)&gt;COUNT($B:$B),"",INDEX('CART Data'!A:A,SMALL($B:$B,ROWS($1:19))))</f>
        <v/>
      </c>
    </row>
    <row r="21" customFormat="false" ht="14.25" hidden="false" customHeight="false" outlineLevel="0" collapsed="false">
      <c r="B21" s="0" t="str">
        <f aca="false">IF('CART Data'!B21=$A$1,ROW(),"")</f>
        <v/>
      </c>
      <c r="C21" s="0" t="str">
        <f aca="false">IF(ROWS($1:20)&gt;COUNT($B:$B),"",INDEX('CART Data'!B:B,SMALL($B:$B,ROWS($1:20))))</f>
        <v/>
      </c>
      <c r="D21" s="0" t="str">
        <f aca="false">IF(ROWS($1:20)&gt;COUNT($B:$B),"",INDEX('CART Data'!A:A,SMALL($B:$B,ROWS($1:20))))</f>
        <v/>
      </c>
    </row>
    <row r="22" customFormat="false" ht="14.25" hidden="false" customHeight="false" outlineLevel="0" collapsed="false">
      <c r="B22" s="0" t="str">
        <f aca="false">IF('CART Data'!B22=$A$1,ROW(),"")</f>
        <v/>
      </c>
      <c r="C22" s="0" t="str">
        <f aca="false">IF(ROWS($1:21)&gt;COUNT($B:$B),"",INDEX('CART Data'!B:B,SMALL($B:$B,ROWS($1:21))))</f>
        <v/>
      </c>
      <c r="D22" s="0" t="str">
        <f aca="false">IF(ROWS($1:21)&gt;COUNT($B:$B),"",INDEX('CART Data'!A:A,SMALL($B:$B,ROWS($1:21))))</f>
        <v/>
      </c>
    </row>
    <row r="23" customFormat="false" ht="14.25" hidden="false" customHeight="false" outlineLevel="0" collapsed="false">
      <c r="B23" s="0" t="str">
        <f aca="false">IF('CART Data'!B23=$A$1,ROW(),"")</f>
        <v/>
      </c>
      <c r="C23" s="0" t="str">
        <f aca="false">IF(ROWS($1:22)&gt;COUNT($B:$B),"",INDEX('CART Data'!B:B,SMALL($B:$B,ROWS($1:22))))</f>
        <v/>
      </c>
      <c r="D23" s="0" t="str">
        <f aca="false">IF(ROWS($1:22)&gt;COUNT($B:$B),"",INDEX('CART Data'!A:A,SMALL($B:$B,ROWS($1:22))))</f>
        <v/>
      </c>
    </row>
    <row r="24" customFormat="false" ht="14.25" hidden="false" customHeight="false" outlineLevel="0" collapsed="false">
      <c r="B24" s="0" t="str">
        <f aca="false">IF('CART Data'!B24=$A$1,ROW(),"")</f>
        <v/>
      </c>
      <c r="C24" s="0" t="str">
        <f aca="false">IF(ROWS($1:23)&gt;COUNT($B:$B),"",INDEX('CART Data'!B:B,SMALL($B:$B,ROWS($1:23))))</f>
        <v/>
      </c>
      <c r="D24" s="0" t="str">
        <f aca="false">IF(ROWS($1:23)&gt;COUNT($B:$B),"",INDEX('CART Data'!A:A,SMALL($B:$B,ROWS($1:23))))</f>
        <v/>
      </c>
    </row>
    <row r="25" customFormat="false" ht="14.25" hidden="false" customHeight="false" outlineLevel="0" collapsed="false">
      <c r="B25" s="0" t="str">
        <f aca="false">IF('CART Data'!B25=$A$1,ROW(),"")</f>
        <v/>
      </c>
      <c r="C25" s="0" t="str">
        <f aca="false">IF(ROWS($1:24)&gt;COUNT($B:$B),"",INDEX('CART Data'!B:B,SMALL($B:$B,ROWS($1:24))))</f>
        <v/>
      </c>
      <c r="D25" s="0" t="str">
        <f aca="false">IF(ROWS($1:24)&gt;COUNT($B:$B),"",INDEX('CART Data'!A:A,SMALL($B:$B,ROWS($1:24))))</f>
        <v/>
      </c>
    </row>
    <row r="26" customFormat="false" ht="14.25" hidden="false" customHeight="false" outlineLevel="0" collapsed="false">
      <c r="B26" s="0" t="str">
        <f aca="false">IF('CART Data'!B26=$A$1,ROW(),"")</f>
        <v/>
      </c>
      <c r="C26" s="0" t="str">
        <f aca="false">IF(ROWS($1:25)&gt;COUNT($B:$B),"",INDEX('CART Data'!B:B,SMALL($B:$B,ROWS($1:25))))</f>
        <v/>
      </c>
      <c r="D26" s="0" t="str">
        <f aca="false">IF(ROWS($1:25)&gt;COUNT($B:$B),"",INDEX('CART Data'!A:A,SMALL($B:$B,ROWS($1:25))))</f>
        <v/>
      </c>
    </row>
    <row r="27" customFormat="false" ht="14.25" hidden="false" customHeight="false" outlineLevel="0" collapsed="false">
      <c r="B27" s="0" t="str">
        <f aca="false">IF('CART Data'!B27=$A$1,ROW(),"")</f>
        <v/>
      </c>
      <c r="C27" s="0" t="str">
        <f aca="false">IF(ROWS($1:26)&gt;COUNT($B:$B),"",INDEX('CART Data'!B:B,SMALL($B:$B,ROWS($1:26))))</f>
        <v/>
      </c>
      <c r="D27" s="0" t="str">
        <f aca="false">IF(ROWS($1:26)&gt;COUNT($B:$B),"",INDEX('CART Data'!A:A,SMALL($B:$B,ROWS($1:26))))</f>
        <v/>
      </c>
    </row>
    <row r="28" customFormat="false" ht="14.25" hidden="false" customHeight="false" outlineLevel="0" collapsed="false">
      <c r="B28" s="0" t="str">
        <f aca="false">IF('CART Data'!B28=$A$1,ROW(),"")</f>
        <v/>
      </c>
      <c r="C28" s="0" t="str">
        <f aca="false">IF(ROWS($1:27)&gt;COUNT($B:$B),"",INDEX('CART Data'!B:B,SMALL($B:$B,ROWS($1:27))))</f>
        <v/>
      </c>
      <c r="D28" s="0" t="str">
        <f aca="false">IF(ROWS($1:27)&gt;COUNT($B:$B),"",INDEX('CART Data'!A:A,SMALL($B:$B,ROWS($1:27))))</f>
        <v/>
      </c>
    </row>
    <row r="29" customFormat="false" ht="14.25" hidden="false" customHeight="false" outlineLevel="0" collapsed="false">
      <c r="B29" s="0" t="str">
        <f aca="false">IF('CART Data'!B29=$A$1,ROW(),"")</f>
        <v/>
      </c>
      <c r="C29" s="0" t="str">
        <f aca="false">IF(ROWS($1:28)&gt;COUNT($B:$B),"",INDEX('CART Data'!B:B,SMALL($B:$B,ROWS($1:28))))</f>
        <v/>
      </c>
      <c r="D29" s="0" t="str">
        <f aca="false">IF(ROWS($1:28)&gt;COUNT($B:$B),"",INDEX('CART Data'!A:A,SMALL($B:$B,ROWS($1:28))))</f>
        <v/>
      </c>
    </row>
    <row r="30" customFormat="false" ht="14.25" hidden="false" customHeight="false" outlineLevel="0" collapsed="false">
      <c r="B30" s="0" t="str">
        <f aca="false">IF('CART Data'!B30=$A$1,ROW(),"")</f>
        <v/>
      </c>
      <c r="C30" s="0" t="str">
        <f aca="false">IF(ROWS($1:29)&gt;COUNT($B:$B),"",INDEX('CART Data'!B:B,SMALL($B:$B,ROWS($1:29))))</f>
        <v/>
      </c>
      <c r="D30" s="0" t="str">
        <f aca="false">IF(ROWS($1:29)&gt;COUNT($B:$B),"",INDEX('CART Data'!A:A,SMALL($B:$B,ROWS($1:29))))</f>
        <v/>
      </c>
    </row>
    <row r="31" customFormat="false" ht="14.25" hidden="false" customHeight="false" outlineLevel="0" collapsed="false">
      <c r="B31" s="0" t="str">
        <f aca="false">IF('CART Data'!B31=$A$1,ROW(),"")</f>
        <v/>
      </c>
      <c r="C31" s="0" t="str">
        <f aca="false">IF(ROWS($1:30)&gt;COUNT($B:$B),"",INDEX('CART Data'!B:B,SMALL($B:$B,ROWS($1:30))))</f>
        <v/>
      </c>
      <c r="D31" s="0" t="str">
        <f aca="false">IF(ROWS($1:30)&gt;COUNT($B:$B),"",INDEX('CART Data'!A:A,SMALL($B:$B,ROWS($1:30))))</f>
        <v/>
      </c>
    </row>
    <row r="32" customFormat="false" ht="14.25" hidden="false" customHeight="false" outlineLevel="0" collapsed="false">
      <c r="B32" s="0" t="str">
        <f aca="false">IF('CART Data'!B32=$A$1,ROW(),"")</f>
        <v/>
      </c>
      <c r="C32" s="0" t="str">
        <f aca="false">IF(ROWS($1:31)&gt;COUNT($B:$B),"",INDEX('CART Data'!B:B,SMALL($B:$B,ROWS($1:31))))</f>
        <v/>
      </c>
      <c r="D32" s="0" t="str">
        <f aca="false">IF(ROWS($1:31)&gt;COUNT($B:$B),"",INDEX('CART Data'!A:A,SMALL($B:$B,ROWS($1:31))))</f>
        <v/>
      </c>
    </row>
    <row r="33" customFormat="false" ht="14.25" hidden="false" customHeight="false" outlineLevel="0" collapsed="false">
      <c r="B33" s="0" t="str">
        <f aca="false">IF('CART Data'!B33=$A$1,ROW(),"")</f>
        <v/>
      </c>
      <c r="C33" s="0" t="str">
        <f aca="false">IF(ROWS($1:32)&gt;COUNT($B:$B),"",INDEX('CART Data'!B:B,SMALL($B:$B,ROWS($1:32))))</f>
        <v/>
      </c>
      <c r="D33" s="0" t="str">
        <f aca="false">IF(ROWS($1:32)&gt;COUNT($B:$B),"",INDEX('CART Data'!A:A,SMALL($B:$B,ROWS($1:32))))</f>
        <v/>
      </c>
    </row>
    <row r="34" customFormat="false" ht="14.25" hidden="false" customHeight="false" outlineLevel="0" collapsed="false">
      <c r="B34" s="0" t="str">
        <f aca="false">IF('CART Data'!B34=$A$1,ROW(),"")</f>
        <v/>
      </c>
      <c r="C34" s="0" t="str">
        <f aca="false">IF(ROWS($1:33)&gt;COUNT($B:$B),"",INDEX('CART Data'!B:B,SMALL($B:$B,ROWS($1:33))))</f>
        <v/>
      </c>
      <c r="D34" s="0" t="str">
        <f aca="false">IF(ROWS($1:33)&gt;COUNT($B:$B),"",INDEX('CART Data'!A:A,SMALL($B:$B,ROWS($1:33))))</f>
        <v/>
      </c>
    </row>
    <row r="35" customFormat="false" ht="14.25" hidden="false" customHeight="false" outlineLevel="0" collapsed="false">
      <c r="B35" s="0" t="str">
        <f aca="false">IF('CART Data'!B35=$A$1,ROW(),"")</f>
        <v/>
      </c>
      <c r="C35" s="0" t="str">
        <f aca="false">IF(ROWS($1:34)&gt;COUNT($B:$B),"",INDEX('CART Data'!B:B,SMALL($B:$B,ROWS($1:34))))</f>
        <v/>
      </c>
      <c r="D35" s="0" t="str">
        <f aca="false">IF(ROWS($1:34)&gt;COUNT($B:$B),"",INDEX('CART Data'!A:A,SMALL($B:$B,ROWS($1:34))))</f>
        <v/>
      </c>
    </row>
    <row r="36" customFormat="false" ht="14.25" hidden="false" customHeight="false" outlineLevel="0" collapsed="false">
      <c r="B36" s="0" t="str">
        <f aca="false">IF('CART Data'!B36=$A$1,ROW(),"")</f>
        <v/>
      </c>
      <c r="C36" s="0" t="str">
        <f aca="false">IF(ROWS($1:35)&gt;COUNT($B:$B),"",INDEX('CART Data'!B:B,SMALL($B:$B,ROWS($1:35))))</f>
        <v/>
      </c>
      <c r="D36" s="0" t="str">
        <f aca="false">IF(ROWS($1:35)&gt;COUNT($B:$B),"",INDEX('CART Data'!A:A,SMALL($B:$B,ROWS($1:35))))</f>
        <v/>
      </c>
    </row>
    <row r="37" customFormat="false" ht="14.25" hidden="false" customHeight="false" outlineLevel="0" collapsed="false">
      <c r="B37" s="0" t="str">
        <f aca="false">IF('CART Data'!B37=$A$1,ROW(),"")</f>
        <v/>
      </c>
      <c r="C37" s="0" t="str">
        <f aca="false">IF(ROWS($1:36)&gt;COUNT($B:$B),"",INDEX('CART Data'!B:B,SMALL($B:$B,ROWS($1:36))))</f>
        <v/>
      </c>
      <c r="D37" s="0" t="str">
        <f aca="false">IF(ROWS($1:36)&gt;COUNT($B:$B),"",INDEX('CART Data'!A:A,SMALL($B:$B,ROWS($1:36))))</f>
        <v/>
      </c>
    </row>
    <row r="38" customFormat="false" ht="14.25" hidden="false" customHeight="false" outlineLevel="0" collapsed="false">
      <c r="B38" s="0" t="str">
        <f aca="false">IF('CART Data'!B38=$A$1,ROW(),"")</f>
        <v/>
      </c>
      <c r="C38" s="0" t="str">
        <f aca="false">IF(ROWS($1:37)&gt;COUNT($B:$B),"",INDEX('CART Data'!B:B,SMALL($B:$B,ROWS($1:37))))</f>
        <v/>
      </c>
      <c r="D38" s="0" t="str">
        <f aca="false">IF(ROWS($1:37)&gt;COUNT($B:$B),"",INDEX('CART Data'!A:A,SMALL($B:$B,ROWS($1:37))))</f>
        <v/>
      </c>
    </row>
    <row r="39" customFormat="false" ht="14.25" hidden="false" customHeight="false" outlineLevel="0" collapsed="false">
      <c r="B39" s="0" t="str">
        <f aca="false">IF('CART Data'!B39=$A$1,ROW(),"")</f>
        <v/>
      </c>
      <c r="C39" s="0" t="str">
        <f aca="false">IF(ROWS($1:38)&gt;COUNT($B:$B),"",INDEX('CART Data'!B:B,SMALL($B:$B,ROWS($1:38))))</f>
        <v/>
      </c>
      <c r="D39" s="0" t="str">
        <f aca="false">IF(ROWS($1:38)&gt;COUNT($B:$B),"",INDEX('CART Data'!A:A,SMALL($B:$B,ROWS($1:38))))</f>
        <v/>
      </c>
    </row>
    <row r="40" customFormat="false" ht="14.25" hidden="false" customHeight="false" outlineLevel="0" collapsed="false">
      <c r="B40" s="0" t="str">
        <f aca="false">IF('CART Data'!B40=$A$1,ROW(),"")</f>
        <v/>
      </c>
      <c r="C40" s="0" t="str">
        <f aca="false">IF(ROWS($1:39)&gt;COUNT($B:$B),"",INDEX('CART Data'!B:B,SMALL($B:$B,ROWS($1:39))))</f>
        <v/>
      </c>
      <c r="D40" s="0" t="str">
        <f aca="false">IF(ROWS($1:39)&gt;COUNT($B:$B),"",INDEX('CART Data'!A:A,SMALL($B:$B,ROWS($1:39))))</f>
        <v/>
      </c>
    </row>
    <row r="41" customFormat="false" ht="14.25" hidden="false" customHeight="false" outlineLevel="0" collapsed="false">
      <c r="B41" s="0" t="str">
        <f aca="false">IF('CART Data'!B41=$A$1,ROW(),"")</f>
        <v/>
      </c>
      <c r="C41" s="0" t="str">
        <f aca="false">IF(ROWS($1:40)&gt;COUNT($B:$B),"",INDEX('CART Data'!B:B,SMALL($B:$B,ROWS($1:40))))</f>
        <v/>
      </c>
      <c r="D41" s="0" t="str">
        <f aca="false">IF(ROWS($1:40)&gt;COUNT($B:$B),"",INDEX('CART Data'!A:A,SMALL($B:$B,ROWS($1:40))))</f>
        <v/>
      </c>
    </row>
    <row r="42" customFormat="false" ht="14.25" hidden="false" customHeight="false" outlineLevel="0" collapsed="false">
      <c r="B42" s="0" t="str">
        <f aca="false">IF('CART Data'!B42=$A$1,ROW(),"")</f>
        <v/>
      </c>
      <c r="C42" s="0" t="str">
        <f aca="false">IF(ROWS($1:41)&gt;COUNT($B:$B),"",INDEX('CART Data'!B:B,SMALL($B:$B,ROWS($1:41))))</f>
        <v/>
      </c>
      <c r="D42" s="0" t="str">
        <f aca="false">IF(ROWS($1:41)&gt;COUNT($B:$B),"",INDEX('CART Data'!A:A,SMALL($B:$B,ROWS($1:41))))</f>
        <v/>
      </c>
    </row>
    <row r="43" customFormat="false" ht="14.25" hidden="false" customHeight="false" outlineLevel="0" collapsed="false">
      <c r="B43" s="0" t="str">
        <f aca="false">IF('CART Data'!B43=$A$1,ROW(),"")</f>
        <v/>
      </c>
      <c r="C43" s="0" t="str">
        <f aca="false">IF(ROWS($1:42)&gt;COUNT($B:$B),"",INDEX('CART Data'!B:B,SMALL($B:$B,ROWS($1:42))))</f>
        <v/>
      </c>
      <c r="D43" s="0" t="str">
        <f aca="false">IF(ROWS($1:42)&gt;COUNT($B:$B),"",INDEX('CART Data'!A:A,SMALL($B:$B,ROWS($1:42))))</f>
        <v/>
      </c>
    </row>
    <row r="44" customFormat="false" ht="14.25" hidden="false" customHeight="false" outlineLevel="0" collapsed="false">
      <c r="B44" s="0" t="str">
        <f aca="false">IF('CART Data'!B44=$A$1,ROW(),"")</f>
        <v/>
      </c>
      <c r="C44" s="0" t="str">
        <f aca="false">IF(ROWS($1:43)&gt;COUNT($B:$B),"",INDEX('CART Data'!B:B,SMALL($B:$B,ROWS($1:43))))</f>
        <v/>
      </c>
      <c r="D44" s="0" t="str">
        <f aca="false">IF(ROWS($1:43)&gt;COUNT($B:$B),"",INDEX('CART Data'!A:A,SMALL($B:$B,ROWS($1:43))))</f>
        <v/>
      </c>
    </row>
    <row r="45" customFormat="false" ht="14.25" hidden="false" customHeight="false" outlineLevel="0" collapsed="false">
      <c r="B45" s="0" t="str">
        <f aca="false">IF('CART Data'!B45=$A$1,ROW(),"")</f>
        <v/>
      </c>
      <c r="C45" s="0" t="str">
        <f aca="false">IF(ROWS($1:44)&gt;COUNT($B:$B),"",INDEX('CART Data'!B:B,SMALL($B:$B,ROWS($1:44))))</f>
        <v/>
      </c>
      <c r="D45" s="0" t="str">
        <f aca="false">IF(ROWS($1:44)&gt;COUNT($B:$B),"",INDEX('CART Data'!A:A,SMALL($B:$B,ROWS($1:44))))</f>
        <v/>
      </c>
    </row>
    <row r="46" customFormat="false" ht="14.25" hidden="false" customHeight="false" outlineLevel="0" collapsed="false">
      <c r="B46" s="0" t="str">
        <f aca="false">IF('CART Data'!B46=$A$1,ROW(),"")</f>
        <v/>
      </c>
      <c r="C46" s="0" t="str">
        <f aca="false">IF(ROWS($1:45)&gt;COUNT($B:$B),"",INDEX('CART Data'!B:B,SMALL($B:$B,ROWS($1:45))))</f>
        <v/>
      </c>
      <c r="D46" s="0" t="str">
        <f aca="false">IF(ROWS($1:45)&gt;COUNT($B:$B),"",INDEX('CART Data'!A:A,SMALL($B:$B,ROWS($1:45))))</f>
        <v/>
      </c>
    </row>
    <row r="47" customFormat="false" ht="14.25" hidden="false" customHeight="false" outlineLevel="0" collapsed="false">
      <c r="B47" s="0" t="str">
        <f aca="false">IF('CART Data'!B47=$A$1,ROW(),"")</f>
        <v/>
      </c>
      <c r="C47" s="0" t="str">
        <f aca="false">IF(ROWS($1:46)&gt;COUNT($B:$B),"",INDEX('CART Data'!B:B,SMALL($B:$B,ROWS($1:46))))</f>
        <v/>
      </c>
      <c r="D47" s="0" t="str">
        <f aca="false">IF(ROWS($1:46)&gt;COUNT($B:$B),"",INDEX('CART Data'!A:A,SMALL($B:$B,ROWS($1:46))))</f>
        <v/>
      </c>
    </row>
    <row r="48" customFormat="false" ht="14.25" hidden="false" customHeight="false" outlineLevel="0" collapsed="false">
      <c r="B48" s="0" t="str">
        <f aca="false">IF('CART Data'!B48=$A$1,ROW(),"")</f>
        <v/>
      </c>
      <c r="C48" s="0" t="str">
        <f aca="false">IF(ROWS($1:47)&gt;COUNT($B:$B),"",INDEX('CART Data'!B:B,SMALL($B:$B,ROWS($1:47))))</f>
        <v/>
      </c>
      <c r="D48" s="0" t="str">
        <f aca="false">IF(ROWS($1:47)&gt;COUNT($B:$B),"",INDEX('CART Data'!A:A,SMALL($B:$B,ROWS($1:47))))</f>
        <v/>
      </c>
    </row>
    <row r="49" customFormat="false" ht="14.25" hidden="false" customHeight="false" outlineLevel="0" collapsed="false">
      <c r="B49" s="0" t="str">
        <f aca="false">IF('CART Data'!B49=$A$1,ROW(),"")</f>
        <v/>
      </c>
      <c r="C49" s="0" t="str">
        <f aca="false">IF(ROWS($1:48)&gt;COUNT($B:$B),"",INDEX('CART Data'!B:B,SMALL($B:$B,ROWS($1:48))))</f>
        <v/>
      </c>
      <c r="D49" s="0" t="str">
        <f aca="false">IF(ROWS($1:48)&gt;COUNT($B:$B),"",INDEX('CART Data'!A:A,SMALL($B:$B,ROWS($1:48))))</f>
        <v/>
      </c>
    </row>
    <row r="50" customFormat="false" ht="14.25" hidden="false" customHeight="false" outlineLevel="0" collapsed="false">
      <c r="B50" s="0" t="str">
        <f aca="false">IF('CART Data'!B50=$A$1,ROW(),"")</f>
        <v/>
      </c>
      <c r="C50" s="0" t="str">
        <f aca="false">IF(ROWS($1:49)&gt;COUNT($B:$B),"",INDEX('CART Data'!B:B,SMALL($B:$B,ROWS($1:49))))</f>
        <v/>
      </c>
      <c r="D50" s="0" t="str">
        <f aca="false">IF(ROWS($1:49)&gt;COUNT($B:$B),"",INDEX('CART Data'!A:A,SMALL($B:$B,ROWS($1:49))))</f>
        <v/>
      </c>
    </row>
    <row r="51" customFormat="false" ht="14.25" hidden="false" customHeight="false" outlineLevel="0" collapsed="false">
      <c r="B51" s="0" t="str">
        <f aca="false">IF('CART Data'!B51=$A$1,ROW(),"")</f>
        <v/>
      </c>
      <c r="C51" s="0" t="str">
        <f aca="false">IF(ROWS($1:50)&gt;COUNT($B:$B),"",INDEX('CART Data'!B:B,SMALL($B:$B,ROWS($1:50))))</f>
        <v/>
      </c>
      <c r="D51" s="0" t="str">
        <f aca="false">IF(ROWS($1:50)&gt;COUNT($B:$B),"",INDEX('CART Data'!A:A,SMALL($B:$B,ROWS($1:50))))</f>
        <v/>
      </c>
    </row>
    <row r="52" customFormat="false" ht="14.25" hidden="false" customHeight="false" outlineLevel="0" collapsed="false">
      <c r="B52" s="0" t="str">
        <f aca="false">IF('CART Data'!B52=$A$1,ROW(),"")</f>
        <v/>
      </c>
      <c r="C52" s="0" t="str">
        <f aca="false">IF(ROWS($1:51)&gt;COUNT($B:$B),"",INDEX('CART Data'!B:B,SMALL($B:$B,ROWS($1:51))))</f>
        <v/>
      </c>
      <c r="D52" s="0" t="str">
        <f aca="false">IF(ROWS($1:51)&gt;COUNT($B:$B),"",INDEX('CART Data'!A:A,SMALL($B:$B,ROWS($1:51))))</f>
        <v/>
      </c>
    </row>
    <row r="53" customFormat="false" ht="14.25" hidden="false" customHeight="false" outlineLevel="0" collapsed="false">
      <c r="B53" s="0" t="str">
        <f aca="false">IF('CART Data'!B53=$A$1,ROW(),"")</f>
        <v/>
      </c>
      <c r="C53" s="0" t="str">
        <f aca="false">IF(ROWS($1:52)&gt;COUNT($B:$B),"",INDEX('CART Data'!B:B,SMALL($B:$B,ROWS($1:52))))</f>
        <v/>
      </c>
      <c r="D53" s="0" t="str">
        <f aca="false">IF(ROWS($1:52)&gt;COUNT($B:$B),"",INDEX('CART Data'!A:A,SMALL($B:$B,ROWS($1:52))))</f>
        <v/>
      </c>
    </row>
    <row r="54" customFormat="false" ht="14.25" hidden="false" customHeight="false" outlineLevel="0" collapsed="false">
      <c r="B54" s="0" t="str">
        <f aca="false">IF('CART Data'!B54=$A$1,ROW(),"")</f>
        <v/>
      </c>
      <c r="C54" s="0" t="str">
        <f aca="false">IF(ROWS($1:53)&gt;COUNT($B:$B),"",INDEX('CART Data'!B:B,SMALL($B:$B,ROWS($1:53))))</f>
        <v/>
      </c>
      <c r="D54" s="0" t="str">
        <f aca="false">IF(ROWS($1:53)&gt;COUNT($B:$B),"",INDEX('CART Data'!A:A,SMALL($B:$B,ROWS($1:53))))</f>
        <v/>
      </c>
    </row>
    <row r="55" customFormat="false" ht="14.25" hidden="false" customHeight="false" outlineLevel="0" collapsed="false">
      <c r="B55" s="0" t="str">
        <f aca="false">IF('CART Data'!B55=$A$1,ROW(),"")</f>
        <v/>
      </c>
      <c r="C55" s="0" t="str">
        <f aca="false">IF(ROWS($1:54)&gt;COUNT($B:$B),"",INDEX('CART Data'!B:B,SMALL($B:$B,ROWS($1:54))))</f>
        <v/>
      </c>
      <c r="D55" s="0" t="str">
        <f aca="false">IF(ROWS($1:54)&gt;COUNT($B:$B),"",INDEX('CART Data'!A:A,SMALL($B:$B,ROWS($1:54))))</f>
        <v/>
      </c>
    </row>
    <row r="56" customFormat="false" ht="14.25" hidden="false" customHeight="false" outlineLevel="0" collapsed="false">
      <c r="B56" s="0" t="str">
        <f aca="false">IF('CART Data'!B56=$A$1,ROW(),"")</f>
        <v/>
      </c>
      <c r="C56" s="0" t="str">
        <f aca="false">IF(ROWS($1:55)&gt;COUNT($B:$B),"",INDEX('CART Data'!B:B,SMALL($B:$B,ROWS($1:55))))</f>
        <v/>
      </c>
      <c r="D56" s="0" t="str">
        <f aca="false">IF(ROWS($1:55)&gt;COUNT($B:$B),"",INDEX('CART Data'!A:A,SMALL($B:$B,ROWS($1:55))))</f>
        <v/>
      </c>
    </row>
    <row r="57" customFormat="false" ht="14.25" hidden="false" customHeight="false" outlineLevel="0" collapsed="false">
      <c r="B57" s="0" t="str">
        <f aca="false">IF('CART Data'!B57=$A$1,ROW(),"")</f>
        <v/>
      </c>
      <c r="C57" s="0" t="str">
        <f aca="false">IF(ROWS($1:56)&gt;COUNT($B:$B),"",INDEX('CART Data'!B:B,SMALL($B:$B,ROWS($1:56))))</f>
        <v/>
      </c>
      <c r="D57" s="0" t="str">
        <f aca="false">IF(ROWS($1:56)&gt;COUNT($B:$B),"",INDEX('CART Data'!A:A,SMALL($B:$B,ROWS($1:56))))</f>
        <v/>
      </c>
    </row>
    <row r="58" customFormat="false" ht="14.25" hidden="false" customHeight="false" outlineLevel="0" collapsed="false">
      <c r="B58" s="0" t="str">
        <f aca="false">IF('CART Data'!B58=$A$1,ROW(),"")</f>
        <v/>
      </c>
      <c r="C58" s="0" t="str">
        <f aca="false">IF(ROWS($1:57)&gt;COUNT($B:$B),"",INDEX('CART Data'!B:B,SMALL($B:$B,ROWS($1:57))))</f>
        <v/>
      </c>
      <c r="D58" s="0" t="str">
        <f aca="false">IF(ROWS($1:57)&gt;COUNT($B:$B),"",INDEX('CART Data'!A:A,SMALL($B:$B,ROWS($1:57))))</f>
        <v/>
      </c>
    </row>
    <row r="59" customFormat="false" ht="14.25" hidden="false" customHeight="false" outlineLevel="0" collapsed="false">
      <c r="B59" s="0" t="str">
        <f aca="false">IF('CART Data'!B59=$A$1,ROW(),"")</f>
        <v/>
      </c>
      <c r="C59" s="0" t="str">
        <f aca="false">IF(ROWS($1:58)&gt;COUNT($B:$B),"",INDEX('CART Data'!B:B,SMALL($B:$B,ROWS($1:58))))</f>
        <v/>
      </c>
      <c r="D59" s="0" t="str">
        <f aca="false">IF(ROWS($1:58)&gt;COUNT($B:$B),"",INDEX('CART Data'!A:A,SMALL($B:$B,ROWS($1:58))))</f>
        <v/>
      </c>
    </row>
    <row r="60" customFormat="false" ht="14.25" hidden="false" customHeight="false" outlineLevel="0" collapsed="false">
      <c r="B60" s="0" t="str">
        <f aca="false">IF('CART Data'!B60=$A$1,ROW(),"")</f>
        <v/>
      </c>
      <c r="C60" s="0" t="str">
        <f aca="false">IF(ROWS($1:59)&gt;COUNT($B:$B),"",INDEX('CART Data'!B:B,SMALL($B:$B,ROWS($1:59))))</f>
        <v/>
      </c>
      <c r="D60" s="0" t="str">
        <f aca="false">IF(ROWS($1:59)&gt;COUNT($B:$B),"",INDEX('CART Data'!A:A,SMALL($B:$B,ROWS($1:59))))</f>
        <v/>
      </c>
    </row>
    <row r="61" customFormat="false" ht="14.25" hidden="false" customHeight="false" outlineLevel="0" collapsed="false">
      <c r="B61" s="0" t="str">
        <f aca="false">IF('CART Data'!B61=$A$1,ROW(),"")</f>
        <v/>
      </c>
      <c r="C61" s="0" t="str">
        <f aca="false">IF(ROWS($1:60)&gt;COUNT($B:$B),"",INDEX('CART Data'!B:B,SMALL($B:$B,ROWS($1:60))))</f>
        <v/>
      </c>
      <c r="D61" s="0" t="str">
        <f aca="false">IF(ROWS($1:60)&gt;COUNT($B:$B),"",INDEX('CART Data'!A:A,SMALL($B:$B,ROWS($1:60))))</f>
        <v/>
      </c>
    </row>
    <row r="62" customFormat="false" ht="14.25" hidden="false" customHeight="false" outlineLevel="0" collapsed="false">
      <c r="B62" s="0" t="str">
        <f aca="false">IF('CART Data'!B62=$A$1,ROW(),"")</f>
        <v/>
      </c>
      <c r="C62" s="0" t="str">
        <f aca="false">IF(ROWS($1:61)&gt;COUNT($B:$B),"",INDEX('CART Data'!B:B,SMALL($B:$B,ROWS($1:61))))</f>
        <v/>
      </c>
      <c r="D62" s="0" t="str">
        <f aca="false">IF(ROWS($1:61)&gt;COUNT($B:$B),"",INDEX('CART Data'!A:A,SMALL($B:$B,ROWS($1:61))))</f>
        <v/>
      </c>
    </row>
    <row r="63" customFormat="false" ht="14.25" hidden="false" customHeight="false" outlineLevel="0" collapsed="false">
      <c r="B63" s="0" t="str">
        <f aca="false">IF('CART Data'!B63=$A$1,ROW(),"")</f>
        <v/>
      </c>
      <c r="C63" s="0" t="str">
        <f aca="false">IF(ROWS($1:62)&gt;COUNT($B:$B),"",INDEX('CART Data'!B:B,SMALL($B:$B,ROWS($1:62))))</f>
        <v/>
      </c>
      <c r="D63" s="0" t="str">
        <f aca="false">IF(ROWS($1:62)&gt;COUNT($B:$B),"",INDEX('CART Data'!A:A,SMALL($B:$B,ROWS($1:62))))</f>
        <v/>
      </c>
    </row>
    <row r="64" customFormat="false" ht="14.25" hidden="false" customHeight="false" outlineLevel="0" collapsed="false">
      <c r="B64" s="0" t="str">
        <f aca="false">IF('CART Data'!B64=$A$1,ROW(),"")</f>
        <v/>
      </c>
      <c r="C64" s="0" t="str">
        <f aca="false">IF(ROWS($1:63)&gt;COUNT($B:$B),"",INDEX('CART Data'!B:B,SMALL($B:$B,ROWS($1:63))))</f>
        <v/>
      </c>
      <c r="D64" s="0" t="str">
        <f aca="false">IF(ROWS($1:63)&gt;COUNT($B:$B),"",INDEX('CART Data'!A:A,SMALL($B:$B,ROWS($1:63))))</f>
        <v/>
      </c>
    </row>
    <row r="65" customFormat="false" ht="14.25" hidden="false" customHeight="false" outlineLevel="0" collapsed="false">
      <c r="B65" s="0" t="str">
        <f aca="false">IF('CART Data'!B65=$A$1,ROW(),"")</f>
        <v/>
      </c>
      <c r="C65" s="0" t="str">
        <f aca="false">IF(ROWS($1:64)&gt;COUNT($B:$B),"",INDEX('CART Data'!B:B,SMALL($B:$B,ROWS($1:64))))</f>
        <v/>
      </c>
      <c r="D65" s="0" t="str">
        <f aca="false">IF(ROWS($1:64)&gt;COUNT($B:$B),"",INDEX('CART Data'!A:A,SMALL($B:$B,ROWS($1:64))))</f>
        <v/>
      </c>
    </row>
    <row r="66" customFormat="false" ht="14.25" hidden="false" customHeight="false" outlineLevel="0" collapsed="false">
      <c r="B66" s="0" t="str">
        <f aca="false">IF('CART Data'!B66=$A$1,ROW(),"")</f>
        <v/>
      </c>
      <c r="C66" s="0" t="str">
        <f aca="false">IF(ROWS($1:65)&gt;COUNT($B:$B),"",INDEX('CART Data'!B:B,SMALL($B:$B,ROWS($1:65))))</f>
        <v/>
      </c>
      <c r="D66" s="0" t="str">
        <f aca="false">IF(ROWS($1:65)&gt;COUNT($B:$B),"",INDEX('CART Data'!A:A,SMALL($B:$B,ROWS($1:65))))</f>
        <v/>
      </c>
    </row>
    <row r="67" customFormat="false" ht="14.25" hidden="false" customHeight="false" outlineLevel="0" collapsed="false">
      <c r="B67" s="0" t="str">
        <f aca="false">IF('CART Data'!B67=$A$1,ROW(),"")</f>
        <v/>
      </c>
      <c r="C67" s="0" t="str">
        <f aca="false">IF(ROWS($1:66)&gt;COUNT($B:$B),"",INDEX('CART Data'!B:B,SMALL($B:$B,ROWS($1:66))))</f>
        <v/>
      </c>
      <c r="D67" s="0" t="str">
        <f aca="false">IF(ROWS($1:66)&gt;COUNT($B:$B),"",INDEX('CART Data'!A:A,SMALL($B:$B,ROWS($1:66))))</f>
        <v/>
      </c>
    </row>
    <row r="68" customFormat="false" ht="14.25" hidden="false" customHeight="false" outlineLevel="0" collapsed="false">
      <c r="B68" s="0" t="str">
        <f aca="false">IF('CART Data'!B68=$A$1,ROW(),"")</f>
        <v/>
      </c>
      <c r="C68" s="0" t="str">
        <f aca="false">IF(ROWS($1:67)&gt;COUNT($B:$B),"",INDEX('CART Data'!B:B,SMALL($B:$B,ROWS($1:67))))</f>
        <v/>
      </c>
      <c r="D68" s="0" t="str">
        <f aca="false">IF(ROWS($1:67)&gt;COUNT($B:$B),"",INDEX('CART Data'!A:A,SMALL($B:$B,ROWS($1:67))))</f>
        <v/>
      </c>
    </row>
    <row r="69" customFormat="false" ht="14.25" hidden="false" customHeight="false" outlineLevel="0" collapsed="false">
      <c r="B69" s="0" t="str">
        <f aca="false">IF('CART Data'!B69=$A$1,ROW(),"")</f>
        <v/>
      </c>
      <c r="C69" s="0" t="str">
        <f aca="false">IF(ROWS($1:68)&gt;COUNT($B:$B),"",INDEX('CART Data'!B:B,SMALL($B:$B,ROWS($1:68))))</f>
        <v/>
      </c>
      <c r="D69" s="0" t="str">
        <f aca="false">IF(ROWS($1:68)&gt;COUNT($B:$B),"",INDEX('CART Data'!A:A,SMALL($B:$B,ROWS($1:68))))</f>
        <v/>
      </c>
    </row>
    <row r="70" customFormat="false" ht="14.25" hidden="false" customHeight="false" outlineLevel="0" collapsed="false">
      <c r="B70" s="0" t="str">
        <f aca="false">IF('CART Data'!B70=$A$1,ROW(),"")</f>
        <v/>
      </c>
      <c r="C70" s="0" t="str">
        <f aca="false">IF(ROWS($1:69)&gt;COUNT($B:$B),"",INDEX('CART Data'!B:B,SMALL($B:$B,ROWS($1:69))))</f>
        <v/>
      </c>
      <c r="D70" s="0" t="str">
        <f aca="false">IF(ROWS($1:69)&gt;COUNT($B:$B),"",INDEX('CART Data'!A:A,SMALL($B:$B,ROWS($1:69))))</f>
        <v/>
      </c>
    </row>
    <row r="71" customFormat="false" ht="14.25" hidden="false" customHeight="false" outlineLevel="0" collapsed="false">
      <c r="B71" s="0" t="str">
        <f aca="false">IF('CART Data'!B71=$A$1,ROW(),"")</f>
        <v/>
      </c>
      <c r="C71" s="0" t="str">
        <f aca="false">IF(ROWS($1:70)&gt;COUNT($B:$B),"",INDEX('CART Data'!B:B,SMALL($B:$B,ROWS($1:70))))</f>
        <v/>
      </c>
      <c r="D71" s="0" t="str">
        <f aca="false">IF(ROWS($1:70)&gt;COUNT($B:$B),"",INDEX('CART Data'!A:A,SMALL($B:$B,ROWS($1:70))))</f>
        <v/>
      </c>
    </row>
    <row r="72" customFormat="false" ht="14.25" hidden="false" customHeight="false" outlineLevel="0" collapsed="false">
      <c r="B72" s="0" t="str">
        <f aca="false">IF('CART Data'!B72=$A$1,ROW(),"")</f>
        <v/>
      </c>
      <c r="C72" s="0" t="str">
        <f aca="false">IF(ROWS($1:71)&gt;COUNT($B:$B),"",INDEX('CART Data'!B:B,SMALL($B:$B,ROWS($1:71))))</f>
        <v/>
      </c>
      <c r="D72" s="0" t="str">
        <f aca="false">IF(ROWS($1:71)&gt;COUNT($B:$B),"",INDEX('CART Data'!A:A,SMALL($B:$B,ROWS($1:71))))</f>
        <v/>
      </c>
    </row>
    <row r="73" customFormat="false" ht="14.25" hidden="false" customHeight="false" outlineLevel="0" collapsed="false">
      <c r="B73" s="0" t="str">
        <f aca="false">IF('CART Data'!B73=$A$1,ROW(),"")</f>
        <v/>
      </c>
      <c r="C73" s="0" t="str">
        <f aca="false">IF(ROWS($1:72)&gt;COUNT($B:$B),"",INDEX('CART Data'!B:B,SMALL($B:$B,ROWS($1:72))))</f>
        <v/>
      </c>
      <c r="D73" s="0" t="str">
        <f aca="false">IF(ROWS($1:72)&gt;COUNT($B:$B),"",INDEX('CART Data'!A:A,SMALL($B:$B,ROWS($1:72))))</f>
        <v/>
      </c>
    </row>
    <row r="74" customFormat="false" ht="14.25" hidden="false" customHeight="false" outlineLevel="0" collapsed="false">
      <c r="B74" s="0" t="str">
        <f aca="false">IF('CART Data'!B74=$A$1,ROW(),"")</f>
        <v/>
      </c>
      <c r="C74" s="0" t="str">
        <f aca="false">IF(ROWS($1:73)&gt;COUNT($B:$B),"",INDEX('CART Data'!B:B,SMALL($B:$B,ROWS($1:73))))</f>
        <v/>
      </c>
      <c r="D74" s="0" t="str">
        <f aca="false">IF(ROWS($1:73)&gt;COUNT($B:$B),"",INDEX('CART Data'!A:A,SMALL($B:$B,ROWS($1:73))))</f>
        <v/>
      </c>
    </row>
    <row r="75" customFormat="false" ht="14.25" hidden="false" customHeight="false" outlineLevel="0" collapsed="false">
      <c r="B75" s="0" t="str">
        <f aca="false">IF('CART Data'!B75=$A$1,ROW(),"")</f>
        <v/>
      </c>
      <c r="C75" s="0" t="str">
        <f aca="false">IF(ROWS($1:74)&gt;COUNT($B:$B),"",INDEX('CART Data'!B:B,SMALL($B:$B,ROWS($1:74))))</f>
        <v/>
      </c>
      <c r="D75" s="0" t="str">
        <f aca="false">IF(ROWS($1:74)&gt;COUNT($B:$B),"",INDEX('CART Data'!A:A,SMALL($B:$B,ROWS($1:74))))</f>
        <v/>
      </c>
    </row>
    <row r="76" customFormat="false" ht="14.25" hidden="false" customHeight="false" outlineLevel="0" collapsed="false">
      <c r="B76" s="0" t="str">
        <f aca="false">IF('CART Data'!B76=$A$1,ROW(),"")</f>
        <v/>
      </c>
      <c r="C76" s="0" t="str">
        <f aca="false">IF(ROWS($1:75)&gt;COUNT($B:$B),"",INDEX('CART Data'!B:B,SMALL($B:$B,ROWS($1:75))))</f>
        <v/>
      </c>
      <c r="D76" s="0" t="str">
        <f aca="false">IF(ROWS($1:75)&gt;COUNT($B:$B),"",INDEX('CART Data'!A:A,SMALL($B:$B,ROWS($1:75))))</f>
        <v/>
      </c>
    </row>
    <row r="77" customFormat="false" ht="14.25" hidden="false" customHeight="false" outlineLevel="0" collapsed="false">
      <c r="B77" s="0" t="str">
        <f aca="false">IF('CART Data'!B77=$A$1,ROW(),"")</f>
        <v/>
      </c>
      <c r="C77" s="0" t="str">
        <f aca="false">IF(ROWS($1:76)&gt;COUNT($B:$B),"",INDEX('CART Data'!B:B,SMALL($B:$B,ROWS($1:76))))</f>
        <v/>
      </c>
      <c r="D77" s="0" t="str">
        <f aca="false">IF(ROWS($1:76)&gt;COUNT($B:$B),"",INDEX('CART Data'!A:A,SMALL($B:$B,ROWS($1:76))))</f>
        <v/>
      </c>
    </row>
    <row r="78" customFormat="false" ht="14.25" hidden="false" customHeight="false" outlineLevel="0" collapsed="false">
      <c r="B78" s="0" t="str">
        <f aca="false">IF('CART Data'!B78=$A$1,ROW(),"")</f>
        <v/>
      </c>
      <c r="C78" s="0" t="str">
        <f aca="false">IF(ROWS($1:77)&gt;COUNT($B:$B),"",INDEX('CART Data'!B:B,SMALL($B:$B,ROWS($1:77))))</f>
        <v/>
      </c>
      <c r="D78" s="0" t="str">
        <f aca="false">IF(ROWS($1:77)&gt;COUNT($B:$B),"",INDEX('CART Data'!A:A,SMALL($B:$B,ROWS($1:77))))</f>
        <v/>
      </c>
    </row>
    <row r="79" customFormat="false" ht="14.25" hidden="false" customHeight="false" outlineLevel="0" collapsed="false">
      <c r="B79" s="0" t="str">
        <f aca="false">IF('CART Data'!B79=$A$1,ROW(),"")</f>
        <v/>
      </c>
      <c r="C79" s="0" t="str">
        <f aca="false">IF(ROWS($1:78)&gt;COUNT($B:$B),"",INDEX('CART Data'!B:B,SMALL($B:$B,ROWS($1:78))))</f>
        <v/>
      </c>
      <c r="D79" s="0" t="str">
        <f aca="false">IF(ROWS($1:78)&gt;COUNT($B:$B),"",INDEX('CART Data'!A:A,SMALL($B:$B,ROWS($1:78))))</f>
        <v/>
      </c>
    </row>
    <row r="80" customFormat="false" ht="14.25" hidden="false" customHeight="false" outlineLevel="0" collapsed="false">
      <c r="B80" s="0" t="str">
        <f aca="false">IF('CART Data'!B80=$A$1,ROW(),"")</f>
        <v/>
      </c>
      <c r="C80" s="0" t="str">
        <f aca="false">IF(ROWS($1:79)&gt;COUNT($B:$B),"",INDEX('CART Data'!B:B,SMALL($B:$B,ROWS($1:79))))</f>
        <v/>
      </c>
      <c r="D80" s="0" t="str">
        <f aca="false">IF(ROWS($1:79)&gt;COUNT($B:$B),"",INDEX('CART Data'!A:A,SMALL($B:$B,ROWS($1:79))))</f>
        <v/>
      </c>
    </row>
    <row r="81" customFormat="false" ht="14.25" hidden="false" customHeight="false" outlineLevel="0" collapsed="false">
      <c r="B81" s="0" t="str">
        <f aca="false">IF('CART Data'!B81=$A$1,ROW(),"")</f>
        <v/>
      </c>
      <c r="C81" s="0" t="str">
        <f aca="false">IF(ROWS($1:80)&gt;COUNT($B:$B),"",INDEX('CART Data'!B:B,SMALL($B:$B,ROWS($1:80))))</f>
        <v/>
      </c>
      <c r="D81" s="0" t="str">
        <f aca="false">IF(ROWS($1:80)&gt;COUNT($B:$B),"",INDEX('CART Data'!A:A,SMALL($B:$B,ROWS($1:80))))</f>
        <v/>
      </c>
    </row>
    <row r="82" customFormat="false" ht="14.25" hidden="false" customHeight="false" outlineLevel="0" collapsed="false">
      <c r="B82" s="0" t="str">
        <f aca="false">IF('CART Data'!B82=$A$1,ROW(),"")</f>
        <v/>
      </c>
      <c r="C82" s="0" t="str">
        <f aca="false">IF(ROWS($1:81)&gt;COUNT($B:$B),"",INDEX('CART Data'!B:B,SMALL($B:$B,ROWS($1:81))))</f>
        <v/>
      </c>
      <c r="D82" s="0" t="str">
        <f aca="false">IF(ROWS($1:81)&gt;COUNT($B:$B),"",INDEX('CART Data'!A:A,SMALL($B:$B,ROWS($1:81))))</f>
        <v/>
      </c>
    </row>
    <row r="83" customFormat="false" ht="14.25" hidden="false" customHeight="false" outlineLevel="0" collapsed="false">
      <c r="B83" s="0" t="str">
        <f aca="false">IF('CART Data'!B83=$A$1,ROW(),"")</f>
        <v/>
      </c>
      <c r="C83" s="0" t="str">
        <f aca="false">IF(ROWS($1:82)&gt;COUNT($B:$B),"",INDEX('CART Data'!B:B,SMALL($B:$B,ROWS($1:82))))</f>
        <v/>
      </c>
      <c r="D83" s="0" t="str">
        <f aca="false">IF(ROWS($1:82)&gt;COUNT($B:$B),"",INDEX('CART Data'!A:A,SMALL($B:$B,ROWS($1:82))))</f>
        <v/>
      </c>
    </row>
    <row r="84" customFormat="false" ht="14.25" hidden="false" customHeight="false" outlineLevel="0" collapsed="false">
      <c r="B84" s="0" t="str">
        <f aca="false">IF('CART Data'!B84=$A$1,ROW(),"")</f>
        <v/>
      </c>
      <c r="C84" s="0" t="str">
        <f aca="false">IF(ROWS($1:83)&gt;COUNT($B:$B),"",INDEX('CART Data'!B:B,SMALL($B:$B,ROWS($1:83))))</f>
        <v/>
      </c>
      <c r="D84" s="0" t="str">
        <f aca="false">IF(ROWS($1:83)&gt;COUNT($B:$B),"",INDEX('CART Data'!A:A,SMALL($B:$B,ROWS($1:83))))</f>
        <v/>
      </c>
    </row>
    <row r="85" customFormat="false" ht="14.25" hidden="false" customHeight="false" outlineLevel="0" collapsed="false">
      <c r="B85" s="0" t="str">
        <f aca="false">IF('CART Data'!B85=$A$1,ROW(),"")</f>
        <v/>
      </c>
      <c r="C85" s="0" t="str">
        <f aca="false">IF(ROWS($1:84)&gt;COUNT($B:$B),"",INDEX('CART Data'!B:B,SMALL($B:$B,ROWS($1:84))))</f>
        <v/>
      </c>
      <c r="D85" s="0" t="str">
        <f aca="false">IF(ROWS($1:84)&gt;COUNT($B:$B),"",INDEX('CART Data'!A:A,SMALL($B:$B,ROWS($1:84))))</f>
        <v/>
      </c>
    </row>
    <row r="86" customFormat="false" ht="14.25" hidden="false" customHeight="false" outlineLevel="0" collapsed="false">
      <c r="B86" s="0" t="str">
        <f aca="false">IF('CART Data'!B86=$A$1,ROW(),"")</f>
        <v/>
      </c>
      <c r="C86" s="0" t="str">
        <f aca="false">IF(ROWS($1:85)&gt;COUNT($B:$B),"",INDEX('CART Data'!B:B,SMALL($B:$B,ROWS($1:85))))</f>
        <v/>
      </c>
      <c r="D86" s="0" t="str">
        <f aca="false">IF(ROWS($1:85)&gt;COUNT($B:$B),"",INDEX('CART Data'!A:A,SMALL($B:$B,ROWS($1:85))))</f>
        <v/>
      </c>
    </row>
    <row r="87" customFormat="false" ht="14.25" hidden="false" customHeight="false" outlineLevel="0" collapsed="false">
      <c r="B87" s="0" t="str">
        <f aca="false">IF('CART Data'!B87=$A$1,ROW(),"")</f>
        <v/>
      </c>
      <c r="C87" s="0" t="str">
        <f aca="false">IF(ROWS($1:86)&gt;COUNT($B:$B),"",INDEX('CART Data'!B:B,SMALL($B:$B,ROWS($1:86))))</f>
        <v/>
      </c>
      <c r="D87" s="0" t="str">
        <f aca="false">IF(ROWS($1:86)&gt;COUNT($B:$B),"",INDEX('CART Data'!A:A,SMALL($B:$B,ROWS($1:86))))</f>
        <v/>
      </c>
    </row>
    <row r="88" customFormat="false" ht="14.25" hidden="false" customHeight="false" outlineLevel="0" collapsed="false">
      <c r="B88" s="0" t="str">
        <f aca="false">IF('CART Data'!B88=$A$1,ROW(),"")</f>
        <v/>
      </c>
      <c r="C88" s="0" t="str">
        <f aca="false">IF(ROWS($1:87)&gt;COUNT($B:$B),"",INDEX('CART Data'!B:B,SMALL($B:$B,ROWS($1:87))))</f>
        <v/>
      </c>
      <c r="D88" s="0" t="str">
        <f aca="false">IF(ROWS($1:87)&gt;COUNT($B:$B),"",INDEX('CART Data'!A:A,SMALL($B:$B,ROWS($1:87))))</f>
        <v/>
      </c>
    </row>
    <row r="89" customFormat="false" ht="14.25" hidden="false" customHeight="false" outlineLevel="0" collapsed="false">
      <c r="B89" s="0" t="str">
        <f aca="false">IF('CART Data'!B89=$A$1,ROW(),"")</f>
        <v/>
      </c>
      <c r="C89" s="0" t="str">
        <f aca="false">IF(ROWS($1:88)&gt;COUNT($B:$B),"",INDEX('CART Data'!B:B,SMALL($B:$B,ROWS($1:88))))</f>
        <v/>
      </c>
      <c r="D89" s="0" t="str">
        <f aca="false">IF(ROWS($1:88)&gt;COUNT($B:$B),"",INDEX('CART Data'!A:A,SMALL($B:$B,ROWS($1:88))))</f>
        <v/>
      </c>
    </row>
    <row r="90" customFormat="false" ht="14.25" hidden="false" customHeight="false" outlineLevel="0" collapsed="false">
      <c r="B90" s="0" t="str">
        <f aca="false">IF('CART Data'!B90=$A$1,ROW(),"")</f>
        <v/>
      </c>
      <c r="C90" s="0" t="str">
        <f aca="false">IF(ROWS($1:89)&gt;COUNT($B:$B),"",INDEX('CART Data'!B:B,SMALL($B:$B,ROWS($1:89))))</f>
        <v/>
      </c>
      <c r="D90" s="0" t="str">
        <f aca="false">IF(ROWS($1:89)&gt;COUNT($B:$B),"",INDEX('CART Data'!A:A,SMALL($B:$B,ROWS($1:89))))</f>
        <v/>
      </c>
    </row>
    <row r="91" customFormat="false" ht="14.25" hidden="false" customHeight="false" outlineLevel="0" collapsed="false">
      <c r="B91" s="0" t="str">
        <f aca="false">IF('CART Data'!B91=$A$1,ROW(),"")</f>
        <v/>
      </c>
      <c r="C91" s="0" t="str">
        <f aca="false">IF(ROWS($1:90)&gt;COUNT($B:$B),"",INDEX('CART Data'!B:B,SMALL($B:$B,ROWS($1:90))))</f>
        <v/>
      </c>
      <c r="D91" s="0" t="str">
        <f aca="false">IF(ROWS($1:90)&gt;COUNT($B:$B),"",INDEX('CART Data'!A:A,SMALL($B:$B,ROWS($1:90))))</f>
        <v/>
      </c>
    </row>
    <row r="92" customFormat="false" ht="14.25" hidden="false" customHeight="false" outlineLevel="0" collapsed="false">
      <c r="B92" s="0" t="str">
        <f aca="false">IF('CART Data'!B92=$A$1,ROW(),"")</f>
        <v/>
      </c>
      <c r="C92" s="0" t="str">
        <f aca="false">IF(ROWS($1:91)&gt;COUNT($B:$B),"",INDEX('CART Data'!B:B,SMALL($B:$B,ROWS($1:91))))</f>
        <v/>
      </c>
      <c r="D92" s="0" t="str">
        <f aca="false">IF(ROWS($1:91)&gt;COUNT($B:$B),"",INDEX('CART Data'!A:A,SMALL($B:$B,ROWS($1:91))))</f>
        <v/>
      </c>
    </row>
    <row r="93" customFormat="false" ht="14.25" hidden="false" customHeight="false" outlineLevel="0" collapsed="false">
      <c r="B93" s="0" t="str">
        <f aca="false">IF('CART Data'!B93=$A$1,ROW(),"")</f>
        <v/>
      </c>
      <c r="C93" s="0" t="str">
        <f aca="false">IF(ROWS($1:92)&gt;COUNT($B:$B),"",INDEX('CART Data'!B:B,SMALL($B:$B,ROWS($1:92))))</f>
        <v/>
      </c>
      <c r="D93" s="0" t="str">
        <f aca="false">IF(ROWS($1:92)&gt;COUNT($B:$B),"",INDEX('CART Data'!A:A,SMALL($B:$B,ROWS($1:92))))</f>
        <v/>
      </c>
    </row>
    <row r="94" customFormat="false" ht="14.25" hidden="false" customHeight="false" outlineLevel="0" collapsed="false">
      <c r="B94" s="0" t="str">
        <f aca="false">IF('CART Data'!B94=$A$1,ROW(),"")</f>
        <v/>
      </c>
      <c r="C94" s="0" t="str">
        <f aca="false">IF(ROWS($1:93)&gt;COUNT($B:$B),"",INDEX('CART Data'!B:B,SMALL($B:$B,ROWS($1:93))))</f>
        <v/>
      </c>
      <c r="D94" s="0" t="str">
        <f aca="false">IF(ROWS($1:93)&gt;COUNT($B:$B),"",INDEX('CART Data'!A:A,SMALL($B:$B,ROWS($1:93))))</f>
        <v/>
      </c>
    </row>
    <row r="95" customFormat="false" ht="14.25" hidden="false" customHeight="false" outlineLevel="0" collapsed="false">
      <c r="B95" s="0" t="str">
        <f aca="false">IF('CART Data'!B95=$A$1,ROW(),"")</f>
        <v/>
      </c>
      <c r="C95" s="0" t="str">
        <f aca="false">IF(ROWS($1:94)&gt;COUNT($B:$B),"",INDEX('CART Data'!B:B,SMALL($B:$B,ROWS($1:94))))</f>
        <v/>
      </c>
      <c r="D95" s="0" t="str">
        <f aca="false">IF(ROWS($1:94)&gt;COUNT($B:$B),"",INDEX('CART Data'!A:A,SMALL($B:$B,ROWS($1:94))))</f>
        <v/>
      </c>
    </row>
    <row r="96" customFormat="false" ht="14.25" hidden="false" customHeight="false" outlineLevel="0" collapsed="false">
      <c r="B96" s="0" t="str">
        <f aca="false">IF('CART Data'!B96=$A$1,ROW(),"")</f>
        <v/>
      </c>
      <c r="C96" s="0" t="str">
        <f aca="false">IF(ROWS($1:95)&gt;COUNT($B:$B),"",INDEX('CART Data'!B:B,SMALL($B:$B,ROWS($1:95))))</f>
        <v/>
      </c>
      <c r="D96" s="0" t="str">
        <f aca="false">IF(ROWS($1:95)&gt;COUNT($B:$B),"",INDEX('CART Data'!A:A,SMALL($B:$B,ROWS($1:95))))</f>
        <v/>
      </c>
    </row>
    <row r="97" customFormat="false" ht="14.25" hidden="false" customHeight="false" outlineLevel="0" collapsed="false">
      <c r="B97" s="0" t="str">
        <f aca="false">IF('CART Data'!B97=$A$1,ROW(),"")</f>
        <v/>
      </c>
      <c r="C97" s="0" t="str">
        <f aca="false">IF(ROWS($1:96)&gt;COUNT($B:$B),"",INDEX('CART Data'!B:B,SMALL($B:$B,ROWS($1:96))))</f>
        <v/>
      </c>
      <c r="D97" s="0" t="str">
        <f aca="false">IF(ROWS($1:96)&gt;COUNT($B:$B),"",INDEX('CART Data'!A:A,SMALL($B:$B,ROWS($1:96))))</f>
        <v/>
      </c>
    </row>
    <row r="98" customFormat="false" ht="14.25" hidden="false" customHeight="false" outlineLevel="0" collapsed="false">
      <c r="B98" s="0" t="str">
        <f aca="false">IF('CART Data'!B98=$A$1,ROW(),"")</f>
        <v/>
      </c>
      <c r="C98" s="0" t="str">
        <f aca="false">IF(ROWS($1:97)&gt;COUNT($B:$B),"",INDEX('CART Data'!B:B,SMALL($B:$B,ROWS($1:97))))</f>
        <v/>
      </c>
      <c r="D98" s="0" t="str">
        <f aca="false">IF(ROWS($1:97)&gt;COUNT($B:$B),"",INDEX('CART Data'!A:A,SMALL($B:$B,ROWS($1:97))))</f>
        <v/>
      </c>
    </row>
    <row r="99" customFormat="false" ht="14.25" hidden="false" customHeight="false" outlineLevel="0" collapsed="false">
      <c r="B99" s="0" t="str">
        <f aca="false">IF('CART Data'!B99=$A$1,ROW(),"")</f>
        <v/>
      </c>
      <c r="C99" s="0" t="str">
        <f aca="false">IF(ROWS($1:98)&gt;COUNT($B:$B),"",INDEX('CART Data'!B:B,SMALL($B:$B,ROWS($1:98))))</f>
        <v/>
      </c>
      <c r="D99" s="0" t="str">
        <f aca="false">IF(ROWS($1:98)&gt;COUNT($B:$B),"",INDEX('CART Data'!A:A,SMALL($B:$B,ROWS($1:98))))</f>
        <v/>
      </c>
    </row>
    <row r="100" customFormat="false" ht="14.25" hidden="false" customHeight="false" outlineLevel="0" collapsed="false">
      <c r="B100" s="0" t="str">
        <f aca="false">IF('CART Data'!B100=$A$1,ROW(),"")</f>
        <v/>
      </c>
      <c r="C100" s="0" t="str">
        <f aca="false">IF(ROWS($1:99)&gt;COUNT($B:$B),"",INDEX('CART Data'!B:B,SMALL($B:$B,ROWS($1:99))))</f>
        <v/>
      </c>
      <c r="D100" s="0" t="str">
        <f aca="false">IF(ROWS($1:99)&gt;COUNT($B:$B),"",INDEX('CART Data'!A:A,SMALL($B:$B,ROWS($1:99))))</f>
        <v/>
      </c>
    </row>
  </sheetData>
  <sheetProtection sheet="true" objects="true" scenarios="true"/>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25" zeroHeight="false" outlineLevelRow="0" outlineLevelCol="0"/>
  <cols>
    <col collapsed="false" customWidth="true" hidden="true" outlineLevel="0" max="3" min="2" style="0" width="11.53"/>
    <col collapsed="false" customWidth="true" hidden="false" outlineLevel="0" max="4" min="4" style="0" width="176.56"/>
  </cols>
  <sheetData>
    <row r="1" customFormat="false" ht="14.25" hidden="false" customHeight="false" outlineLevel="0" collapsed="false">
      <c r="A1" s="179" t="s">
        <v>7</v>
      </c>
      <c r="D1" s="179" t="s">
        <v>297</v>
      </c>
    </row>
    <row r="2" customFormat="false" ht="14.25" hidden="false" customHeight="false" outlineLevel="0" collapsed="false">
      <c r="B2" s="0" t="str">
        <f aca="false">IF('CART Data'!B2=$A$1,ROW(),"")</f>
        <v/>
      </c>
      <c r="C2" s="0" t="str">
        <f aca="false">IF(ROWS($1:1)&gt;COUNT($B:$B),"",INDEX('CART Data'!B:B,SMALL($B:$B,ROWS($1:1))))</f>
        <v>Action</v>
      </c>
      <c r="D2" s="0" t="str">
        <f aca="false">IF(ROWS($1:1)&gt;COUNT($B:$B),"",INDEX('CART Data'!A:A,SMALL($B:$B,ROWS($1:1))))</f>
        <v>MOR Brunswick Reach (MM 200-300), Miami Gauge; Action Phase: 25 &amp; Above; Current: URL error ft; 24-Hr Trend: ; Long-Term:    </v>
      </c>
    </row>
    <row r="3" customFormat="false" ht="14.25" hidden="false" customHeight="false" outlineLevel="0" collapsed="false">
      <c r="B3" s="0" t="str">
        <f aca="false">IF('CART Data'!B3=$A$1,ROW(),"")</f>
        <v/>
      </c>
      <c r="C3" s="0" t="str">
        <f aca="false">IF(ROWS($1:2)&gt;COUNT($B:$B),"",INDEX('CART Data'!B:B,SMALL($B:$B,ROWS($1:2))))</f>
        <v/>
      </c>
      <c r="D3" s="0" t="str">
        <f aca="false">IF(ROWS($1:2)&gt;COUNT($B:$B),"",INDEX('CART Data'!A:A,SMALL($B:$B,ROWS($1:2))))</f>
        <v/>
      </c>
    </row>
    <row r="4" customFormat="false" ht="14.25" hidden="false" customHeight="false" outlineLevel="0" collapsed="false">
      <c r="B4" s="0" t="str">
        <f aca="false">IF('CART Data'!B4=$A$1,ROW(),"")</f>
        <v/>
      </c>
      <c r="C4" s="0" t="str">
        <f aca="false">IF(ROWS($1:3)&gt;COUNT($B:$B),"",INDEX('CART Data'!B:B,SMALL($B:$B,ROWS($1:3))))</f>
        <v/>
      </c>
      <c r="D4" s="0" t="str">
        <f aca="false">IF(ROWS($1:3)&gt;COUNT($B:$B),"",INDEX('CART Data'!A:A,SMALL($B:$B,ROWS($1:3))))</f>
        <v/>
      </c>
    </row>
    <row r="5" customFormat="false" ht="14.25" hidden="false" customHeight="false" outlineLevel="0" collapsed="false">
      <c r="B5" s="0" t="str">
        <f aca="false">IF('CART Data'!B5=$A$1,ROW(),"")</f>
        <v/>
      </c>
      <c r="C5" s="0" t="str">
        <f aca="false">IF(ROWS($1:4)&gt;COUNT($B:$B),"",INDEX('CART Data'!B:B,SMALL($B:$B,ROWS($1:4))))</f>
        <v/>
      </c>
      <c r="D5" s="0" t="str">
        <f aca="false">IF(ROWS($1:4)&gt;COUNT($B:$B),"",INDEX('CART Data'!A:A,SMALL($B:$B,ROWS($1:4))))</f>
        <v/>
      </c>
    </row>
    <row r="6" customFormat="false" ht="14.25" hidden="false" customHeight="false" outlineLevel="0" collapsed="false">
      <c r="B6" s="0" t="str">
        <f aca="false">IF('CART Data'!B6=$A$1,ROW(),"")</f>
        <v/>
      </c>
      <c r="C6" s="0" t="str">
        <f aca="false">IF(ROWS($1:5)&gt;COUNT($B:$B),"",INDEX('CART Data'!B:B,SMALL($B:$B,ROWS($1:5))))</f>
        <v/>
      </c>
      <c r="D6" s="0" t="str">
        <f aca="false">IF(ROWS($1:5)&gt;COUNT($B:$B),"",INDEX('CART Data'!A:A,SMALL($B:$B,ROWS($1:5))))</f>
        <v/>
      </c>
    </row>
    <row r="7" customFormat="false" ht="14.25" hidden="false" customHeight="false" outlineLevel="0" collapsed="false">
      <c r="B7" s="0" t="str">
        <f aca="false">IF('CART Data'!B7=$A$1,ROW(),"")</f>
        <v/>
      </c>
      <c r="C7" s="0" t="str">
        <f aca="false">IF(ROWS($1:6)&gt;COUNT($B:$B),"",INDEX('CART Data'!B:B,SMALL($B:$B,ROWS($1:6))))</f>
        <v/>
      </c>
      <c r="D7" s="0" t="str">
        <f aca="false">IF(ROWS($1:6)&gt;COUNT($B:$B),"",INDEX('CART Data'!A:A,SMALL($B:$B,ROWS($1:6))))</f>
        <v/>
      </c>
    </row>
    <row r="8" customFormat="false" ht="14.25" hidden="false" customHeight="false" outlineLevel="0" collapsed="false">
      <c r="B8" s="0" t="str">
        <f aca="false">IF('CART Data'!B8=$A$1,ROW(),"")</f>
        <v/>
      </c>
      <c r="C8" s="0" t="str">
        <f aca="false">IF(ROWS($1:7)&gt;COUNT($B:$B),"",INDEX('CART Data'!B:B,SMALL($B:$B,ROWS($1:7))))</f>
        <v/>
      </c>
      <c r="D8" s="0" t="str">
        <f aca="false">IF(ROWS($1:7)&gt;COUNT($B:$B),"",INDEX('CART Data'!A:A,SMALL($B:$B,ROWS($1:7))))</f>
        <v/>
      </c>
    </row>
    <row r="9" customFormat="false" ht="14.25" hidden="false" customHeight="false" outlineLevel="0" collapsed="false">
      <c r="B9" s="0" t="str">
        <f aca="false">IF('CART Data'!B9=$A$1,ROW(),"")</f>
        <v/>
      </c>
      <c r="C9" s="0" t="str">
        <f aca="false">IF(ROWS($1:8)&gt;COUNT($B:$B),"",INDEX('CART Data'!B:B,SMALL($B:$B,ROWS($1:8))))</f>
        <v/>
      </c>
      <c r="D9" s="0" t="str">
        <f aca="false">IF(ROWS($1:8)&gt;COUNT($B:$B),"",INDEX('CART Data'!A:A,SMALL($B:$B,ROWS($1:8))))</f>
        <v/>
      </c>
    </row>
    <row r="10" customFormat="false" ht="14.25" hidden="false" customHeight="false" outlineLevel="0" collapsed="false">
      <c r="B10" s="0" t="str">
        <f aca="false">IF('CART Data'!B10=$A$1,ROW(),"")</f>
        <v/>
      </c>
      <c r="C10" s="0" t="str">
        <f aca="false">IF(ROWS($1:9)&gt;COUNT($B:$B),"",INDEX('CART Data'!B:B,SMALL($B:$B,ROWS($1:9))))</f>
        <v/>
      </c>
      <c r="D10" s="0" t="str">
        <f aca="false">IF(ROWS($1:9)&gt;COUNT($B:$B),"",INDEX('CART Data'!A:A,SMALL($B:$B,ROWS($1:9))))</f>
        <v/>
      </c>
    </row>
    <row r="11" customFormat="false" ht="14.25" hidden="false" customHeight="false" outlineLevel="0" collapsed="false">
      <c r="B11" s="0" t="str">
        <f aca="false">IF('CART Data'!B11=$A$1,ROW(),"")</f>
        <v/>
      </c>
      <c r="C11" s="0" t="str">
        <f aca="false">IF(ROWS($1:10)&gt;COUNT($B:$B),"",INDEX('CART Data'!B:B,SMALL($B:$B,ROWS($1:10))))</f>
        <v/>
      </c>
      <c r="D11" s="0" t="str">
        <f aca="false">IF(ROWS($1:10)&gt;COUNT($B:$B),"",INDEX('CART Data'!A:A,SMALL($B:$B,ROWS($1:10))))</f>
        <v/>
      </c>
    </row>
    <row r="12" customFormat="false" ht="14.25" hidden="false" customHeight="false" outlineLevel="0" collapsed="false">
      <c r="B12" s="0" t="str">
        <f aca="false">IF('CART Data'!B12=$A$1,ROW(),"")</f>
        <v/>
      </c>
      <c r="C12" s="0" t="str">
        <f aca="false">IF(ROWS($1:11)&gt;COUNT($B:$B),"",INDEX('CART Data'!B:B,SMALL($B:$B,ROWS($1:11))))</f>
        <v/>
      </c>
      <c r="D12" s="0" t="str">
        <f aca="false">IF(ROWS($1:11)&gt;COUNT($B:$B),"",INDEX('CART Data'!A:A,SMALL($B:$B,ROWS($1:11))))</f>
        <v/>
      </c>
    </row>
    <row r="13" customFormat="false" ht="14.25" hidden="false" customHeight="false" outlineLevel="0" collapsed="false">
      <c r="B13" s="0" t="str">
        <f aca="false">IF('CART Data'!B13=$A$1,ROW(),"")</f>
        <v/>
      </c>
      <c r="C13" s="0" t="str">
        <f aca="false">IF(ROWS($1:12)&gt;COUNT($B:$B),"",INDEX('CART Data'!B:B,SMALL($B:$B,ROWS($1:12))))</f>
        <v/>
      </c>
      <c r="D13" s="0" t="str">
        <f aca="false">IF(ROWS($1:12)&gt;COUNT($B:$B),"",INDEX('CART Data'!A:A,SMALL($B:$B,ROWS($1:12))))</f>
        <v/>
      </c>
    </row>
    <row r="14" customFormat="false" ht="14.25" hidden="false" customHeight="false" outlineLevel="0" collapsed="false">
      <c r="B14" s="0" t="str">
        <f aca="false">IF('CART Data'!B14=$A$1,ROW(),"")</f>
        <v/>
      </c>
      <c r="C14" s="0" t="str">
        <f aca="false">IF(ROWS($1:13)&gt;COUNT($B:$B),"",INDEX('CART Data'!B:B,SMALL($B:$B,ROWS($1:13))))</f>
        <v/>
      </c>
      <c r="D14" s="0" t="str">
        <f aca="false">IF(ROWS($1:13)&gt;COUNT($B:$B),"",INDEX('CART Data'!A:A,SMALL($B:$B,ROWS($1:13))))</f>
        <v/>
      </c>
    </row>
    <row r="15" customFormat="false" ht="14.25" hidden="false" customHeight="false" outlineLevel="0" collapsed="false">
      <c r="B15" s="0" t="str">
        <f aca="false">IF('CART Data'!B15=$A$1,ROW(),"")</f>
        <v/>
      </c>
      <c r="C15" s="0" t="str">
        <f aca="false">IF(ROWS($1:14)&gt;COUNT($B:$B),"",INDEX('CART Data'!B:B,SMALL($B:$B,ROWS($1:14))))</f>
        <v/>
      </c>
      <c r="D15" s="0" t="str">
        <f aca="false">IF(ROWS($1:14)&gt;COUNT($B:$B),"",INDEX('CART Data'!A:A,SMALL($B:$B,ROWS($1:14))))</f>
        <v/>
      </c>
    </row>
    <row r="16" customFormat="false" ht="14.25" hidden="false" customHeight="false" outlineLevel="0" collapsed="false">
      <c r="B16" s="0" t="str">
        <f aca="false">IF('CART Data'!B16=$A$1,ROW(),"")</f>
        <v/>
      </c>
      <c r="C16" s="0" t="str">
        <f aca="false">IF(ROWS($1:15)&gt;COUNT($B:$B),"",INDEX('CART Data'!B:B,SMALL($B:$B,ROWS($1:15))))</f>
        <v/>
      </c>
      <c r="D16" s="0" t="str">
        <f aca="false">IF(ROWS($1:15)&gt;COUNT($B:$B),"",INDEX('CART Data'!A:A,SMALL($B:$B,ROWS($1:15))))</f>
        <v/>
      </c>
    </row>
    <row r="17" customFormat="false" ht="14.25" hidden="false" customHeight="false" outlineLevel="0" collapsed="false">
      <c r="B17" s="0" t="str">
        <f aca="false">IF('CART Data'!B17=$A$1,ROW(),"")</f>
        <v/>
      </c>
      <c r="C17" s="0" t="str">
        <f aca="false">IF(ROWS($1:16)&gt;COUNT($B:$B),"",INDEX('CART Data'!B:B,SMALL($B:$B,ROWS($1:16))))</f>
        <v/>
      </c>
      <c r="D17" s="0" t="str">
        <f aca="false">IF(ROWS($1:16)&gt;COUNT($B:$B),"",INDEX('CART Data'!A:A,SMALL($B:$B,ROWS($1:16))))</f>
        <v/>
      </c>
    </row>
    <row r="18" customFormat="false" ht="14.25" hidden="false" customHeight="false" outlineLevel="0" collapsed="false">
      <c r="B18" s="0" t="str">
        <f aca="false">IF('CART Data'!B18=$A$1,ROW(),"")</f>
        <v/>
      </c>
      <c r="C18" s="0" t="str">
        <f aca="false">IF(ROWS($1:17)&gt;COUNT($B:$B),"",INDEX('CART Data'!B:B,SMALL($B:$B,ROWS($1:17))))</f>
        <v/>
      </c>
      <c r="D18" s="0" t="str">
        <f aca="false">IF(ROWS($1:17)&gt;COUNT($B:$B),"",INDEX('CART Data'!A:A,SMALL($B:$B,ROWS($1:17))))</f>
        <v/>
      </c>
    </row>
    <row r="19" customFormat="false" ht="14.25" hidden="false" customHeight="false" outlineLevel="0" collapsed="false">
      <c r="B19" s="0" t="str">
        <f aca="false">IF('CART Data'!B19=$A$1,ROW(),"")</f>
        <v/>
      </c>
      <c r="C19" s="0" t="str">
        <f aca="false">IF(ROWS($1:18)&gt;COUNT($B:$B),"",INDEX('CART Data'!B:B,SMALL($B:$B,ROWS($1:18))))</f>
        <v/>
      </c>
      <c r="D19" s="0" t="str">
        <f aca="false">IF(ROWS($1:18)&gt;COUNT($B:$B),"",INDEX('CART Data'!A:A,SMALL($B:$B,ROWS($1:18))))</f>
        <v/>
      </c>
    </row>
    <row r="20" customFormat="false" ht="14.25" hidden="false" customHeight="false" outlineLevel="0" collapsed="false">
      <c r="B20" s="0" t="str">
        <f aca="false">IF('CART Data'!B20=$A$1,ROW(),"")</f>
        <v/>
      </c>
      <c r="C20" s="0" t="str">
        <f aca="false">IF(ROWS($1:19)&gt;COUNT($B:$B),"",INDEX('CART Data'!B:B,SMALL($B:$B,ROWS($1:19))))</f>
        <v/>
      </c>
      <c r="D20" s="0" t="str">
        <f aca="false">IF(ROWS($1:19)&gt;COUNT($B:$B),"",INDEX('CART Data'!A:A,SMALL($B:$B,ROWS($1:19))))</f>
        <v/>
      </c>
    </row>
    <row r="21" customFormat="false" ht="14.25" hidden="false" customHeight="false" outlineLevel="0" collapsed="false">
      <c r="B21" s="0" t="str">
        <f aca="false">IF('CART Data'!B21=$A$1,ROW(),"")</f>
        <v/>
      </c>
      <c r="C21" s="0" t="str">
        <f aca="false">IF(ROWS($1:20)&gt;COUNT($B:$B),"",INDEX('CART Data'!B:B,SMALL($B:$B,ROWS($1:20))))</f>
        <v/>
      </c>
      <c r="D21" s="0" t="str">
        <f aca="false">IF(ROWS($1:20)&gt;COUNT($B:$B),"",INDEX('CART Data'!A:A,SMALL($B:$B,ROWS($1:20))))</f>
        <v/>
      </c>
    </row>
    <row r="22" customFormat="false" ht="14.25" hidden="false" customHeight="false" outlineLevel="0" collapsed="false">
      <c r="B22" s="0" t="str">
        <f aca="false">IF('CART Data'!B22=$A$1,ROW(),"")</f>
        <v/>
      </c>
      <c r="C22" s="0" t="str">
        <f aca="false">IF(ROWS($1:21)&gt;COUNT($B:$B),"",INDEX('CART Data'!B:B,SMALL($B:$B,ROWS($1:21))))</f>
        <v/>
      </c>
      <c r="D22" s="0" t="str">
        <f aca="false">IF(ROWS($1:21)&gt;COUNT($B:$B),"",INDEX('CART Data'!A:A,SMALL($B:$B,ROWS($1:21))))</f>
        <v/>
      </c>
    </row>
    <row r="23" customFormat="false" ht="14.25" hidden="false" customHeight="false" outlineLevel="0" collapsed="false">
      <c r="B23" s="0" t="str">
        <f aca="false">IF('CART Data'!B23=$A$1,ROW(),"")</f>
        <v/>
      </c>
      <c r="C23" s="0" t="str">
        <f aca="false">IF(ROWS($1:22)&gt;COUNT($B:$B),"",INDEX('CART Data'!B:B,SMALL($B:$B,ROWS($1:22))))</f>
        <v/>
      </c>
      <c r="D23" s="0" t="str">
        <f aca="false">IF(ROWS($1:22)&gt;COUNT($B:$B),"",INDEX('CART Data'!A:A,SMALL($B:$B,ROWS($1:22))))</f>
        <v/>
      </c>
    </row>
    <row r="24" customFormat="false" ht="14.25" hidden="false" customHeight="false" outlineLevel="0" collapsed="false">
      <c r="B24" s="0" t="str">
        <f aca="false">IF('CART Data'!B24=$A$1,ROW(),"")</f>
        <v/>
      </c>
      <c r="C24" s="0" t="str">
        <f aca="false">IF(ROWS($1:23)&gt;COUNT($B:$B),"",INDEX('CART Data'!B:B,SMALL($B:$B,ROWS($1:23))))</f>
        <v/>
      </c>
      <c r="D24" s="0" t="str">
        <f aca="false">IF(ROWS($1:23)&gt;COUNT($B:$B),"",INDEX('CART Data'!A:A,SMALL($B:$B,ROWS($1:23))))</f>
        <v/>
      </c>
    </row>
    <row r="25" customFormat="false" ht="14.25" hidden="false" customHeight="false" outlineLevel="0" collapsed="false">
      <c r="B25" s="0" t="str">
        <f aca="false">IF('CART Data'!B25=$A$1,ROW(),"")</f>
        <v/>
      </c>
      <c r="C25" s="0" t="str">
        <f aca="false">IF(ROWS($1:24)&gt;COUNT($B:$B),"",INDEX('CART Data'!B:B,SMALL($B:$B,ROWS($1:24))))</f>
        <v/>
      </c>
      <c r="D25" s="0" t="str">
        <f aca="false">IF(ROWS($1:24)&gt;COUNT($B:$B),"",INDEX('CART Data'!A:A,SMALL($B:$B,ROWS($1:24))))</f>
        <v/>
      </c>
    </row>
    <row r="26" customFormat="false" ht="14.25" hidden="false" customHeight="false" outlineLevel="0" collapsed="false">
      <c r="B26" s="0" t="str">
        <f aca="false">IF('CART Data'!B26=$A$1,ROW(),"")</f>
        <v/>
      </c>
      <c r="C26" s="0" t="str">
        <f aca="false">IF(ROWS($1:25)&gt;COUNT($B:$B),"",INDEX('CART Data'!B:B,SMALL($B:$B,ROWS($1:25))))</f>
        <v/>
      </c>
      <c r="D26" s="0" t="str">
        <f aca="false">IF(ROWS($1:25)&gt;COUNT($B:$B),"",INDEX('CART Data'!A:A,SMALL($B:$B,ROWS($1:25))))</f>
        <v/>
      </c>
    </row>
    <row r="27" customFormat="false" ht="14.25" hidden="false" customHeight="false" outlineLevel="0" collapsed="false">
      <c r="B27" s="0" t="str">
        <f aca="false">IF('CART Data'!B27=$A$1,ROW(),"")</f>
        <v/>
      </c>
      <c r="C27" s="0" t="str">
        <f aca="false">IF(ROWS($1:26)&gt;COUNT($B:$B),"",INDEX('CART Data'!B:B,SMALL($B:$B,ROWS($1:26))))</f>
        <v/>
      </c>
      <c r="D27" s="0" t="str">
        <f aca="false">IF(ROWS($1:26)&gt;COUNT($B:$B),"",INDEX('CART Data'!A:A,SMALL($B:$B,ROWS($1:26))))</f>
        <v/>
      </c>
    </row>
    <row r="28" customFormat="false" ht="14.25" hidden="false" customHeight="false" outlineLevel="0" collapsed="false">
      <c r="B28" s="0" t="str">
        <f aca="false">IF('CART Data'!B28=$A$1,ROW(),"")</f>
        <v/>
      </c>
      <c r="C28" s="0" t="str">
        <f aca="false">IF(ROWS($1:27)&gt;COUNT($B:$B),"",INDEX('CART Data'!B:B,SMALL($B:$B,ROWS($1:27))))</f>
        <v/>
      </c>
      <c r="D28" s="0" t="str">
        <f aca="false">IF(ROWS($1:27)&gt;COUNT($B:$B),"",INDEX('CART Data'!A:A,SMALL($B:$B,ROWS($1:27))))</f>
        <v/>
      </c>
    </row>
    <row r="29" customFormat="false" ht="14.25" hidden="false" customHeight="false" outlineLevel="0" collapsed="false">
      <c r="B29" s="0" t="str">
        <f aca="false">IF('CART Data'!B29=$A$1,ROW(),"")</f>
        <v/>
      </c>
      <c r="C29" s="0" t="str">
        <f aca="false">IF(ROWS($1:28)&gt;COUNT($B:$B),"",INDEX('CART Data'!B:B,SMALL($B:$B,ROWS($1:28))))</f>
        <v/>
      </c>
      <c r="D29" s="0" t="str">
        <f aca="false">IF(ROWS($1:28)&gt;COUNT($B:$B),"",INDEX('CART Data'!A:A,SMALL($B:$B,ROWS($1:28))))</f>
        <v/>
      </c>
    </row>
    <row r="30" customFormat="false" ht="14.25" hidden="false" customHeight="false" outlineLevel="0" collapsed="false">
      <c r="B30" s="0" t="str">
        <f aca="false">IF('CART Data'!B30=$A$1,ROW(),"")</f>
        <v/>
      </c>
      <c r="C30" s="0" t="str">
        <f aca="false">IF(ROWS($1:29)&gt;COUNT($B:$B),"",INDEX('CART Data'!B:B,SMALL($B:$B,ROWS($1:29))))</f>
        <v/>
      </c>
      <c r="D30" s="0" t="str">
        <f aca="false">IF(ROWS($1:29)&gt;COUNT($B:$B),"",INDEX('CART Data'!A:A,SMALL($B:$B,ROWS($1:29))))</f>
        <v/>
      </c>
    </row>
    <row r="31" customFormat="false" ht="14.25" hidden="false" customHeight="false" outlineLevel="0" collapsed="false">
      <c r="B31" s="0" t="str">
        <f aca="false">IF('CART Data'!B31=$A$1,ROW(),"")</f>
        <v/>
      </c>
      <c r="C31" s="0" t="str">
        <f aca="false">IF(ROWS($1:30)&gt;COUNT($B:$B),"",INDEX('CART Data'!B:B,SMALL($B:$B,ROWS($1:30))))</f>
        <v/>
      </c>
      <c r="D31" s="0" t="str">
        <f aca="false">IF(ROWS($1:30)&gt;COUNT($B:$B),"",INDEX('CART Data'!A:A,SMALL($B:$B,ROWS($1:30))))</f>
        <v/>
      </c>
    </row>
    <row r="32" customFormat="false" ht="14.25" hidden="false" customHeight="false" outlineLevel="0" collapsed="false">
      <c r="B32" s="0" t="str">
        <f aca="false">IF('CART Data'!B32=$A$1,ROW(),"")</f>
        <v/>
      </c>
      <c r="C32" s="0" t="str">
        <f aca="false">IF(ROWS($1:31)&gt;COUNT($B:$B),"",INDEX('CART Data'!B:B,SMALL($B:$B,ROWS($1:31))))</f>
        <v/>
      </c>
      <c r="D32" s="0" t="str">
        <f aca="false">IF(ROWS($1:31)&gt;COUNT($B:$B),"",INDEX('CART Data'!A:A,SMALL($B:$B,ROWS($1:31))))</f>
        <v/>
      </c>
    </row>
    <row r="33" customFormat="false" ht="14.25" hidden="false" customHeight="false" outlineLevel="0" collapsed="false">
      <c r="B33" s="0" t="str">
        <f aca="false">IF('CART Data'!B33=$A$1,ROW(),"")</f>
        <v/>
      </c>
      <c r="C33" s="0" t="str">
        <f aca="false">IF(ROWS($1:32)&gt;COUNT($B:$B),"",INDEX('CART Data'!B:B,SMALL($B:$B,ROWS($1:32))))</f>
        <v/>
      </c>
      <c r="D33" s="0" t="str">
        <f aca="false">IF(ROWS($1:32)&gt;COUNT($B:$B),"",INDEX('CART Data'!A:A,SMALL($B:$B,ROWS($1:32))))</f>
        <v/>
      </c>
    </row>
    <row r="34" customFormat="false" ht="14.25" hidden="false" customHeight="false" outlineLevel="0" collapsed="false">
      <c r="B34" s="0" t="str">
        <f aca="false">IF('CART Data'!B34=$A$1,ROW(),"")</f>
        <v/>
      </c>
      <c r="C34" s="0" t="str">
        <f aca="false">IF(ROWS($1:33)&gt;COUNT($B:$B),"",INDEX('CART Data'!B:B,SMALL($B:$B,ROWS($1:33))))</f>
        <v/>
      </c>
      <c r="D34" s="0" t="str">
        <f aca="false">IF(ROWS($1:33)&gt;COUNT($B:$B),"",INDEX('CART Data'!A:A,SMALL($B:$B,ROWS($1:33))))</f>
        <v/>
      </c>
    </row>
    <row r="35" customFormat="false" ht="14.25" hidden="false" customHeight="false" outlineLevel="0" collapsed="false">
      <c r="B35" s="0" t="str">
        <f aca="false">IF('CART Data'!B35=$A$1,ROW(),"")</f>
        <v/>
      </c>
      <c r="C35" s="0" t="str">
        <f aca="false">IF(ROWS($1:34)&gt;COUNT($B:$B),"",INDEX('CART Data'!B:B,SMALL($B:$B,ROWS($1:34))))</f>
        <v/>
      </c>
      <c r="D35" s="0" t="str">
        <f aca="false">IF(ROWS($1:34)&gt;COUNT($B:$B),"",INDEX('CART Data'!A:A,SMALL($B:$B,ROWS($1:34))))</f>
        <v/>
      </c>
    </row>
    <row r="36" customFormat="false" ht="14.25" hidden="false" customHeight="false" outlineLevel="0" collapsed="false">
      <c r="B36" s="0" t="str">
        <f aca="false">IF('CART Data'!B36=$A$1,ROW(),"")</f>
        <v/>
      </c>
      <c r="C36" s="0" t="str">
        <f aca="false">IF(ROWS($1:35)&gt;COUNT($B:$B),"",INDEX('CART Data'!B:B,SMALL($B:$B,ROWS($1:35))))</f>
        <v/>
      </c>
      <c r="D36" s="0" t="str">
        <f aca="false">IF(ROWS($1:35)&gt;COUNT($B:$B),"",INDEX('CART Data'!A:A,SMALL($B:$B,ROWS($1:35))))</f>
        <v/>
      </c>
    </row>
    <row r="37" customFormat="false" ht="14.25" hidden="false" customHeight="false" outlineLevel="0" collapsed="false">
      <c r="B37" s="0" t="str">
        <f aca="false">IF('CART Data'!B37=$A$1,ROW(),"")</f>
        <v/>
      </c>
      <c r="C37" s="0" t="str">
        <f aca="false">IF(ROWS($1:36)&gt;COUNT($B:$B),"",INDEX('CART Data'!B:B,SMALL($B:$B,ROWS($1:36))))</f>
        <v/>
      </c>
      <c r="D37" s="0" t="str">
        <f aca="false">IF(ROWS($1:36)&gt;COUNT($B:$B),"",INDEX('CART Data'!A:A,SMALL($B:$B,ROWS($1:36))))</f>
        <v/>
      </c>
    </row>
    <row r="38" customFormat="false" ht="14.25" hidden="false" customHeight="false" outlineLevel="0" collapsed="false">
      <c r="B38" s="0" t="str">
        <f aca="false">IF('CART Data'!B38=$A$1,ROW(),"")</f>
        <v/>
      </c>
      <c r="C38" s="0" t="str">
        <f aca="false">IF(ROWS($1:37)&gt;COUNT($B:$B),"",INDEX('CART Data'!B:B,SMALL($B:$B,ROWS($1:37))))</f>
        <v/>
      </c>
      <c r="D38" s="0" t="str">
        <f aca="false">IF(ROWS($1:37)&gt;COUNT($B:$B),"",INDEX('CART Data'!A:A,SMALL($B:$B,ROWS($1:37))))</f>
        <v/>
      </c>
    </row>
    <row r="39" customFormat="false" ht="14.25" hidden="false" customHeight="false" outlineLevel="0" collapsed="false">
      <c r="B39" s="0" t="str">
        <f aca="false">IF('CART Data'!B39=$A$1,ROW(),"")</f>
        <v/>
      </c>
      <c r="C39" s="0" t="str">
        <f aca="false">IF(ROWS($1:38)&gt;COUNT($B:$B),"",INDEX('CART Data'!B:B,SMALL($B:$B,ROWS($1:38))))</f>
        <v/>
      </c>
      <c r="D39" s="0" t="str">
        <f aca="false">IF(ROWS($1:38)&gt;COUNT($B:$B),"",INDEX('CART Data'!A:A,SMALL($B:$B,ROWS($1:38))))</f>
        <v/>
      </c>
    </row>
    <row r="40" customFormat="false" ht="14.25" hidden="false" customHeight="false" outlineLevel="0" collapsed="false">
      <c r="B40" s="0" t="str">
        <f aca="false">IF('CART Data'!B40=$A$1,ROW(),"")</f>
        <v/>
      </c>
      <c r="C40" s="0" t="str">
        <f aca="false">IF(ROWS($1:39)&gt;COUNT($B:$B),"",INDEX('CART Data'!B:B,SMALL($B:$B,ROWS($1:39))))</f>
        <v/>
      </c>
      <c r="D40" s="0" t="str">
        <f aca="false">IF(ROWS($1:39)&gt;COUNT($B:$B),"",INDEX('CART Data'!A:A,SMALL($B:$B,ROWS($1:39))))</f>
        <v/>
      </c>
    </row>
    <row r="41" customFormat="false" ht="14.25" hidden="false" customHeight="false" outlineLevel="0" collapsed="false">
      <c r="B41" s="0" t="str">
        <f aca="false">IF('CART Data'!B41=$A$1,ROW(),"")</f>
        <v/>
      </c>
      <c r="C41" s="0" t="str">
        <f aca="false">IF(ROWS($1:40)&gt;COUNT($B:$B),"",INDEX('CART Data'!B:B,SMALL($B:$B,ROWS($1:40))))</f>
        <v/>
      </c>
      <c r="D41" s="0" t="str">
        <f aca="false">IF(ROWS($1:40)&gt;COUNT($B:$B),"",INDEX('CART Data'!A:A,SMALL($B:$B,ROWS($1:40))))</f>
        <v/>
      </c>
    </row>
    <row r="42" customFormat="false" ht="14.25" hidden="false" customHeight="false" outlineLevel="0" collapsed="false">
      <c r="B42" s="0" t="str">
        <f aca="false">IF('CART Data'!B42=$A$1,ROW(),"")</f>
        <v/>
      </c>
      <c r="C42" s="0" t="str">
        <f aca="false">IF(ROWS($1:41)&gt;COUNT($B:$B),"",INDEX('CART Data'!B:B,SMALL($B:$B,ROWS($1:41))))</f>
        <v/>
      </c>
      <c r="D42" s="0" t="str">
        <f aca="false">IF(ROWS($1:41)&gt;COUNT($B:$B),"",INDEX('CART Data'!A:A,SMALL($B:$B,ROWS($1:41))))</f>
        <v/>
      </c>
    </row>
    <row r="43" customFormat="false" ht="14.25" hidden="false" customHeight="false" outlineLevel="0" collapsed="false">
      <c r="B43" s="0" t="str">
        <f aca="false">IF('CART Data'!B43=$A$1,ROW(),"")</f>
        <v/>
      </c>
      <c r="C43" s="0" t="str">
        <f aca="false">IF(ROWS($1:42)&gt;COUNT($B:$B),"",INDEX('CART Data'!B:B,SMALL($B:$B,ROWS($1:42))))</f>
        <v/>
      </c>
      <c r="D43" s="0" t="str">
        <f aca="false">IF(ROWS($1:42)&gt;COUNT($B:$B),"",INDEX('CART Data'!A:A,SMALL($B:$B,ROWS($1:42))))</f>
        <v/>
      </c>
    </row>
    <row r="44" customFormat="false" ht="14.25" hidden="false" customHeight="false" outlineLevel="0" collapsed="false">
      <c r="B44" s="0" t="str">
        <f aca="false">IF('CART Data'!B44=$A$1,ROW(),"")</f>
        <v/>
      </c>
      <c r="C44" s="0" t="str">
        <f aca="false">IF(ROWS($1:43)&gt;COUNT($B:$B),"",INDEX('CART Data'!B:B,SMALL($B:$B,ROWS($1:43))))</f>
        <v/>
      </c>
      <c r="D44" s="0" t="str">
        <f aca="false">IF(ROWS($1:43)&gt;COUNT($B:$B),"",INDEX('CART Data'!A:A,SMALL($B:$B,ROWS($1:43))))</f>
        <v/>
      </c>
    </row>
    <row r="45" customFormat="false" ht="14.25" hidden="false" customHeight="false" outlineLevel="0" collapsed="false">
      <c r="B45" s="0" t="str">
        <f aca="false">IF('CART Data'!B45=$A$1,ROW(),"")</f>
        <v/>
      </c>
      <c r="C45" s="0" t="str">
        <f aca="false">IF(ROWS($1:44)&gt;COUNT($B:$B),"",INDEX('CART Data'!B:B,SMALL($B:$B,ROWS($1:44))))</f>
        <v/>
      </c>
      <c r="D45" s="0" t="str">
        <f aca="false">IF(ROWS($1:44)&gt;COUNT($B:$B),"",INDEX('CART Data'!A:A,SMALL($B:$B,ROWS($1:44))))</f>
        <v/>
      </c>
    </row>
    <row r="46" customFormat="false" ht="14.25" hidden="false" customHeight="false" outlineLevel="0" collapsed="false">
      <c r="B46" s="0" t="str">
        <f aca="false">IF('CART Data'!B46=$A$1,ROW(),"")</f>
        <v/>
      </c>
      <c r="C46" s="0" t="str">
        <f aca="false">IF(ROWS($1:45)&gt;COUNT($B:$B),"",INDEX('CART Data'!B:B,SMALL($B:$B,ROWS($1:45))))</f>
        <v/>
      </c>
      <c r="D46" s="0" t="str">
        <f aca="false">IF(ROWS($1:45)&gt;COUNT($B:$B),"",INDEX('CART Data'!A:A,SMALL($B:$B,ROWS($1:45))))</f>
        <v/>
      </c>
    </row>
    <row r="47" customFormat="false" ht="14.25" hidden="false" customHeight="false" outlineLevel="0" collapsed="false">
      <c r="B47" s="0" t="str">
        <f aca="false">IF('CART Data'!B47=$A$1,ROW(),"")</f>
        <v/>
      </c>
      <c r="C47" s="0" t="str">
        <f aca="false">IF(ROWS($1:46)&gt;COUNT($B:$B),"",INDEX('CART Data'!B:B,SMALL($B:$B,ROWS($1:46))))</f>
        <v/>
      </c>
      <c r="D47" s="0" t="str">
        <f aca="false">IF(ROWS($1:46)&gt;COUNT($B:$B),"",INDEX('CART Data'!A:A,SMALL($B:$B,ROWS($1:46))))</f>
        <v/>
      </c>
    </row>
    <row r="48" customFormat="false" ht="14.25" hidden="false" customHeight="false" outlineLevel="0" collapsed="false">
      <c r="B48" s="0" t="str">
        <f aca="false">IF('CART Data'!B48=$A$1,ROW(),"")</f>
        <v/>
      </c>
      <c r="C48" s="0" t="str">
        <f aca="false">IF(ROWS($1:47)&gt;COUNT($B:$B),"",INDEX('CART Data'!B:B,SMALL($B:$B,ROWS($1:47))))</f>
        <v/>
      </c>
      <c r="D48" s="0" t="str">
        <f aca="false">IF(ROWS($1:47)&gt;COUNT($B:$B),"",INDEX('CART Data'!A:A,SMALL($B:$B,ROWS($1:47))))</f>
        <v/>
      </c>
    </row>
    <row r="49" customFormat="false" ht="14.25" hidden="false" customHeight="false" outlineLevel="0" collapsed="false">
      <c r="B49" s="0" t="str">
        <f aca="false">IF('CART Data'!B49=$A$1,ROW(),"")</f>
        <v/>
      </c>
      <c r="C49" s="0" t="str">
        <f aca="false">IF(ROWS($1:48)&gt;COUNT($B:$B),"",INDEX('CART Data'!B:B,SMALL($B:$B,ROWS($1:48))))</f>
        <v/>
      </c>
      <c r="D49" s="0" t="str">
        <f aca="false">IF(ROWS($1:48)&gt;COUNT($B:$B),"",INDEX('CART Data'!A:A,SMALL($B:$B,ROWS($1:48))))</f>
        <v/>
      </c>
    </row>
    <row r="50" customFormat="false" ht="14.25" hidden="false" customHeight="false" outlineLevel="0" collapsed="false">
      <c r="B50" s="0" t="str">
        <f aca="false">IF('CART Data'!B50=$A$1,ROW(),"")</f>
        <v/>
      </c>
      <c r="C50" s="0" t="str">
        <f aca="false">IF(ROWS($1:49)&gt;COUNT($B:$B),"",INDEX('CART Data'!B:B,SMALL($B:$B,ROWS($1:49))))</f>
        <v/>
      </c>
      <c r="D50" s="0" t="str">
        <f aca="false">IF(ROWS($1:49)&gt;COUNT($B:$B),"",INDEX('CART Data'!A:A,SMALL($B:$B,ROWS($1:49))))</f>
        <v/>
      </c>
    </row>
    <row r="51" customFormat="false" ht="14.25" hidden="false" customHeight="false" outlineLevel="0" collapsed="false">
      <c r="B51" s="0" t="str">
        <f aca="false">IF('CART Data'!B51=$A$1,ROW(),"")</f>
        <v/>
      </c>
      <c r="C51" s="0" t="str">
        <f aca="false">IF(ROWS($1:50)&gt;COUNT($B:$B),"",INDEX('CART Data'!B:B,SMALL($B:$B,ROWS($1:50))))</f>
        <v/>
      </c>
      <c r="D51" s="0" t="str">
        <f aca="false">IF(ROWS($1:50)&gt;COUNT($B:$B),"",INDEX('CART Data'!A:A,SMALL($B:$B,ROWS($1:50))))</f>
        <v/>
      </c>
    </row>
    <row r="52" customFormat="false" ht="14.25" hidden="false" customHeight="false" outlineLevel="0" collapsed="false">
      <c r="B52" s="0" t="n">
        <f aca="false">IF('CART Data'!B52=$A$1,ROW(),"")</f>
        <v>52</v>
      </c>
      <c r="C52" s="0" t="str">
        <f aca="false">IF(ROWS($1:51)&gt;COUNT($B:$B),"",INDEX('CART Data'!B:B,SMALL($B:$B,ROWS($1:51))))</f>
        <v/>
      </c>
      <c r="D52" s="0" t="str">
        <f aca="false">IF(ROWS($1:51)&gt;COUNT($B:$B),"",INDEX('CART Data'!A:A,SMALL($B:$B,ROWS($1:51))))</f>
        <v/>
      </c>
    </row>
    <row r="53" customFormat="false" ht="14.25" hidden="false" customHeight="false" outlineLevel="0" collapsed="false">
      <c r="B53" s="0" t="str">
        <f aca="false">IF('CART Data'!B53=$A$1,ROW(),"")</f>
        <v/>
      </c>
      <c r="C53" s="0" t="str">
        <f aca="false">IF(ROWS($1:52)&gt;COUNT($B:$B),"",INDEX('CART Data'!B:B,SMALL($B:$B,ROWS($1:52))))</f>
        <v/>
      </c>
      <c r="D53" s="0" t="str">
        <f aca="false">IF(ROWS($1:52)&gt;COUNT($B:$B),"",INDEX('CART Data'!A:A,SMALL($B:$B,ROWS($1:52))))</f>
        <v/>
      </c>
    </row>
    <row r="54" customFormat="false" ht="14.25" hidden="false" customHeight="false" outlineLevel="0" collapsed="false">
      <c r="B54" s="0" t="str">
        <f aca="false">IF('CART Data'!B54=$A$1,ROW(),"")</f>
        <v/>
      </c>
      <c r="C54" s="0" t="str">
        <f aca="false">IF(ROWS($1:53)&gt;COUNT($B:$B),"",INDEX('CART Data'!B:B,SMALL($B:$B,ROWS($1:53))))</f>
        <v/>
      </c>
      <c r="D54" s="0" t="str">
        <f aca="false">IF(ROWS($1:53)&gt;COUNT($B:$B),"",INDEX('CART Data'!A:A,SMALL($B:$B,ROWS($1:53))))</f>
        <v/>
      </c>
    </row>
    <row r="55" customFormat="false" ht="14.25" hidden="false" customHeight="false" outlineLevel="0" collapsed="false">
      <c r="B55" s="0" t="str">
        <f aca="false">IF('CART Data'!B55=$A$1,ROW(),"")</f>
        <v/>
      </c>
      <c r="C55" s="0" t="str">
        <f aca="false">IF(ROWS($1:54)&gt;COUNT($B:$B),"",INDEX('CART Data'!B:B,SMALL($B:$B,ROWS($1:54))))</f>
        <v/>
      </c>
      <c r="D55" s="0" t="str">
        <f aca="false">IF(ROWS($1:54)&gt;COUNT($B:$B),"",INDEX('CART Data'!A:A,SMALL($B:$B,ROWS($1:54))))</f>
        <v/>
      </c>
    </row>
    <row r="56" customFormat="false" ht="14.25" hidden="false" customHeight="false" outlineLevel="0" collapsed="false">
      <c r="B56" s="0" t="str">
        <f aca="false">IF('CART Data'!B56=$A$1,ROW(),"")</f>
        <v/>
      </c>
      <c r="C56" s="0" t="str">
        <f aca="false">IF(ROWS($1:55)&gt;COUNT($B:$B),"",INDEX('CART Data'!B:B,SMALL($B:$B,ROWS($1:55))))</f>
        <v/>
      </c>
      <c r="D56" s="0" t="str">
        <f aca="false">IF(ROWS($1:55)&gt;COUNT($B:$B),"",INDEX('CART Data'!A:A,SMALL($B:$B,ROWS($1:55))))</f>
        <v/>
      </c>
    </row>
    <row r="57" customFormat="false" ht="14.25" hidden="false" customHeight="false" outlineLevel="0" collapsed="false">
      <c r="B57" s="0" t="str">
        <f aca="false">IF('CART Data'!B57=$A$1,ROW(),"")</f>
        <v/>
      </c>
      <c r="C57" s="0" t="str">
        <f aca="false">IF(ROWS($1:56)&gt;COUNT($B:$B),"",INDEX('CART Data'!B:B,SMALL($B:$B,ROWS($1:56))))</f>
        <v/>
      </c>
      <c r="D57" s="0" t="str">
        <f aca="false">IF(ROWS($1:56)&gt;COUNT($B:$B),"",INDEX('CART Data'!A:A,SMALL($B:$B,ROWS($1:56))))</f>
        <v/>
      </c>
    </row>
    <row r="58" customFormat="false" ht="14.25" hidden="false" customHeight="false" outlineLevel="0" collapsed="false">
      <c r="B58" s="0" t="str">
        <f aca="false">IF('CART Data'!B58=$A$1,ROW(),"")</f>
        <v/>
      </c>
      <c r="C58" s="0" t="str">
        <f aca="false">IF(ROWS($1:57)&gt;COUNT($B:$B),"",INDEX('CART Data'!B:B,SMALL($B:$B,ROWS($1:57))))</f>
        <v/>
      </c>
      <c r="D58" s="0" t="str">
        <f aca="false">IF(ROWS($1:57)&gt;COUNT($B:$B),"",INDEX('CART Data'!A:A,SMALL($B:$B,ROWS($1:57))))</f>
        <v/>
      </c>
    </row>
    <row r="59" customFormat="false" ht="14.25" hidden="false" customHeight="false" outlineLevel="0" collapsed="false">
      <c r="B59" s="0" t="str">
        <f aca="false">IF('CART Data'!B59=$A$1,ROW(),"")</f>
        <v/>
      </c>
      <c r="C59" s="0" t="str">
        <f aca="false">IF(ROWS($1:58)&gt;COUNT($B:$B),"",INDEX('CART Data'!B:B,SMALL($B:$B,ROWS($1:58))))</f>
        <v/>
      </c>
      <c r="D59" s="0" t="str">
        <f aca="false">IF(ROWS($1:58)&gt;COUNT($B:$B),"",INDEX('CART Data'!A:A,SMALL($B:$B,ROWS($1:58))))</f>
        <v/>
      </c>
    </row>
    <row r="60" customFormat="false" ht="14.25" hidden="false" customHeight="false" outlineLevel="0" collapsed="false">
      <c r="B60" s="0" t="str">
        <f aca="false">IF('CART Data'!B60=$A$1,ROW(),"")</f>
        <v/>
      </c>
      <c r="C60" s="0" t="str">
        <f aca="false">IF(ROWS($1:59)&gt;COUNT($B:$B),"",INDEX('CART Data'!B:B,SMALL($B:$B,ROWS($1:59))))</f>
        <v/>
      </c>
      <c r="D60" s="0" t="str">
        <f aca="false">IF(ROWS($1:59)&gt;COUNT($B:$B),"",INDEX('CART Data'!A:A,SMALL($B:$B,ROWS($1:59))))</f>
        <v/>
      </c>
    </row>
    <row r="61" customFormat="false" ht="14.25" hidden="false" customHeight="false" outlineLevel="0" collapsed="false">
      <c r="B61" s="0" t="str">
        <f aca="false">IF('CART Data'!B61=$A$1,ROW(),"")</f>
        <v/>
      </c>
      <c r="C61" s="0" t="str">
        <f aca="false">IF(ROWS($1:60)&gt;COUNT($B:$B),"",INDEX('CART Data'!B:B,SMALL($B:$B,ROWS($1:60))))</f>
        <v/>
      </c>
      <c r="D61" s="0" t="str">
        <f aca="false">IF(ROWS($1:60)&gt;COUNT($B:$B),"",INDEX('CART Data'!A:A,SMALL($B:$B,ROWS($1:60))))</f>
        <v/>
      </c>
    </row>
    <row r="62" customFormat="false" ht="14.25" hidden="false" customHeight="false" outlineLevel="0" collapsed="false">
      <c r="B62" s="0" t="str">
        <f aca="false">IF('CART Data'!B62=$A$1,ROW(),"")</f>
        <v/>
      </c>
      <c r="C62" s="0" t="str">
        <f aca="false">IF(ROWS($1:61)&gt;COUNT($B:$B),"",INDEX('CART Data'!B:B,SMALL($B:$B,ROWS($1:61))))</f>
        <v/>
      </c>
      <c r="D62" s="0" t="str">
        <f aca="false">IF(ROWS($1:61)&gt;COUNT($B:$B),"",INDEX('CART Data'!A:A,SMALL($B:$B,ROWS($1:61))))</f>
        <v/>
      </c>
    </row>
    <row r="63" customFormat="false" ht="14.25" hidden="false" customHeight="false" outlineLevel="0" collapsed="false">
      <c r="B63" s="0" t="str">
        <f aca="false">IF('CART Data'!B63=$A$1,ROW(),"")</f>
        <v/>
      </c>
      <c r="C63" s="0" t="str">
        <f aca="false">IF(ROWS($1:62)&gt;COUNT($B:$B),"",INDEX('CART Data'!B:B,SMALL($B:$B,ROWS($1:62))))</f>
        <v/>
      </c>
      <c r="D63" s="0" t="str">
        <f aca="false">IF(ROWS($1:62)&gt;COUNT($B:$B),"",INDEX('CART Data'!A:A,SMALL($B:$B,ROWS($1:62))))</f>
        <v/>
      </c>
    </row>
    <row r="64" customFormat="false" ht="14.25" hidden="false" customHeight="false" outlineLevel="0" collapsed="false">
      <c r="B64" s="0" t="str">
        <f aca="false">IF('CART Data'!B64=$A$1,ROW(),"")</f>
        <v/>
      </c>
      <c r="C64" s="0" t="str">
        <f aca="false">IF(ROWS($1:63)&gt;COUNT($B:$B),"",INDEX('CART Data'!B:B,SMALL($B:$B,ROWS($1:63))))</f>
        <v/>
      </c>
      <c r="D64" s="0" t="str">
        <f aca="false">IF(ROWS($1:63)&gt;COUNT($B:$B),"",INDEX('CART Data'!A:A,SMALL($B:$B,ROWS($1:63))))</f>
        <v/>
      </c>
    </row>
    <row r="65" customFormat="false" ht="14.25" hidden="false" customHeight="false" outlineLevel="0" collapsed="false">
      <c r="B65" s="0" t="str">
        <f aca="false">IF('CART Data'!B65=$A$1,ROW(),"")</f>
        <v/>
      </c>
      <c r="C65" s="0" t="str">
        <f aca="false">IF(ROWS($1:64)&gt;COUNT($B:$B),"",INDEX('CART Data'!B:B,SMALL($B:$B,ROWS($1:64))))</f>
        <v/>
      </c>
      <c r="D65" s="0" t="str">
        <f aca="false">IF(ROWS($1:64)&gt;COUNT($B:$B),"",INDEX('CART Data'!A:A,SMALL($B:$B,ROWS($1:64))))</f>
        <v/>
      </c>
    </row>
    <row r="66" customFormat="false" ht="14.25" hidden="false" customHeight="false" outlineLevel="0" collapsed="false">
      <c r="B66" s="0" t="str">
        <f aca="false">IF('CART Data'!B66=$A$1,ROW(),"")</f>
        <v/>
      </c>
      <c r="C66" s="0" t="str">
        <f aca="false">IF(ROWS($1:65)&gt;COUNT($B:$B),"",INDEX('CART Data'!B:B,SMALL($B:$B,ROWS($1:65))))</f>
        <v/>
      </c>
      <c r="D66" s="0" t="str">
        <f aca="false">IF(ROWS($1:65)&gt;COUNT($B:$B),"",INDEX('CART Data'!A:A,SMALL($B:$B,ROWS($1:65))))</f>
        <v/>
      </c>
    </row>
    <row r="67" customFormat="false" ht="14.25" hidden="false" customHeight="false" outlineLevel="0" collapsed="false">
      <c r="B67" s="0" t="str">
        <f aca="false">IF('CART Data'!B67=$A$1,ROW(),"")</f>
        <v/>
      </c>
      <c r="C67" s="0" t="str">
        <f aca="false">IF(ROWS($1:66)&gt;COUNT($B:$B),"",INDEX('CART Data'!B:B,SMALL($B:$B,ROWS($1:66))))</f>
        <v/>
      </c>
      <c r="D67" s="0" t="str">
        <f aca="false">IF(ROWS($1:66)&gt;COUNT($B:$B),"",INDEX('CART Data'!A:A,SMALL($B:$B,ROWS($1:66))))</f>
        <v/>
      </c>
    </row>
    <row r="68" customFormat="false" ht="14.25" hidden="false" customHeight="false" outlineLevel="0" collapsed="false">
      <c r="B68" s="0" t="str">
        <f aca="false">IF('CART Data'!B68=$A$1,ROW(),"")</f>
        <v/>
      </c>
      <c r="C68" s="0" t="str">
        <f aca="false">IF(ROWS($1:67)&gt;COUNT($B:$B),"",INDEX('CART Data'!B:B,SMALL($B:$B,ROWS($1:67))))</f>
        <v/>
      </c>
      <c r="D68" s="0" t="str">
        <f aca="false">IF(ROWS($1:67)&gt;COUNT($B:$B),"",INDEX('CART Data'!A:A,SMALL($B:$B,ROWS($1:67))))</f>
        <v/>
      </c>
    </row>
    <row r="69" customFormat="false" ht="14.25" hidden="false" customHeight="false" outlineLevel="0" collapsed="false">
      <c r="B69" s="0" t="str">
        <f aca="false">IF('CART Data'!B69=$A$1,ROW(),"")</f>
        <v/>
      </c>
      <c r="C69" s="0" t="str">
        <f aca="false">IF(ROWS($1:68)&gt;COUNT($B:$B),"",INDEX('CART Data'!B:B,SMALL($B:$B,ROWS($1:68))))</f>
        <v/>
      </c>
      <c r="D69" s="0" t="str">
        <f aca="false">IF(ROWS($1:68)&gt;COUNT($B:$B),"",INDEX('CART Data'!A:A,SMALL($B:$B,ROWS($1:68))))</f>
        <v/>
      </c>
    </row>
    <row r="70" customFormat="false" ht="14.25" hidden="false" customHeight="false" outlineLevel="0" collapsed="false">
      <c r="B70" s="0" t="str">
        <f aca="false">IF('CART Data'!B70=$A$1,ROW(),"")</f>
        <v/>
      </c>
      <c r="C70" s="0" t="str">
        <f aca="false">IF(ROWS($1:69)&gt;COUNT($B:$B),"",INDEX('CART Data'!B:B,SMALL($B:$B,ROWS($1:69))))</f>
        <v/>
      </c>
      <c r="D70" s="0" t="str">
        <f aca="false">IF(ROWS($1:69)&gt;COUNT($B:$B),"",INDEX('CART Data'!A:A,SMALL($B:$B,ROWS($1:69))))</f>
        <v/>
      </c>
    </row>
    <row r="71" customFormat="false" ht="14.25" hidden="false" customHeight="false" outlineLevel="0" collapsed="false">
      <c r="B71" s="0" t="str">
        <f aca="false">IF('CART Data'!B71=$A$1,ROW(),"")</f>
        <v/>
      </c>
      <c r="C71" s="0" t="str">
        <f aca="false">IF(ROWS($1:70)&gt;COUNT($B:$B),"",INDEX('CART Data'!B:B,SMALL($B:$B,ROWS($1:70))))</f>
        <v/>
      </c>
      <c r="D71" s="0" t="str">
        <f aca="false">IF(ROWS($1:70)&gt;COUNT($B:$B),"",INDEX('CART Data'!A:A,SMALL($B:$B,ROWS($1:70))))</f>
        <v/>
      </c>
    </row>
    <row r="72" customFormat="false" ht="14.25" hidden="false" customHeight="false" outlineLevel="0" collapsed="false">
      <c r="B72" s="0" t="str">
        <f aca="false">IF('CART Data'!B72=$A$1,ROW(),"")</f>
        <v/>
      </c>
      <c r="C72" s="0" t="str">
        <f aca="false">IF(ROWS($1:71)&gt;COUNT($B:$B),"",INDEX('CART Data'!B:B,SMALL($B:$B,ROWS($1:71))))</f>
        <v/>
      </c>
      <c r="D72" s="0" t="str">
        <f aca="false">IF(ROWS($1:71)&gt;COUNT($B:$B),"",INDEX('CART Data'!A:A,SMALL($B:$B,ROWS($1:71))))</f>
        <v/>
      </c>
    </row>
    <row r="73" customFormat="false" ht="14.25" hidden="false" customHeight="false" outlineLevel="0" collapsed="false">
      <c r="B73" s="0" t="str">
        <f aca="false">IF('CART Data'!B73=$A$1,ROW(),"")</f>
        <v/>
      </c>
      <c r="C73" s="0" t="str">
        <f aca="false">IF(ROWS($1:72)&gt;COUNT($B:$B),"",INDEX('CART Data'!B:B,SMALL($B:$B,ROWS($1:72))))</f>
        <v/>
      </c>
      <c r="D73" s="0" t="str">
        <f aca="false">IF(ROWS($1:72)&gt;COUNT($B:$B),"",INDEX('CART Data'!A:A,SMALL($B:$B,ROWS($1:72))))</f>
        <v/>
      </c>
    </row>
    <row r="74" customFormat="false" ht="14.25" hidden="false" customHeight="false" outlineLevel="0" collapsed="false">
      <c r="B74" s="0" t="str">
        <f aca="false">IF('CART Data'!B74=$A$1,ROW(),"")</f>
        <v/>
      </c>
      <c r="C74" s="0" t="str">
        <f aca="false">IF(ROWS($1:73)&gt;COUNT($B:$B),"",INDEX('CART Data'!B:B,SMALL($B:$B,ROWS($1:73))))</f>
        <v/>
      </c>
      <c r="D74" s="0" t="str">
        <f aca="false">IF(ROWS($1:73)&gt;COUNT($B:$B),"",INDEX('CART Data'!A:A,SMALL($B:$B,ROWS($1:73))))</f>
        <v/>
      </c>
    </row>
    <row r="75" customFormat="false" ht="14.25" hidden="false" customHeight="false" outlineLevel="0" collapsed="false">
      <c r="B75" s="0" t="str">
        <f aca="false">IF('CART Data'!B75=$A$1,ROW(),"")</f>
        <v/>
      </c>
      <c r="C75" s="0" t="str">
        <f aca="false">IF(ROWS($1:74)&gt;COUNT($B:$B),"",INDEX('CART Data'!B:B,SMALL($B:$B,ROWS($1:74))))</f>
        <v/>
      </c>
      <c r="D75" s="0" t="str">
        <f aca="false">IF(ROWS($1:74)&gt;COUNT($B:$B),"",INDEX('CART Data'!A:A,SMALL($B:$B,ROWS($1:74))))</f>
        <v/>
      </c>
    </row>
    <row r="76" customFormat="false" ht="14.25" hidden="false" customHeight="false" outlineLevel="0" collapsed="false">
      <c r="B76" s="0" t="str">
        <f aca="false">IF('CART Data'!B76=$A$1,ROW(),"")</f>
        <v/>
      </c>
      <c r="C76" s="0" t="str">
        <f aca="false">IF(ROWS($1:75)&gt;COUNT($B:$B),"",INDEX('CART Data'!B:B,SMALL($B:$B,ROWS($1:75))))</f>
        <v/>
      </c>
      <c r="D76" s="0" t="str">
        <f aca="false">IF(ROWS($1:75)&gt;COUNT($B:$B),"",INDEX('CART Data'!A:A,SMALL($B:$B,ROWS($1:75))))</f>
        <v/>
      </c>
    </row>
    <row r="77" customFormat="false" ht="14.25" hidden="false" customHeight="false" outlineLevel="0" collapsed="false">
      <c r="B77" s="0" t="str">
        <f aca="false">IF('CART Data'!B77=$A$1,ROW(),"")</f>
        <v/>
      </c>
      <c r="C77" s="0" t="str">
        <f aca="false">IF(ROWS($1:76)&gt;COUNT($B:$B),"",INDEX('CART Data'!B:B,SMALL($B:$B,ROWS($1:76))))</f>
        <v/>
      </c>
      <c r="D77" s="0" t="str">
        <f aca="false">IF(ROWS($1:76)&gt;COUNT($B:$B),"",INDEX('CART Data'!A:A,SMALL($B:$B,ROWS($1:76))))</f>
        <v/>
      </c>
    </row>
    <row r="78" customFormat="false" ht="14.25" hidden="false" customHeight="false" outlineLevel="0" collapsed="false">
      <c r="B78" s="0" t="str">
        <f aca="false">IF('CART Data'!B78=$A$1,ROW(),"")</f>
        <v/>
      </c>
      <c r="C78" s="0" t="str">
        <f aca="false">IF(ROWS($1:77)&gt;COUNT($B:$B),"",INDEX('CART Data'!B:B,SMALL($B:$B,ROWS($1:77))))</f>
        <v/>
      </c>
      <c r="D78" s="0" t="str">
        <f aca="false">IF(ROWS($1:77)&gt;COUNT($B:$B),"",INDEX('CART Data'!A:A,SMALL($B:$B,ROWS($1:77))))</f>
        <v/>
      </c>
    </row>
    <row r="79" customFormat="false" ht="14.25" hidden="false" customHeight="false" outlineLevel="0" collapsed="false">
      <c r="B79" s="0" t="str">
        <f aca="false">IF('CART Data'!B79=$A$1,ROW(),"")</f>
        <v/>
      </c>
      <c r="C79" s="0" t="str">
        <f aca="false">IF(ROWS($1:78)&gt;COUNT($B:$B),"",INDEX('CART Data'!B:B,SMALL($B:$B,ROWS($1:78))))</f>
        <v/>
      </c>
      <c r="D79" s="0" t="str">
        <f aca="false">IF(ROWS($1:78)&gt;COUNT($B:$B),"",INDEX('CART Data'!A:A,SMALL($B:$B,ROWS($1:78))))</f>
        <v/>
      </c>
    </row>
    <row r="80" customFormat="false" ht="14.25" hidden="false" customHeight="false" outlineLevel="0" collapsed="false">
      <c r="B80" s="0" t="str">
        <f aca="false">IF('CART Data'!B80=$A$1,ROW(),"")</f>
        <v/>
      </c>
      <c r="C80" s="0" t="str">
        <f aca="false">IF(ROWS($1:79)&gt;COUNT($B:$B),"",INDEX('CART Data'!B:B,SMALL($B:$B,ROWS($1:79))))</f>
        <v/>
      </c>
      <c r="D80" s="0" t="str">
        <f aca="false">IF(ROWS($1:79)&gt;COUNT($B:$B),"",INDEX('CART Data'!A:A,SMALL($B:$B,ROWS($1:79))))</f>
        <v/>
      </c>
    </row>
    <row r="81" customFormat="false" ht="14.25" hidden="false" customHeight="false" outlineLevel="0" collapsed="false">
      <c r="B81" s="0" t="str">
        <f aca="false">IF('CART Data'!B81=$A$1,ROW(),"")</f>
        <v/>
      </c>
      <c r="C81" s="0" t="str">
        <f aca="false">IF(ROWS($1:80)&gt;COUNT($B:$B),"",INDEX('CART Data'!B:B,SMALL($B:$B,ROWS($1:80))))</f>
        <v/>
      </c>
      <c r="D81" s="0" t="str">
        <f aca="false">IF(ROWS($1:80)&gt;COUNT($B:$B),"",INDEX('CART Data'!A:A,SMALL($B:$B,ROWS($1:80))))</f>
        <v/>
      </c>
    </row>
    <row r="82" customFormat="false" ht="14.25" hidden="false" customHeight="false" outlineLevel="0" collapsed="false">
      <c r="B82" s="0" t="str">
        <f aca="false">IF('CART Data'!B82=$A$1,ROW(),"")</f>
        <v/>
      </c>
      <c r="C82" s="0" t="str">
        <f aca="false">IF(ROWS($1:81)&gt;COUNT($B:$B),"",INDEX('CART Data'!B:B,SMALL($B:$B,ROWS($1:81))))</f>
        <v/>
      </c>
      <c r="D82" s="0" t="str">
        <f aca="false">IF(ROWS($1:81)&gt;COUNT($B:$B),"",INDEX('CART Data'!A:A,SMALL($B:$B,ROWS($1:81))))</f>
        <v/>
      </c>
    </row>
    <row r="83" customFormat="false" ht="14.25" hidden="false" customHeight="false" outlineLevel="0" collapsed="false">
      <c r="B83" s="0" t="str">
        <f aca="false">IF('CART Data'!B83=$A$1,ROW(),"")</f>
        <v/>
      </c>
      <c r="C83" s="0" t="str">
        <f aca="false">IF(ROWS($1:82)&gt;COUNT($B:$B),"",INDEX('CART Data'!B:B,SMALL($B:$B,ROWS($1:82))))</f>
        <v/>
      </c>
      <c r="D83" s="0" t="str">
        <f aca="false">IF(ROWS($1:82)&gt;COUNT($B:$B),"",INDEX('CART Data'!A:A,SMALL($B:$B,ROWS($1:82))))</f>
        <v/>
      </c>
    </row>
    <row r="84" customFormat="false" ht="14.25" hidden="false" customHeight="false" outlineLevel="0" collapsed="false">
      <c r="B84" s="0" t="str">
        <f aca="false">IF('CART Data'!B84=$A$1,ROW(),"")</f>
        <v/>
      </c>
      <c r="C84" s="0" t="str">
        <f aca="false">IF(ROWS($1:83)&gt;COUNT($B:$B),"",INDEX('CART Data'!B:B,SMALL($B:$B,ROWS($1:83))))</f>
        <v/>
      </c>
      <c r="D84" s="0" t="str">
        <f aca="false">IF(ROWS($1:83)&gt;COUNT($B:$B),"",INDEX('CART Data'!A:A,SMALL($B:$B,ROWS($1:83))))</f>
        <v/>
      </c>
    </row>
    <row r="85" customFormat="false" ht="14.25" hidden="false" customHeight="false" outlineLevel="0" collapsed="false">
      <c r="B85" s="0" t="str">
        <f aca="false">IF('CART Data'!B85=$A$1,ROW(),"")</f>
        <v/>
      </c>
      <c r="C85" s="0" t="str">
        <f aca="false">IF(ROWS($1:84)&gt;COUNT($B:$B),"",INDEX('CART Data'!B:B,SMALL($B:$B,ROWS($1:84))))</f>
        <v/>
      </c>
      <c r="D85" s="0" t="str">
        <f aca="false">IF(ROWS($1:84)&gt;COUNT($B:$B),"",INDEX('CART Data'!A:A,SMALL($B:$B,ROWS($1:84))))</f>
        <v/>
      </c>
    </row>
    <row r="86" customFormat="false" ht="14.25" hidden="false" customHeight="false" outlineLevel="0" collapsed="false">
      <c r="B86" s="0" t="str">
        <f aca="false">IF('CART Data'!B86=$A$1,ROW(),"")</f>
        <v/>
      </c>
      <c r="C86" s="0" t="str">
        <f aca="false">IF(ROWS($1:85)&gt;COUNT($B:$B),"",INDEX('CART Data'!B:B,SMALL($B:$B,ROWS($1:85))))</f>
        <v/>
      </c>
      <c r="D86" s="0" t="str">
        <f aca="false">IF(ROWS($1:85)&gt;COUNT($B:$B),"",INDEX('CART Data'!A:A,SMALL($B:$B,ROWS($1:85))))</f>
        <v/>
      </c>
    </row>
    <row r="87" customFormat="false" ht="14.25" hidden="false" customHeight="false" outlineLevel="0" collapsed="false">
      <c r="B87" s="0" t="str">
        <f aca="false">IF('CART Data'!B87=$A$1,ROW(),"")</f>
        <v/>
      </c>
      <c r="C87" s="0" t="str">
        <f aca="false">IF(ROWS($1:86)&gt;COUNT($B:$B),"",INDEX('CART Data'!B:B,SMALL($B:$B,ROWS($1:86))))</f>
        <v/>
      </c>
      <c r="D87" s="0" t="str">
        <f aca="false">IF(ROWS($1:86)&gt;COUNT($B:$B),"",INDEX('CART Data'!A:A,SMALL($B:$B,ROWS($1:86))))</f>
        <v/>
      </c>
    </row>
    <row r="88" customFormat="false" ht="14.25" hidden="false" customHeight="false" outlineLevel="0" collapsed="false">
      <c r="B88" s="0" t="str">
        <f aca="false">IF('CART Data'!B88=$A$1,ROW(),"")</f>
        <v/>
      </c>
      <c r="C88" s="0" t="str">
        <f aca="false">IF(ROWS($1:87)&gt;COUNT($B:$B),"",INDEX('CART Data'!B:B,SMALL($B:$B,ROWS($1:87))))</f>
        <v/>
      </c>
      <c r="D88" s="0" t="str">
        <f aca="false">IF(ROWS($1:87)&gt;COUNT($B:$B),"",INDEX('CART Data'!A:A,SMALL($B:$B,ROWS($1:87))))</f>
        <v/>
      </c>
    </row>
    <row r="89" customFormat="false" ht="14.25" hidden="false" customHeight="false" outlineLevel="0" collapsed="false">
      <c r="B89" s="0" t="str">
        <f aca="false">IF('CART Data'!B89=$A$1,ROW(),"")</f>
        <v/>
      </c>
      <c r="C89" s="0" t="str">
        <f aca="false">IF(ROWS($1:88)&gt;COUNT($B:$B),"",INDEX('CART Data'!B:B,SMALL($B:$B,ROWS($1:88))))</f>
        <v/>
      </c>
      <c r="D89" s="0" t="str">
        <f aca="false">IF(ROWS($1:88)&gt;COUNT($B:$B),"",INDEX('CART Data'!A:A,SMALL($B:$B,ROWS($1:88))))</f>
        <v/>
      </c>
    </row>
    <row r="90" customFormat="false" ht="14.25" hidden="false" customHeight="false" outlineLevel="0" collapsed="false">
      <c r="B90" s="0" t="str">
        <f aca="false">IF('CART Data'!B90=$A$1,ROW(),"")</f>
        <v/>
      </c>
      <c r="C90" s="0" t="str">
        <f aca="false">IF(ROWS($1:89)&gt;COUNT($B:$B),"",INDEX('CART Data'!B:B,SMALL($B:$B,ROWS($1:89))))</f>
        <v/>
      </c>
      <c r="D90" s="0" t="str">
        <f aca="false">IF(ROWS($1:89)&gt;COUNT($B:$B),"",INDEX('CART Data'!A:A,SMALL($B:$B,ROWS($1:89))))</f>
        <v/>
      </c>
    </row>
    <row r="91" customFormat="false" ht="14.25" hidden="false" customHeight="false" outlineLevel="0" collapsed="false">
      <c r="B91" s="0" t="str">
        <f aca="false">IF('CART Data'!B91=$A$1,ROW(),"")</f>
        <v/>
      </c>
      <c r="C91" s="0" t="str">
        <f aca="false">IF(ROWS($1:90)&gt;COUNT($B:$B),"",INDEX('CART Data'!B:B,SMALL($B:$B,ROWS($1:90))))</f>
        <v/>
      </c>
      <c r="D91" s="0" t="str">
        <f aca="false">IF(ROWS($1:90)&gt;COUNT($B:$B),"",INDEX('CART Data'!A:A,SMALL($B:$B,ROWS($1:90))))</f>
        <v/>
      </c>
    </row>
    <row r="92" customFormat="false" ht="14.25" hidden="false" customHeight="false" outlineLevel="0" collapsed="false">
      <c r="B92" s="0" t="str">
        <f aca="false">IF('CART Data'!B92=$A$1,ROW(),"")</f>
        <v/>
      </c>
      <c r="C92" s="0" t="str">
        <f aca="false">IF(ROWS($1:91)&gt;COUNT($B:$B),"",INDEX('CART Data'!B:B,SMALL($B:$B,ROWS($1:91))))</f>
        <v/>
      </c>
      <c r="D92" s="0" t="str">
        <f aca="false">IF(ROWS($1:91)&gt;COUNT($B:$B),"",INDEX('CART Data'!A:A,SMALL($B:$B,ROWS($1:91))))</f>
        <v/>
      </c>
    </row>
    <row r="93" customFormat="false" ht="14.25" hidden="false" customHeight="false" outlineLevel="0" collapsed="false">
      <c r="B93" s="0" t="str">
        <f aca="false">IF('CART Data'!B93=$A$1,ROW(),"")</f>
        <v/>
      </c>
      <c r="C93" s="0" t="str">
        <f aca="false">IF(ROWS($1:92)&gt;COUNT($B:$B),"",INDEX('CART Data'!B:B,SMALL($B:$B,ROWS($1:92))))</f>
        <v/>
      </c>
      <c r="D93" s="0" t="str">
        <f aca="false">IF(ROWS($1:92)&gt;COUNT($B:$B),"",INDEX('CART Data'!A:A,SMALL($B:$B,ROWS($1:92))))</f>
        <v/>
      </c>
    </row>
    <row r="94" customFormat="false" ht="14.25" hidden="false" customHeight="false" outlineLevel="0" collapsed="false">
      <c r="B94" s="0" t="str">
        <f aca="false">IF('CART Data'!B94=$A$1,ROW(),"")</f>
        <v/>
      </c>
      <c r="C94" s="0" t="str">
        <f aca="false">IF(ROWS($1:93)&gt;COUNT($B:$B),"",INDEX('CART Data'!B:B,SMALL($B:$B,ROWS($1:93))))</f>
        <v/>
      </c>
      <c r="D94" s="0" t="str">
        <f aca="false">IF(ROWS($1:93)&gt;COUNT($B:$B),"",INDEX('CART Data'!A:A,SMALL($B:$B,ROWS($1:93))))</f>
        <v/>
      </c>
    </row>
    <row r="95" customFormat="false" ht="14.25" hidden="false" customHeight="false" outlineLevel="0" collapsed="false">
      <c r="B95" s="0" t="str">
        <f aca="false">IF('CART Data'!B95=$A$1,ROW(),"")</f>
        <v/>
      </c>
      <c r="C95" s="0" t="str">
        <f aca="false">IF(ROWS($1:94)&gt;COUNT($B:$B),"",INDEX('CART Data'!B:B,SMALL($B:$B,ROWS($1:94))))</f>
        <v/>
      </c>
      <c r="D95" s="0" t="str">
        <f aca="false">IF(ROWS($1:94)&gt;COUNT($B:$B),"",INDEX('CART Data'!A:A,SMALL($B:$B,ROWS($1:94))))</f>
        <v/>
      </c>
    </row>
    <row r="96" customFormat="false" ht="14.25" hidden="false" customHeight="false" outlineLevel="0" collapsed="false">
      <c r="B96" s="0" t="str">
        <f aca="false">IF('CART Data'!B96=$A$1,ROW(),"")</f>
        <v/>
      </c>
      <c r="C96" s="0" t="str">
        <f aca="false">IF(ROWS($1:95)&gt;COUNT($B:$B),"",INDEX('CART Data'!B:B,SMALL($B:$B,ROWS($1:95))))</f>
        <v/>
      </c>
      <c r="D96" s="0" t="str">
        <f aca="false">IF(ROWS($1:95)&gt;COUNT($B:$B),"",INDEX('CART Data'!A:A,SMALL($B:$B,ROWS($1:95))))</f>
        <v/>
      </c>
    </row>
    <row r="97" customFormat="false" ht="14.25" hidden="false" customHeight="false" outlineLevel="0" collapsed="false">
      <c r="B97" s="0" t="str">
        <f aca="false">IF('CART Data'!B97=$A$1,ROW(),"")</f>
        <v/>
      </c>
      <c r="C97" s="0" t="str">
        <f aca="false">IF(ROWS($1:96)&gt;COUNT($B:$B),"",INDEX('CART Data'!B:B,SMALL($B:$B,ROWS($1:96))))</f>
        <v/>
      </c>
      <c r="D97" s="0" t="str">
        <f aca="false">IF(ROWS($1:96)&gt;COUNT($B:$B),"",INDEX('CART Data'!A:A,SMALL($B:$B,ROWS($1:96))))</f>
        <v/>
      </c>
    </row>
    <row r="98" customFormat="false" ht="14.25" hidden="false" customHeight="false" outlineLevel="0" collapsed="false">
      <c r="B98" s="0" t="str">
        <f aca="false">IF('CART Data'!B98=$A$1,ROW(),"")</f>
        <v/>
      </c>
      <c r="C98" s="0" t="str">
        <f aca="false">IF(ROWS($1:97)&gt;COUNT($B:$B),"",INDEX('CART Data'!B:B,SMALL($B:$B,ROWS($1:97))))</f>
        <v/>
      </c>
      <c r="D98" s="0" t="str">
        <f aca="false">IF(ROWS($1:97)&gt;COUNT($B:$B),"",INDEX('CART Data'!A:A,SMALL($B:$B,ROWS($1:97))))</f>
        <v/>
      </c>
    </row>
    <row r="99" customFormat="false" ht="14.25" hidden="false" customHeight="false" outlineLevel="0" collapsed="false">
      <c r="B99" s="0" t="str">
        <f aca="false">IF('CART Data'!B99=$A$1,ROW(),"")</f>
        <v/>
      </c>
      <c r="C99" s="0" t="str">
        <f aca="false">IF(ROWS($1:98)&gt;COUNT($B:$B),"",INDEX('CART Data'!B:B,SMALL($B:$B,ROWS($1:98))))</f>
        <v/>
      </c>
      <c r="D99" s="0" t="str">
        <f aca="false">IF(ROWS($1:98)&gt;COUNT($B:$B),"",INDEX('CART Data'!A:A,SMALL($B:$B,ROWS($1:98))))</f>
        <v/>
      </c>
    </row>
    <row r="100" customFormat="false" ht="14.25" hidden="false" customHeight="false" outlineLevel="0" collapsed="false">
      <c r="B100" s="0" t="str">
        <f aca="false">IF('CART Data'!B100=$A$1,ROW(),"")</f>
        <v/>
      </c>
      <c r="C100" s="0" t="str">
        <f aca="false">IF(ROWS($1:99)&gt;COUNT($B:$B),"",INDEX('CART Data'!B:B,SMALL($B:$B,ROWS($1:99))))</f>
        <v/>
      </c>
      <c r="D100" s="0" t="str">
        <f aca="false">IF(ROWS($1:99)&gt;COUNT($B:$B),"",INDEX('CART Data'!A:A,SMALL($B:$B,ROWS($1:99))))</f>
        <v/>
      </c>
    </row>
  </sheetData>
  <sheetProtection sheet="true" objects="true" scenarios="true"/>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25" zeroHeight="false" outlineLevelRow="0" outlineLevelCol="0"/>
  <cols>
    <col collapsed="false" customWidth="true" hidden="false" outlineLevel="0" max="1" min="1" style="0" width="13.56"/>
    <col collapsed="false" customWidth="true" hidden="true" outlineLevel="0" max="3" min="2" style="0" width="11.53"/>
    <col collapsed="false" customWidth="true" hidden="false" outlineLevel="0" max="4" min="4" style="0" width="185.33"/>
  </cols>
  <sheetData>
    <row r="1" customFormat="false" ht="14.25" hidden="false" customHeight="false" outlineLevel="0" collapsed="false">
      <c r="A1" s="179" t="s">
        <v>298</v>
      </c>
      <c r="D1" s="179" t="s">
        <v>297</v>
      </c>
    </row>
    <row r="2" customFormat="false" ht="14.25" hidden="false" customHeight="false" outlineLevel="0" collapsed="false">
      <c r="B2" s="0" t="str">
        <f aca="false">IF('CART Data'!B2=$A$1,ROW(),"")</f>
        <v/>
      </c>
      <c r="C2" s="0" t="str">
        <f aca="false">IF(ROWS($1:1)&gt;COUNT($B:$B),"",INDEX('CART Data'!B:B,SMALL($B:$B,ROWS($1:1))))</f>
        <v/>
      </c>
      <c r="D2" s="0" t="str">
        <f aca="false">IF(ROWS($1:1)&gt;COUNT($B:$B),"",INDEX('CART Data'!A:A,SMALL($B:$B,ROWS($1:1))))</f>
        <v/>
      </c>
    </row>
    <row r="3" customFormat="false" ht="14.25" hidden="false" customHeight="false" outlineLevel="0" collapsed="false">
      <c r="B3" s="0" t="str">
        <f aca="false">IF('CART Data'!B3=$A$1,ROW(),"")</f>
        <v/>
      </c>
      <c r="C3" s="0" t="str">
        <f aca="false">IF(ROWS($1:2)&gt;COUNT($B:$B),"",INDEX('CART Data'!B:B,SMALL($B:$B,ROWS($1:2))))</f>
        <v/>
      </c>
      <c r="D3" s="0" t="str">
        <f aca="false">IF(ROWS($1:2)&gt;COUNT($B:$B),"",INDEX('CART Data'!A:A,SMALL($B:$B,ROWS($1:2))))</f>
        <v/>
      </c>
    </row>
    <row r="4" customFormat="false" ht="14.25" hidden="false" customHeight="false" outlineLevel="0" collapsed="false">
      <c r="B4" s="0" t="str">
        <f aca="false">IF('CART Data'!B4=$A$1,ROW(),"")</f>
        <v/>
      </c>
      <c r="C4" s="0" t="str">
        <f aca="false">IF(ROWS($1:3)&gt;COUNT($B:$B),"",INDEX('CART Data'!B:B,SMALL($B:$B,ROWS($1:3))))</f>
        <v/>
      </c>
      <c r="D4" s="0" t="str">
        <f aca="false">IF(ROWS($1:3)&gt;COUNT($B:$B),"",INDEX('CART Data'!A:A,SMALL($B:$B,ROWS($1:3))))</f>
        <v/>
      </c>
    </row>
    <row r="5" customFormat="false" ht="14.25" hidden="false" customHeight="false" outlineLevel="0" collapsed="false">
      <c r="B5" s="0" t="str">
        <f aca="false">IF('CART Data'!B5=$A$1,ROW(),"")</f>
        <v/>
      </c>
      <c r="C5" s="0" t="str">
        <f aca="false">IF(ROWS($1:4)&gt;COUNT($B:$B),"",INDEX('CART Data'!B:B,SMALL($B:$B,ROWS($1:4))))</f>
        <v/>
      </c>
      <c r="D5" s="0" t="str">
        <f aca="false">IF(ROWS($1:4)&gt;COUNT($B:$B),"",INDEX('CART Data'!A:A,SMALL($B:$B,ROWS($1:4))))</f>
        <v/>
      </c>
    </row>
    <row r="6" customFormat="false" ht="14.25" hidden="false" customHeight="false" outlineLevel="0" collapsed="false">
      <c r="B6" s="0" t="str">
        <f aca="false">IF('CART Data'!B6=$A$1,ROW(),"")</f>
        <v/>
      </c>
      <c r="C6" s="0" t="str">
        <f aca="false">IF(ROWS($1:5)&gt;COUNT($B:$B),"",INDEX('CART Data'!B:B,SMALL($B:$B,ROWS($1:5))))</f>
        <v/>
      </c>
      <c r="D6" s="0" t="str">
        <f aca="false">IF(ROWS($1:5)&gt;COUNT($B:$B),"",INDEX('CART Data'!A:A,SMALL($B:$B,ROWS($1:5))))</f>
        <v/>
      </c>
    </row>
    <row r="7" customFormat="false" ht="14.25" hidden="false" customHeight="false" outlineLevel="0" collapsed="false">
      <c r="B7" s="0" t="str">
        <f aca="false">IF('CART Data'!B7=$A$1,ROW(),"")</f>
        <v/>
      </c>
      <c r="C7" s="0" t="str">
        <f aca="false">IF(ROWS($1:6)&gt;COUNT($B:$B),"",INDEX('CART Data'!B:B,SMALL($B:$B,ROWS($1:6))))</f>
        <v/>
      </c>
      <c r="D7" s="0" t="str">
        <f aca="false">IF(ROWS($1:6)&gt;COUNT($B:$B),"",INDEX('CART Data'!A:A,SMALL($B:$B,ROWS($1:6))))</f>
        <v/>
      </c>
    </row>
    <row r="8" customFormat="false" ht="14.25" hidden="false" customHeight="false" outlineLevel="0" collapsed="false">
      <c r="B8" s="0" t="str">
        <f aca="false">IF('CART Data'!B8=$A$1,ROW(),"")</f>
        <v/>
      </c>
      <c r="C8" s="0" t="str">
        <f aca="false">IF(ROWS($1:7)&gt;COUNT($B:$B),"",INDEX('CART Data'!B:B,SMALL($B:$B,ROWS($1:7))))</f>
        <v/>
      </c>
      <c r="D8" s="0" t="str">
        <f aca="false">IF(ROWS($1:7)&gt;COUNT($B:$B),"",INDEX('CART Data'!A:A,SMALL($B:$B,ROWS($1:7))))</f>
        <v/>
      </c>
    </row>
    <row r="9" customFormat="false" ht="14.25" hidden="false" customHeight="false" outlineLevel="0" collapsed="false">
      <c r="B9" s="0" t="str">
        <f aca="false">IF('CART Data'!B9=$A$1,ROW(),"")</f>
        <v/>
      </c>
      <c r="C9" s="0" t="str">
        <f aca="false">IF(ROWS($1:8)&gt;COUNT($B:$B),"",INDEX('CART Data'!B:B,SMALL($B:$B,ROWS($1:8))))</f>
        <v/>
      </c>
      <c r="D9" s="0" t="str">
        <f aca="false">IF(ROWS($1:8)&gt;COUNT($B:$B),"",INDEX('CART Data'!A:A,SMALL($B:$B,ROWS($1:8))))</f>
        <v/>
      </c>
    </row>
    <row r="10" customFormat="false" ht="14.25" hidden="false" customHeight="false" outlineLevel="0" collapsed="false">
      <c r="B10" s="0" t="str">
        <f aca="false">IF('CART Data'!B10=$A$1,ROW(),"")</f>
        <v/>
      </c>
      <c r="C10" s="0" t="str">
        <f aca="false">IF(ROWS($1:9)&gt;COUNT($B:$B),"",INDEX('CART Data'!B:B,SMALL($B:$B,ROWS($1:9))))</f>
        <v/>
      </c>
      <c r="D10" s="0" t="str">
        <f aca="false">IF(ROWS($1:9)&gt;COUNT($B:$B),"",INDEX('CART Data'!A:A,SMALL($B:$B,ROWS($1:9))))</f>
        <v/>
      </c>
    </row>
    <row r="11" customFormat="false" ht="14.25" hidden="false" customHeight="false" outlineLevel="0" collapsed="false">
      <c r="B11" s="0" t="str">
        <f aca="false">IF('CART Data'!B11=$A$1,ROW(),"")</f>
        <v/>
      </c>
      <c r="C11" s="0" t="str">
        <f aca="false">IF(ROWS($1:10)&gt;COUNT($B:$B),"",INDEX('CART Data'!B:B,SMALL($B:$B,ROWS($1:10))))</f>
        <v/>
      </c>
      <c r="D11" s="0" t="str">
        <f aca="false">IF(ROWS($1:10)&gt;COUNT($B:$B),"",INDEX('CART Data'!A:A,SMALL($B:$B,ROWS($1:10))))</f>
        <v/>
      </c>
    </row>
    <row r="12" customFormat="false" ht="14.25" hidden="false" customHeight="false" outlineLevel="0" collapsed="false">
      <c r="B12" s="0" t="str">
        <f aca="false">IF('CART Data'!B12=$A$1,ROW(),"")</f>
        <v/>
      </c>
      <c r="C12" s="0" t="str">
        <f aca="false">IF(ROWS($1:11)&gt;COUNT($B:$B),"",INDEX('CART Data'!B:B,SMALL($B:$B,ROWS($1:11))))</f>
        <v/>
      </c>
      <c r="D12" s="0" t="str">
        <f aca="false">IF(ROWS($1:11)&gt;COUNT($B:$B),"",INDEX('CART Data'!A:A,SMALL($B:$B,ROWS($1:11))))</f>
        <v/>
      </c>
    </row>
    <row r="13" customFormat="false" ht="14.25" hidden="false" customHeight="false" outlineLevel="0" collapsed="false">
      <c r="B13" s="0" t="str">
        <f aca="false">IF('CART Data'!B13=$A$1,ROW(),"")</f>
        <v/>
      </c>
      <c r="C13" s="0" t="str">
        <f aca="false">IF(ROWS($1:12)&gt;COUNT($B:$B),"",INDEX('CART Data'!B:B,SMALL($B:$B,ROWS($1:12))))</f>
        <v/>
      </c>
      <c r="D13" s="0" t="str">
        <f aca="false">IF(ROWS($1:12)&gt;COUNT($B:$B),"",INDEX('CART Data'!A:A,SMALL($B:$B,ROWS($1:12))))</f>
        <v/>
      </c>
    </row>
    <row r="14" customFormat="false" ht="14.25" hidden="false" customHeight="false" outlineLevel="0" collapsed="false">
      <c r="B14" s="0" t="str">
        <f aca="false">IF('CART Data'!B14=$A$1,ROW(),"")</f>
        <v/>
      </c>
      <c r="C14" s="0" t="str">
        <f aca="false">IF(ROWS($1:13)&gt;COUNT($B:$B),"",INDEX('CART Data'!B:B,SMALL($B:$B,ROWS($1:13))))</f>
        <v/>
      </c>
      <c r="D14" s="0" t="str">
        <f aca="false">IF(ROWS($1:13)&gt;COUNT($B:$B),"",INDEX('CART Data'!A:A,SMALL($B:$B,ROWS($1:13))))</f>
        <v/>
      </c>
    </row>
    <row r="15" customFormat="false" ht="14.25" hidden="false" customHeight="false" outlineLevel="0" collapsed="false">
      <c r="B15" s="0" t="str">
        <f aca="false">IF('CART Data'!B15=$A$1,ROW(),"")</f>
        <v/>
      </c>
      <c r="C15" s="0" t="str">
        <f aca="false">IF(ROWS($1:14)&gt;COUNT($B:$B),"",INDEX('CART Data'!B:B,SMALL($B:$B,ROWS($1:14))))</f>
        <v/>
      </c>
      <c r="D15" s="0" t="str">
        <f aca="false">IF(ROWS($1:14)&gt;COUNT($B:$B),"",INDEX('CART Data'!A:A,SMALL($B:$B,ROWS($1:14))))</f>
        <v/>
      </c>
    </row>
    <row r="16" customFormat="false" ht="14.25" hidden="false" customHeight="false" outlineLevel="0" collapsed="false">
      <c r="B16" s="0" t="str">
        <f aca="false">IF('CART Data'!B16=$A$1,ROW(),"")</f>
        <v/>
      </c>
      <c r="C16" s="0" t="str">
        <f aca="false">IF(ROWS($1:15)&gt;COUNT($B:$B),"",INDEX('CART Data'!B:B,SMALL($B:$B,ROWS($1:15))))</f>
        <v/>
      </c>
      <c r="D16" s="0" t="str">
        <f aca="false">IF(ROWS($1:15)&gt;COUNT($B:$B),"",INDEX('CART Data'!A:A,SMALL($B:$B,ROWS($1:15))))</f>
        <v/>
      </c>
    </row>
    <row r="17" customFormat="false" ht="14.25" hidden="false" customHeight="false" outlineLevel="0" collapsed="false">
      <c r="B17" s="0" t="str">
        <f aca="false">IF('CART Data'!B17=$A$1,ROW(),"")</f>
        <v/>
      </c>
      <c r="C17" s="0" t="str">
        <f aca="false">IF(ROWS($1:16)&gt;COUNT($B:$B),"",INDEX('CART Data'!B:B,SMALL($B:$B,ROWS($1:16))))</f>
        <v/>
      </c>
      <c r="D17" s="0" t="str">
        <f aca="false">IF(ROWS($1:16)&gt;COUNT($B:$B),"",INDEX('CART Data'!A:A,SMALL($B:$B,ROWS($1:16))))</f>
        <v/>
      </c>
    </row>
    <row r="18" customFormat="false" ht="14.25" hidden="false" customHeight="false" outlineLevel="0" collapsed="false">
      <c r="B18" s="0" t="str">
        <f aca="false">IF('CART Data'!B18=$A$1,ROW(),"")</f>
        <v/>
      </c>
      <c r="C18" s="0" t="str">
        <f aca="false">IF(ROWS($1:17)&gt;COUNT($B:$B),"",INDEX('CART Data'!B:B,SMALL($B:$B,ROWS($1:17))))</f>
        <v/>
      </c>
      <c r="D18" s="0" t="str">
        <f aca="false">IF(ROWS($1:17)&gt;COUNT($B:$B),"",INDEX('CART Data'!A:A,SMALL($B:$B,ROWS($1:17))))</f>
        <v/>
      </c>
    </row>
    <row r="19" customFormat="false" ht="14.25" hidden="false" customHeight="false" outlineLevel="0" collapsed="false">
      <c r="B19" s="0" t="str">
        <f aca="false">IF('CART Data'!B19=$A$1,ROW(),"")</f>
        <v/>
      </c>
      <c r="C19" s="0" t="str">
        <f aca="false">IF(ROWS($1:18)&gt;COUNT($B:$B),"",INDEX('CART Data'!B:B,SMALL($B:$B,ROWS($1:18))))</f>
        <v/>
      </c>
      <c r="D19" s="0" t="str">
        <f aca="false">IF(ROWS($1:18)&gt;COUNT($B:$B),"",INDEX('CART Data'!A:A,SMALL($B:$B,ROWS($1:18))))</f>
        <v/>
      </c>
    </row>
    <row r="20" customFormat="false" ht="14.25" hidden="false" customHeight="false" outlineLevel="0" collapsed="false">
      <c r="B20" s="0" t="str">
        <f aca="false">IF('CART Data'!B20=$A$1,ROW(),"")</f>
        <v/>
      </c>
      <c r="C20" s="0" t="str">
        <f aca="false">IF(ROWS($1:19)&gt;COUNT($B:$B),"",INDEX('CART Data'!B:B,SMALL($B:$B,ROWS($1:19))))</f>
        <v/>
      </c>
      <c r="D20" s="0" t="str">
        <f aca="false">IF(ROWS($1:19)&gt;COUNT($B:$B),"",INDEX('CART Data'!A:A,SMALL($B:$B,ROWS($1:19))))</f>
        <v/>
      </c>
    </row>
    <row r="21" customFormat="false" ht="14.25" hidden="false" customHeight="false" outlineLevel="0" collapsed="false">
      <c r="B21" s="0" t="str">
        <f aca="false">IF('CART Data'!B21=$A$1,ROW(),"")</f>
        <v/>
      </c>
      <c r="C21" s="0" t="str">
        <f aca="false">IF(ROWS($1:20)&gt;COUNT($B:$B),"",INDEX('CART Data'!B:B,SMALL($B:$B,ROWS($1:20))))</f>
        <v/>
      </c>
      <c r="D21" s="0" t="str">
        <f aca="false">IF(ROWS($1:20)&gt;COUNT($B:$B),"",INDEX('CART Data'!A:A,SMALL($B:$B,ROWS($1:20))))</f>
        <v/>
      </c>
    </row>
    <row r="22" customFormat="false" ht="14.25" hidden="false" customHeight="false" outlineLevel="0" collapsed="false">
      <c r="B22" s="0" t="str">
        <f aca="false">IF('CART Data'!B22=$A$1,ROW(),"")</f>
        <v/>
      </c>
      <c r="C22" s="0" t="str">
        <f aca="false">IF(ROWS($1:21)&gt;COUNT($B:$B),"",INDEX('CART Data'!B:B,SMALL($B:$B,ROWS($1:21))))</f>
        <v/>
      </c>
      <c r="D22" s="0" t="str">
        <f aca="false">IF(ROWS($1:21)&gt;COUNT($B:$B),"",INDEX('CART Data'!A:A,SMALL($B:$B,ROWS($1:21))))</f>
        <v/>
      </c>
    </row>
    <row r="23" customFormat="false" ht="14.25" hidden="false" customHeight="false" outlineLevel="0" collapsed="false">
      <c r="B23" s="0" t="str">
        <f aca="false">IF('CART Data'!B23=$A$1,ROW(),"")</f>
        <v/>
      </c>
      <c r="C23" s="0" t="str">
        <f aca="false">IF(ROWS($1:22)&gt;COUNT($B:$B),"",INDEX('CART Data'!B:B,SMALL($B:$B,ROWS($1:22))))</f>
        <v/>
      </c>
      <c r="D23" s="0" t="str">
        <f aca="false">IF(ROWS($1:22)&gt;COUNT($B:$B),"",INDEX('CART Data'!A:A,SMALL($B:$B,ROWS($1:22))))</f>
        <v/>
      </c>
    </row>
    <row r="24" customFormat="false" ht="14.25" hidden="false" customHeight="false" outlineLevel="0" collapsed="false">
      <c r="B24" s="0" t="str">
        <f aca="false">IF('CART Data'!B24=$A$1,ROW(),"")</f>
        <v/>
      </c>
      <c r="C24" s="0" t="str">
        <f aca="false">IF(ROWS($1:23)&gt;COUNT($B:$B),"",INDEX('CART Data'!B:B,SMALL($B:$B,ROWS($1:23))))</f>
        <v/>
      </c>
      <c r="D24" s="0" t="str">
        <f aca="false">IF(ROWS($1:23)&gt;COUNT($B:$B),"",INDEX('CART Data'!A:A,SMALL($B:$B,ROWS($1:23))))</f>
        <v/>
      </c>
    </row>
    <row r="25" customFormat="false" ht="14.25" hidden="false" customHeight="false" outlineLevel="0" collapsed="false">
      <c r="B25" s="0" t="str">
        <f aca="false">IF('CART Data'!B25=$A$1,ROW(),"")</f>
        <v/>
      </c>
      <c r="C25" s="0" t="str">
        <f aca="false">IF(ROWS($1:24)&gt;COUNT($B:$B),"",INDEX('CART Data'!B:B,SMALL($B:$B,ROWS($1:24))))</f>
        <v/>
      </c>
      <c r="D25" s="0" t="str">
        <f aca="false">IF(ROWS($1:24)&gt;COUNT($B:$B),"",INDEX('CART Data'!A:A,SMALL($B:$B,ROWS($1:24))))</f>
        <v/>
      </c>
    </row>
    <row r="26" customFormat="false" ht="14.25" hidden="false" customHeight="false" outlineLevel="0" collapsed="false">
      <c r="B26" s="0" t="str">
        <f aca="false">IF('CART Data'!B26=$A$1,ROW(),"")</f>
        <v/>
      </c>
      <c r="C26" s="0" t="str">
        <f aca="false">IF(ROWS($1:25)&gt;COUNT($B:$B),"",INDEX('CART Data'!B:B,SMALL($B:$B,ROWS($1:25))))</f>
        <v/>
      </c>
      <c r="D26" s="0" t="str">
        <f aca="false">IF(ROWS($1:25)&gt;COUNT($B:$B),"",INDEX('CART Data'!A:A,SMALL($B:$B,ROWS($1:25))))</f>
        <v/>
      </c>
    </row>
    <row r="27" customFormat="false" ht="14.25" hidden="false" customHeight="false" outlineLevel="0" collapsed="false">
      <c r="B27" s="0" t="str">
        <f aca="false">IF('CART Data'!B27=$A$1,ROW(),"")</f>
        <v/>
      </c>
      <c r="C27" s="0" t="str">
        <f aca="false">IF(ROWS($1:26)&gt;COUNT($B:$B),"",INDEX('CART Data'!B:B,SMALL($B:$B,ROWS($1:26))))</f>
        <v/>
      </c>
      <c r="D27" s="0" t="str">
        <f aca="false">IF(ROWS($1:26)&gt;COUNT($B:$B),"",INDEX('CART Data'!A:A,SMALL($B:$B,ROWS($1:26))))</f>
        <v/>
      </c>
    </row>
    <row r="28" customFormat="false" ht="14.25" hidden="false" customHeight="false" outlineLevel="0" collapsed="false">
      <c r="B28" s="0" t="str">
        <f aca="false">IF('CART Data'!B28=$A$1,ROW(),"")</f>
        <v/>
      </c>
      <c r="C28" s="0" t="str">
        <f aca="false">IF(ROWS($1:27)&gt;COUNT($B:$B),"",INDEX('CART Data'!B:B,SMALL($B:$B,ROWS($1:27))))</f>
        <v/>
      </c>
      <c r="D28" s="0" t="str">
        <f aca="false">IF(ROWS($1:27)&gt;COUNT($B:$B),"",INDEX('CART Data'!A:A,SMALL($B:$B,ROWS($1:27))))</f>
        <v/>
      </c>
    </row>
    <row r="29" customFormat="false" ht="14.25" hidden="false" customHeight="false" outlineLevel="0" collapsed="false">
      <c r="B29" s="0" t="str">
        <f aca="false">IF('CART Data'!B29=$A$1,ROW(),"")</f>
        <v/>
      </c>
      <c r="C29" s="0" t="str">
        <f aca="false">IF(ROWS($1:28)&gt;COUNT($B:$B),"",INDEX('CART Data'!B:B,SMALL($B:$B,ROWS($1:28))))</f>
        <v/>
      </c>
      <c r="D29" s="0" t="str">
        <f aca="false">IF(ROWS($1:28)&gt;COUNT($B:$B),"",INDEX('CART Data'!A:A,SMALL($B:$B,ROWS($1:28))))</f>
        <v/>
      </c>
    </row>
    <row r="30" customFormat="false" ht="14.25" hidden="false" customHeight="false" outlineLevel="0" collapsed="false">
      <c r="B30" s="0" t="str">
        <f aca="false">IF('CART Data'!B30=$A$1,ROW(),"")</f>
        <v/>
      </c>
      <c r="C30" s="0" t="str">
        <f aca="false">IF(ROWS($1:29)&gt;COUNT($B:$B),"",INDEX('CART Data'!B:B,SMALL($B:$B,ROWS($1:29))))</f>
        <v/>
      </c>
      <c r="D30" s="0" t="str">
        <f aca="false">IF(ROWS($1:29)&gt;COUNT($B:$B),"",INDEX('CART Data'!A:A,SMALL($B:$B,ROWS($1:29))))</f>
        <v/>
      </c>
    </row>
    <row r="31" customFormat="false" ht="14.25" hidden="false" customHeight="false" outlineLevel="0" collapsed="false">
      <c r="B31" s="0" t="str">
        <f aca="false">IF('CART Data'!B31=$A$1,ROW(),"")</f>
        <v/>
      </c>
      <c r="C31" s="0" t="str">
        <f aca="false">IF(ROWS($1:30)&gt;COUNT($B:$B),"",INDEX('CART Data'!B:B,SMALL($B:$B,ROWS($1:30))))</f>
        <v/>
      </c>
      <c r="D31" s="0" t="str">
        <f aca="false">IF(ROWS($1:30)&gt;COUNT($B:$B),"",INDEX('CART Data'!A:A,SMALL($B:$B,ROWS($1:30))))</f>
        <v/>
      </c>
    </row>
    <row r="32" customFormat="false" ht="14.25" hidden="false" customHeight="false" outlineLevel="0" collapsed="false">
      <c r="B32" s="0" t="str">
        <f aca="false">IF('CART Data'!B32=$A$1,ROW(),"")</f>
        <v/>
      </c>
      <c r="C32" s="0" t="str">
        <f aca="false">IF(ROWS($1:31)&gt;COUNT($B:$B),"",INDEX('CART Data'!B:B,SMALL($B:$B,ROWS($1:31))))</f>
        <v/>
      </c>
      <c r="D32" s="0" t="str">
        <f aca="false">IF(ROWS($1:31)&gt;COUNT($B:$B),"",INDEX('CART Data'!A:A,SMALL($B:$B,ROWS($1:31))))</f>
        <v/>
      </c>
    </row>
    <row r="33" customFormat="false" ht="14.25" hidden="false" customHeight="false" outlineLevel="0" collapsed="false">
      <c r="B33" s="0" t="str">
        <f aca="false">IF('CART Data'!B33=$A$1,ROW(),"")</f>
        <v/>
      </c>
      <c r="C33" s="0" t="str">
        <f aca="false">IF(ROWS($1:32)&gt;COUNT($B:$B),"",INDEX('CART Data'!B:B,SMALL($B:$B,ROWS($1:32))))</f>
        <v/>
      </c>
      <c r="D33" s="0" t="str">
        <f aca="false">IF(ROWS($1:32)&gt;COUNT($B:$B),"",INDEX('CART Data'!A:A,SMALL($B:$B,ROWS($1:32))))</f>
        <v/>
      </c>
    </row>
    <row r="34" customFormat="false" ht="14.25" hidden="false" customHeight="false" outlineLevel="0" collapsed="false">
      <c r="B34" s="0" t="str">
        <f aca="false">IF('CART Data'!B34=$A$1,ROW(),"")</f>
        <v/>
      </c>
      <c r="C34" s="0" t="str">
        <f aca="false">IF(ROWS($1:33)&gt;COUNT($B:$B),"",INDEX('CART Data'!B:B,SMALL($B:$B,ROWS($1:33))))</f>
        <v/>
      </c>
      <c r="D34" s="0" t="str">
        <f aca="false">IF(ROWS($1:33)&gt;COUNT($B:$B),"",INDEX('CART Data'!A:A,SMALL($B:$B,ROWS($1:33))))</f>
        <v/>
      </c>
    </row>
    <row r="35" customFormat="false" ht="14.25" hidden="false" customHeight="false" outlineLevel="0" collapsed="false">
      <c r="B35" s="0" t="str">
        <f aca="false">IF('CART Data'!B35=$A$1,ROW(),"")</f>
        <v/>
      </c>
      <c r="C35" s="0" t="str">
        <f aca="false">IF(ROWS($1:34)&gt;COUNT($B:$B),"",INDEX('CART Data'!B:B,SMALL($B:$B,ROWS($1:34))))</f>
        <v/>
      </c>
      <c r="D35" s="0" t="str">
        <f aca="false">IF(ROWS($1:34)&gt;COUNT($B:$B),"",INDEX('CART Data'!A:A,SMALL($B:$B,ROWS($1:34))))</f>
        <v/>
      </c>
    </row>
    <row r="36" customFormat="false" ht="14.25" hidden="false" customHeight="false" outlineLevel="0" collapsed="false">
      <c r="B36" s="0" t="str">
        <f aca="false">IF('CART Data'!B36=$A$1,ROW(),"")</f>
        <v/>
      </c>
      <c r="C36" s="0" t="str">
        <f aca="false">IF(ROWS($1:35)&gt;COUNT($B:$B),"",INDEX('CART Data'!B:B,SMALL($B:$B,ROWS($1:35))))</f>
        <v/>
      </c>
      <c r="D36" s="0" t="str">
        <f aca="false">IF(ROWS($1:35)&gt;COUNT($B:$B),"",INDEX('CART Data'!A:A,SMALL($B:$B,ROWS($1:35))))</f>
        <v/>
      </c>
    </row>
    <row r="37" customFormat="false" ht="14.25" hidden="false" customHeight="false" outlineLevel="0" collapsed="false">
      <c r="B37" s="0" t="str">
        <f aca="false">IF('CART Data'!B37=$A$1,ROW(),"")</f>
        <v/>
      </c>
      <c r="C37" s="0" t="str">
        <f aca="false">IF(ROWS($1:36)&gt;COUNT($B:$B),"",INDEX('CART Data'!B:B,SMALL($B:$B,ROWS($1:36))))</f>
        <v/>
      </c>
      <c r="D37" s="0" t="str">
        <f aca="false">IF(ROWS($1:36)&gt;COUNT($B:$B),"",INDEX('CART Data'!A:A,SMALL($B:$B,ROWS($1:36))))</f>
        <v/>
      </c>
    </row>
    <row r="38" customFormat="false" ht="14.25" hidden="false" customHeight="false" outlineLevel="0" collapsed="false">
      <c r="B38" s="0" t="str">
        <f aca="false">IF('CART Data'!B38=$A$1,ROW(),"")</f>
        <v/>
      </c>
      <c r="C38" s="0" t="str">
        <f aca="false">IF(ROWS($1:37)&gt;COUNT($B:$B),"",INDEX('CART Data'!B:B,SMALL($B:$B,ROWS($1:37))))</f>
        <v/>
      </c>
      <c r="D38" s="0" t="str">
        <f aca="false">IF(ROWS($1:37)&gt;COUNT($B:$B),"",INDEX('CART Data'!A:A,SMALL($B:$B,ROWS($1:37))))</f>
        <v/>
      </c>
    </row>
    <row r="39" customFormat="false" ht="14.25" hidden="false" customHeight="false" outlineLevel="0" collapsed="false">
      <c r="B39" s="0" t="str">
        <f aca="false">IF('CART Data'!B39=$A$1,ROW(),"")</f>
        <v/>
      </c>
      <c r="C39" s="0" t="str">
        <f aca="false">IF(ROWS($1:38)&gt;COUNT($B:$B),"",INDEX('CART Data'!B:B,SMALL($B:$B,ROWS($1:38))))</f>
        <v/>
      </c>
      <c r="D39" s="0" t="str">
        <f aca="false">IF(ROWS($1:38)&gt;COUNT($B:$B),"",INDEX('CART Data'!A:A,SMALL($B:$B,ROWS($1:38))))</f>
        <v/>
      </c>
    </row>
    <row r="40" customFormat="false" ht="14.25" hidden="false" customHeight="false" outlineLevel="0" collapsed="false">
      <c r="B40" s="0" t="str">
        <f aca="false">IF('CART Data'!B40=$A$1,ROW(),"")</f>
        <v/>
      </c>
      <c r="C40" s="0" t="str">
        <f aca="false">IF(ROWS($1:39)&gt;COUNT($B:$B),"",INDEX('CART Data'!B:B,SMALL($B:$B,ROWS($1:39))))</f>
        <v/>
      </c>
      <c r="D40" s="0" t="str">
        <f aca="false">IF(ROWS($1:39)&gt;COUNT($B:$B),"",INDEX('CART Data'!A:A,SMALL($B:$B,ROWS($1:39))))</f>
        <v/>
      </c>
    </row>
    <row r="41" customFormat="false" ht="14.25" hidden="false" customHeight="false" outlineLevel="0" collapsed="false">
      <c r="B41" s="0" t="str">
        <f aca="false">IF('CART Data'!B41=$A$1,ROW(),"")</f>
        <v/>
      </c>
      <c r="C41" s="0" t="str">
        <f aca="false">IF(ROWS($1:40)&gt;COUNT($B:$B),"",INDEX('CART Data'!B:B,SMALL($B:$B,ROWS($1:40))))</f>
        <v/>
      </c>
      <c r="D41" s="0" t="str">
        <f aca="false">IF(ROWS($1:40)&gt;COUNT($B:$B),"",INDEX('CART Data'!A:A,SMALL($B:$B,ROWS($1:40))))</f>
        <v/>
      </c>
    </row>
    <row r="42" customFormat="false" ht="14.25" hidden="false" customHeight="false" outlineLevel="0" collapsed="false">
      <c r="B42" s="0" t="str">
        <f aca="false">IF('CART Data'!B42=$A$1,ROW(),"")</f>
        <v/>
      </c>
      <c r="C42" s="0" t="str">
        <f aca="false">IF(ROWS($1:41)&gt;COUNT($B:$B),"",INDEX('CART Data'!B:B,SMALL($B:$B,ROWS($1:41))))</f>
        <v/>
      </c>
      <c r="D42" s="0" t="str">
        <f aca="false">IF(ROWS($1:41)&gt;COUNT($B:$B),"",INDEX('CART Data'!A:A,SMALL($B:$B,ROWS($1:41))))</f>
        <v/>
      </c>
    </row>
    <row r="43" customFormat="false" ht="14.25" hidden="false" customHeight="false" outlineLevel="0" collapsed="false">
      <c r="B43" s="0" t="str">
        <f aca="false">IF('CART Data'!B43=$A$1,ROW(),"")</f>
        <v/>
      </c>
      <c r="C43" s="0" t="str">
        <f aca="false">IF(ROWS($1:42)&gt;COUNT($B:$B),"",INDEX('CART Data'!B:B,SMALL($B:$B,ROWS($1:42))))</f>
        <v/>
      </c>
      <c r="D43" s="0" t="str">
        <f aca="false">IF(ROWS($1:42)&gt;COUNT($B:$B),"",INDEX('CART Data'!A:A,SMALL($B:$B,ROWS($1:42))))</f>
        <v/>
      </c>
    </row>
    <row r="44" customFormat="false" ht="14.25" hidden="false" customHeight="false" outlineLevel="0" collapsed="false">
      <c r="B44" s="0" t="str">
        <f aca="false">IF('CART Data'!B44=$A$1,ROW(),"")</f>
        <v/>
      </c>
      <c r="C44" s="0" t="str">
        <f aca="false">IF(ROWS($1:43)&gt;COUNT($B:$B),"",INDEX('CART Data'!B:B,SMALL($B:$B,ROWS($1:43))))</f>
        <v/>
      </c>
      <c r="D44" s="0" t="str">
        <f aca="false">IF(ROWS($1:43)&gt;COUNT($B:$B),"",INDEX('CART Data'!A:A,SMALL($B:$B,ROWS($1:43))))</f>
        <v/>
      </c>
    </row>
    <row r="45" customFormat="false" ht="14.25" hidden="false" customHeight="false" outlineLevel="0" collapsed="false">
      <c r="B45" s="0" t="str">
        <f aca="false">IF('CART Data'!B45=$A$1,ROW(),"")</f>
        <v/>
      </c>
      <c r="C45" s="0" t="str">
        <f aca="false">IF(ROWS($1:44)&gt;COUNT($B:$B),"",INDEX('CART Data'!B:B,SMALL($B:$B,ROWS($1:44))))</f>
        <v/>
      </c>
      <c r="D45" s="0" t="str">
        <f aca="false">IF(ROWS($1:44)&gt;COUNT($B:$B),"",INDEX('CART Data'!A:A,SMALL($B:$B,ROWS($1:44))))</f>
        <v/>
      </c>
    </row>
    <row r="46" customFormat="false" ht="14.25" hidden="false" customHeight="false" outlineLevel="0" collapsed="false">
      <c r="B46" s="0" t="str">
        <f aca="false">IF('CART Data'!B46=$A$1,ROW(),"")</f>
        <v/>
      </c>
      <c r="C46" s="0" t="str">
        <f aca="false">IF(ROWS($1:45)&gt;COUNT($B:$B),"",INDEX('CART Data'!B:B,SMALL($B:$B,ROWS($1:45))))</f>
        <v/>
      </c>
      <c r="D46" s="0" t="str">
        <f aca="false">IF(ROWS($1:45)&gt;COUNT($B:$B),"",INDEX('CART Data'!A:A,SMALL($B:$B,ROWS($1:45))))</f>
        <v/>
      </c>
    </row>
    <row r="47" customFormat="false" ht="14.25" hidden="false" customHeight="false" outlineLevel="0" collapsed="false">
      <c r="B47" s="0" t="str">
        <f aca="false">IF('CART Data'!B47=$A$1,ROW(),"")</f>
        <v/>
      </c>
      <c r="C47" s="0" t="str">
        <f aca="false">IF(ROWS($1:46)&gt;COUNT($B:$B),"",INDEX('CART Data'!B:B,SMALL($B:$B,ROWS($1:46))))</f>
        <v/>
      </c>
      <c r="D47" s="0" t="str">
        <f aca="false">IF(ROWS($1:46)&gt;COUNT($B:$B),"",INDEX('CART Data'!A:A,SMALL($B:$B,ROWS($1:46))))</f>
        <v/>
      </c>
    </row>
    <row r="48" customFormat="false" ht="14.25" hidden="false" customHeight="false" outlineLevel="0" collapsed="false">
      <c r="B48" s="0" t="str">
        <f aca="false">IF('CART Data'!B48=$A$1,ROW(),"")</f>
        <v/>
      </c>
      <c r="C48" s="0" t="str">
        <f aca="false">IF(ROWS($1:47)&gt;COUNT($B:$B),"",INDEX('CART Data'!B:B,SMALL($B:$B,ROWS($1:47))))</f>
        <v/>
      </c>
      <c r="D48" s="0" t="str">
        <f aca="false">IF(ROWS($1:47)&gt;COUNT($B:$B),"",INDEX('CART Data'!A:A,SMALL($B:$B,ROWS($1:47))))</f>
        <v/>
      </c>
    </row>
    <row r="49" customFormat="false" ht="14.25" hidden="false" customHeight="false" outlineLevel="0" collapsed="false">
      <c r="B49" s="0" t="str">
        <f aca="false">IF('CART Data'!B49=$A$1,ROW(),"")</f>
        <v/>
      </c>
      <c r="C49" s="0" t="str">
        <f aca="false">IF(ROWS($1:48)&gt;COUNT($B:$B),"",INDEX('CART Data'!B:B,SMALL($B:$B,ROWS($1:48))))</f>
        <v/>
      </c>
      <c r="D49" s="0" t="str">
        <f aca="false">IF(ROWS($1:48)&gt;COUNT($B:$B),"",INDEX('CART Data'!A:A,SMALL($B:$B,ROWS($1:48))))</f>
        <v/>
      </c>
    </row>
    <row r="50" customFormat="false" ht="14.25" hidden="false" customHeight="false" outlineLevel="0" collapsed="false">
      <c r="B50" s="0" t="str">
        <f aca="false">IF('CART Data'!B50=$A$1,ROW(),"")</f>
        <v/>
      </c>
      <c r="C50" s="0" t="str">
        <f aca="false">IF(ROWS($1:49)&gt;COUNT($B:$B),"",INDEX('CART Data'!B:B,SMALL($B:$B,ROWS($1:49))))</f>
        <v/>
      </c>
      <c r="D50" s="0" t="str">
        <f aca="false">IF(ROWS($1:49)&gt;COUNT($B:$B),"",INDEX('CART Data'!A:A,SMALL($B:$B,ROWS($1:49))))</f>
        <v/>
      </c>
    </row>
    <row r="51" customFormat="false" ht="14.25" hidden="false" customHeight="false" outlineLevel="0" collapsed="false">
      <c r="B51" s="0" t="str">
        <f aca="false">IF('CART Data'!B51=$A$1,ROW(),"")</f>
        <v/>
      </c>
      <c r="C51" s="0" t="str">
        <f aca="false">IF(ROWS($1:50)&gt;COUNT($B:$B),"",INDEX('CART Data'!B:B,SMALL($B:$B,ROWS($1:50))))</f>
        <v/>
      </c>
      <c r="D51" s="0" t="str">
        <f aca="false">IF(ROWS($1:50)&gt;COUNT($B:$B),"",INDEX('CART Data'!A:A,SMALL($B:$B,ROWS($1:50))))</f>
        <v/>
      </c>
    </row>
    <row r="52" customFormat="false" ht="14.25" hidden="false" customHeight="false" outlineLevel="0" collapsed="false">
      <c r="B52" s="0" t="str">
        <f aca="false">IF('CART Data'!B52=$A$1,ROW(),"")</f>
        <v/>
      </c>
      <c r="C52" s="0" t="str">
        <f aca="false">IF(ROWS($1:51)&gt;COUNT($B:$B),"",INDEX('CART Data'!B:B,SMALL($B:$B,ROWS($1:51))))</f>
        <v/>
      </c>
      <c r="D52" s="0" t="str">
        <f aca="false">IF(ROWS($1:51)&gt;COUNT($B:$B),"",INDEX('CART Data'!A:A,SMALL($B:$B,ROWS($1:51))))</f>
        <v/>
      </c>
    </row>
    <row r="53" customFormat="false" ht="14.25" hidden="false" customHeight="false" outlineLevel="0" collapsed="false">
      <c r="B53" s="0" t="str">
        <f aca="false">IF('CART Data'!B53=$A$1,ROW(),"")</f>
        <v/>
      </c>
      <c r="C53" s="0" t="str">
        <f aca="false">IF(ROWS($1:52)&gt;COUNT($B:$B),"",INDEX('CART Data'!B:B,SMALL($B:$B,ROWS($1:52))))</f>
        <v/>
      </c>
      <c r="D53" s="0" t="str">
        <f aca="false">IF(ROWS($1:52)&gt;COUNT($B:$B),"",INDEX('CART Data'!A:A,SMALL($B:$B,ROWS($1:52))))</f>
        <v/>
      </c>
    </row>
    <row r="54" customFormat="false" ht="14.25" hidden="false" customHeight="false" outlineLevel="0" collapsed="false">
      <c r="B54" s="0" t="str">
        <f aca="false">IF('CART Data'!B54=$A$1,ROW(),"")</f>
        <v/>
      </c>
      <c r="C54" s="0" t="str">
        <f aca="false">IF(ROWS($1:53)&gt;COUNT($B:$B),"",INDEX('CART Data'!B:B,SMALL($B:$B,ROWS($1:53))))</f>
        <v/>
      </c>
      <c r="D54" s="0" t="str">
        <f aca="false">IF(ROWS($1:53)&gt;COUNT($B:$B),"",INDEX('CART Data'!A:A,SMALL($B:$B,ROWS($1:53))))</f>
        <v/>
      </c>
    </row>
    <row r="55" customFormat="false" ht="14.25" hidden="false" customHeight="false" outlineLevel="0" collapsed="false">
      <c r="B55" s="0" t="str">
        <f aca="false">IF('CART Data'!B55=$A$1,ROW(),"")</f>
        <v/>
      </c>
      <c r="C55" s="0" t="str">
        <f aca="false">IF(ROWS($1:54)&gt;COUNT($B:$B),"",INDEX('CART Data'!B:B,SMALL($B:$B,ROWS($1:54))))</f>
        <v/>
      </c>
      <c r="D55" s="0" t="str">
        <f aca="false">IF(ROWS($1:54)&gt;COUNT($B:$B),"",INDEX('CART Data'!A:A,SMALL($B:$B,ROWS($1:54))))</f>
        <v/>
      </c>
    </row>
    <row r="56" customFormat="false" ht="14.25" hidden="false" customHeight="false" outlineLevel="0" collapsed="false">
      <c r="B56" s="0" t="str">
        <f aca="false">IF('CART Data'!B56=$A$1,ROW(),"")</f>
        <v/>
      </c>
      <c r="C56" s="0" t="str">
        <f aca="false">IF(ROWS($1:55)&gt;COUNT($B:$B),"",INDEX('CART Data'!B:B,SMALL($B:$B,ROWS($1:55))))</f>
        <v/>
      </c>
      <c r="D56" s="0" t="str">
        <f aca="false">IF(ROWS($1:55)&gt;COUNT($B:$B),"",INDEX('CART Data'!A:A,SMALL($B:$B,ROWS($1:55))))</f>
        <v/>
      </c>
    </row>
    <row r="57" customFormat="false" ht="14.25" hidden="false" customHeight="false" outlineLevel="0" collapsed="false">
      <c r="B57" s="0" t="str">
        <f aca="false">IF('CART Data'!B57=$A$1,ROW(),"")</f>
        <v/>
      </c>
      <c r="C57" s="0" t="str">
        <f aca="false">IF(ROWS($1:56)&gt;COUNT($B:$B),"",INDEX('CART Data'!B:B,SMALL($B:$B,ROWS($1:56))))</f>
        <v/>
      </c>
      <c r="D57" s="0" t="str">
        <f aca="false">IF(ROWS($1:56)&gt;COUNT($B:$B),"",INDEX('CART Data'!A:A,SMALL($B:$B,ROWS($1:56))))</f>
        <v/>
      </c>
    </row>
    <row r="58" customFormat="false" ht="14.25" hidden="false" customHeight="false" outlineLevel="0" collapsed="false">
      <c r="B58" s="0" t="str">
        <f aca="false">IF('CART Data'!B58=$A$1,ROW(),"")</f>
        <v/>
      </c>
      <c r="C58" s="0" t="str">
        <f aca="false">IF(ROWS($1:57)&gt;COUNT($B:$B),"",INDEX('CART Data'!B:B,SMALL($B:$B,ROWS($1:57))))</f>
        <v/>
      </c>
      <c r="D58" s="0" t="str">
        <f aca="false">IF(ROWS($1:57)&gt;COUNT($B:$B),"",INDEX('CART Data'!A:A,SMALL($B:$B,ROWS($1:57))))</f>
        <v/>
      </c>
    </row>
    <row r="59" customFormat="false" ht="14.25" hidden="false" customHeight="false" outlineLevel="0" collapsed="false">
      <c r="B59" s="0" t="str">
        <f aca="false">IF('CART Data'!B59=$A$1,ROW(),"")</f>
        <v/>
      </c>
      <c r="C59" s="0" t="str">
        <f aca="false">IF(ROWS($1:58)&gt;COUNT($B:$B),"",INDEX('CART Data'!B:B,SMALL($B:$B,ROWS($1:58))))</f>
        <v/>
      </c>
      <c r="D59" s="0" t="str">
        <f aca="false">IF(ROWS($1:58)&gt;COUNT($B:$B),"",INDEX('CART Data'!A:A,SMALL($B:$B,ROWS($1:58))))</f>
        <v/>
      </c>
    </row>
    <row r="60" customFormat="false" ht="14.25" hidden="false" customHeight="false" outlineLevel="0" collapsed="false">
      <c r="B60" s="0" t="str">
        <f aca="false">IF('CART Data'!B60=$A$1,ROW(),"")</f>
        <v/>
      </c>
      <c r="C60" s="0" t="str">
        <f aca="false">IF(ROWS($1:59)&gt;COUNT($B:$B),"",INDEX('CART Data'!B:B,SMALL($B:$B,ROWS($1:59))))</f>
        <v/>
      </c>
      <c r="D60" s="0" t="str">
        <f aca="false">IF(ROWS($1:59)&gt;COUNT($B:$B),"",INDEX('CART Data'!A:A,SMALL($B:$B,ROWS($1:59))))</f>
        <v/>
      </c>
    </row>
    <row r="61" customFormat="false" ht="14.25" hidden="false" customHeight="false" outlineLevel="0" collapsed="false">
      <c r="B61" s="0" t="str">
        <f aca="false">IF('CART Data'!B61=$A$1,ROW(),"")</f>
        <v/>
      </c>
      <c r="C61" s="0" t="str">
        <f aca="false">IF(ROWS($1:60)&gt;COUNT($B:$B),"",INDEX('CART Data'!B:B,SMALL($B:$B,ROWS($1:60))))</f>
        <v/>
      </c>
      <c r="D61" s="0" t="str">
        <f aca="false">IF(ROWS($1:60)&gt;COUNT($B:$B),"",INDEX('CART Data'!A:A,SMALL($B:$B,ROWS($1:60))))</f>
        <v/>
      </c>
    </row>
    <row r="62" customFormat="false" ht="14.25" hidden="false" customHeight="false" outlineLevel="0" collapsed="false">
      <c r="B62" s="0" t="str">
        <f aca="false">IF('CART Data'!B62=$A$1,ROW(),"")</f>
        <v/>
      </c>
      <c r="C62" s="0" t="str">
        <f aca="false">IF(ROWS($1:61)&gt;COUNT($B:$B),"",INDEX('CART Data'!B:B,SMALL($B:$B,ROWS($1:61))))</f>
        <v/>
      </c>
      <c r="D62" s="0" t="str">
        <f aca="false">IF(ROWS($1:61)&gt;COUNT($B:$B),"",INDEX('CART Data'!A:A,SMALL($B:$B,ROWS($1:61))))</f>
        <v/>
      </c>
    </row>
    <row r="63" customFormat="false" ht="14.25" hidden="false" customHeight="false" outlineLevel="0" collapsed="false">
      <c r="B63" s="0" t="str">
        <f aca="false">IF('CART Data'!B63=$A$1,ROW(),"")</f>
        <v/>
      </c>
      <c r="C63" s="0" t="str">
        <f aca="false">IF(ROWS($1:62)&gt;COUNT($B:$B),"",INDEX('CART Data'!B:B,SMALL($B:$B,ROWS($1:62))))</f>
        <v/>
      </c>
      <c r="D63" s="0" t="str">
        <f aca="false">IF(ROWS($1:62)&gt;COUNT($B:$B),"",INDEX('CART Data'!A:A,SMALL($B:$B,ROWS($1:62))))</f>
        <v/>
      </c>
    </row>
    <row r="64" customFormat="false" ht="14.25" hidden="false" customHeight="false" outlineLevel="0" collapsed="false">
      <c r="B64" s="0" t="str">
        <f aca="false">IF('CART Data'!B64=$A$1,ROW(),"")</f>
        <v/>
      </c>
      <c r="C64" s="0" t="str">
        <f aca="false">IF(ROWS($1:63)&gt;COUNT($B:$B),"",INDEX('CART Data'!B:B,SMALL($B:$B,ROWS($1:63))))</f>
        <v/>
      </c>
      <c r="D64" s="0" t="str">
        <f aca="false">IF(ROWS($1:63)&gt;COUNT($B:$B),"",INDEX('CART Data'!A:A,SMALL($B:$B,ROWS($1:63))))</f>
        <v/>
      </c>
    </row>
    <row r="65" customFormat="false" ht="14.25" hidden="false" customHeight="false" outlineLevel="0" collapsed="false">
      <c r="B65" s="0" t="str">
        <f aca="false">IF('CART Data'!B65=$A$1,ROW(),"")</f>
        <v/>
      </c>
      <c r="C65" s="0" t="str">
        <f aca="false">IF(ROWS($1:64)&gt;COUNT($B:$B),"",INDEX('CART Data'!B:B,SMALL($B:$B,ROWS($1:64))))</f>
        <v/>
      </c>
      <c r="D65" s="0" t="str">
        <f aca="false">IF(ROWS($1:64)&gt;COUNT($B:$B),"",INDEX('CART Data'!A:A,SMALL($B:$B,ROWS($1:64))))</f>
        <v/>
      </c>
    </row>
    <row r="66" customFormat="false" ht="14.25" hidden="false" customHeight="false" outlineLevel="0" collapsed="false">
      <c r="B66" s="0" t="str">
        <f aca="false">IF('CART Data'!B66=$A$1,ROW(),"")</f>
        <v/>
      </c>
      <c r="C66" s="0" t="str">
        <f aca="false">IF(ROWS($1:65)&gt;COUNT($B:$B),"",INDEX('CART Data'!B:B,SMALL($B:$B,ROWS($1:65))))</f>
        <v/>
      </c>
      <c r="D66" s="0" t="str">
        <f aca="false">IF(ROWS($1:65)&gt;COUNT($B:$B),"",INDEX('CART Data'!A:A,SMALL($B:$B,ROWS($1:65))))</f>
        <v/>
      </c>
    </row>
    <row r="67" customFormat="false" ht="14.25" hidden="false" customHeight="false" outlineLevel="0" collapsed="false">
      <c r="B67" s="0" t="str">
        <f aca="false">IF('CART Data'!B67=$A$1,ROW(),"")</f>
        <v/>
      </c>
      <c r="C67" s="0" t="str">
        <f aca="false">IF(ROWS($1:66)&gt;COUNT($B:$B),"",INDEX('CART Data'!B:B,SMALL($B:$B,ROWS($1:66))))</f>
        <v/>
      </c>
      <c r="D67" s="0" t="str">
        <f aca="false">IF(ROWS($1:66)&gt;COUNT($B:$B),"",INDEX('CART Data'!A:A,SMALL($B:$B,ROWS($1:66))))</f>
        <v/>
      </c>
    </row>
    <row r="68" customFormat="false" ht="14.25" hidden="false" customHeight="false" outlineLevel="0" collapsed="false">
      <c r="B68" s="0" t="str">
        <f aca="false">IF('CART Data'!B68=$A$1,ROW(),"")</f>
        <v/>
      </c>
      <c r="C68" s="0" t="str">
        <f aca="false">IF(ROWS($1:67)&gt;COUNT($B:$B),"",INDEX('CART Data'!B:B,SMALL($B:$B,ROWS($1:67))))</f>
        <v/>
      </c>
      <c r="D68" s="0" t="str">
        <f aca="false">IF(ROWS($1:67)&gt;COUNT($B:$B),"",INDEX('CART Data'!A:A,SMALL($B:$B,ROWS($1:67))))</f>
        <v/>
      </c>
    </row>
    <row r="69" customFormat="false" ht="14.25" hidden="false" customHeight="false" outlineLevel="0" collapsed="false">
      <c r="B69" s="0" t="str">
        <f aca="false">IF('CART Data'!B69=$A$1,ROW(),"")</f>
        <v/>
      </c>
      <c r="C69" s="0" t="str">
        <f aca="false">IF(ROWS($1:68)&gt;COUNT($B:$B),"",INDEX('CART Data'!B:B,SMALL($B:$B,ROWS($1:68))))</f>
        <v/>
      </c>
      <c r="D69" s="0" t="str">
        <f aca="false">IF(ROWS($1:68)&gt;COUNT($B:$B),"",INDEX('CART Data'!A:A,SMALL($B:$B,ROWS($1:68))))</f>
        <v/>
      </c>
    </row>
    <row r="70" customFormat="false" ht="14.25" hidden="false" customHeight="false" outlineLevel="0" collapsed="false">
      <c r="B70" s="0" t="str">
        <f aca="false">IF('CART Data'!B70=$A$1,ROW(),"")</f>
        <v/>
      </c>
      <c r="C70" s="0" t="str">
        <f aca="false">IF(ROWS($1:69)&gt;COUNT($B:$B),"",INDEX('CART Data'!B:B,SMALL($B:$B,ROWS($1:69))))</f>
        <v/>
      </c>
      <c r="D70" s="0" t="str">
        <f aca="false">IF(ROWS($1:69)&gt;COUNT($B:$B),"",INDEX('CART Data'!A:A,SMALL($B:$B,ROWS($1:69))))</f>
        <v/>
      </c>
    </row>
    <row r="71" customFormat="false" ht="14.25" hidden="false" customHeight="false" outlineLevel="0" collapsed="false">
      <c r="B71" s="0" t="str">
        <f aca="false">IF('CART Data'!B71=$A$1,ROW(),"")</f>
        <v/>
      </c>
      <c r="C71" s="0" t="str">
        <f aca="false">IF(ROWS($1:70)&gt;COUNT($B:$B),"",INDEX('CART Data'!B:B,SMALL($B:$B,ROWS($1:70))))</f>
        <v/>
      </c>
      <c r="D71" s="0" t="str">
        <f aca="false">IF(ROWS($1:70)&gt;COUNT($B:$B),"",INDEX('CART Data'!A:A,SMALL($B:$B,ROWS($1:70))))</f>
        <v/>
      </c>
    </row>
    <row r="72" customFormat="false" ht="14.25" hidden="false" customHeight="false" outlineLevel="0" collapsed="false">
      <c r="B72" s="0" t="str">
        <f aca="false">IF('CART Data'!B72=$A$1,ROW(),"")</f>
        <v/>
      </c>
      <c r="C72" s="0" t="str">
        <f aca="false">IF(ROWS($1:71)&gt;COUNT($B:$B),"",INDEX('CART Data'!B:B,SMALL($B:$B,ROWS($1:71))))</f>
        <v/>
      </c>
      <c r="D72" s="0" t="str">
        <f aca="false">IF(ROWS($1:71)&gt;COUNT($B:$B),"",INDEX('CART Data'!A:A,SMALL($B:$B,ROWS($1:71))))</f>
        <v/>
      </c>
    </row>
    <row r="73" customFormat="false" ht="14.25" hidden="false" customHeight="false" outlineLevel="0" collapsed="false">
      <c r="B73" s="0" t="str">
        <f aca="false">IF('CART Data'!B73=$A$1,ROW(),"")</f>
        <v/>
      </c>
      <c r="C73" s="0" t="str">
        <f aca="false">IF(ROWS($1:72)&gt;COUNT($B:$B),"",INDEX('CART Data'!B:B,SMALL($B:$B,ROWS($1:72))))</f>
        <v/>
      </c>
      <c r="D73" s="0" t="str">
        <f aca="false">IF(ROWS($1:72)&gt;COUNT($B:$B),"",INDEX('CART Data'!A:A,SMALL($B:$B,ROWS($1:72))))</f>
        <v/>
      </c>
    </row>
    <row r="74" customFormat="false" ht="14.25" hidden="false" customHeight="false" outlineLevel="0" collapsed="false">
      <c r="B74" s="0" t="str">
        <f aca="false">IF('CART Data'!B74=$A$1,ROW(),"")</f>
        <v/>
      </c>
      <c r="C74" s="0" t="str">
        <f aca="false">IF(ROWS($1:73)&gt;COUNT($B:$B),"",INDEX('CART Data'!B:B,SMALL($B:$B,ROWS($1:73))))</f>
        <v/>
      </c>
      <c r="D74" s="0" t="str">
        <f aca="false">IF(ROWS($1:73)&gt;COUNT($B:$B),"",INDEX('CART Data'!A:A,SMALL($B:$B,ROWS($1:73))))</f>
        <v/>
      </c>
    </row>
    <row r="75" customFormat="false" ht="14.25" hidden="false" customHeight="false" outlineLevel="0" collapsed="false">
      <c r="B75" s="0" t="str">
        <f aca="false">IF('CART Data'!B75=$A$1,ROW(),"")</f>
        <v/>
      </c>
      <c r="C75" s="0" t="str">
        <f aca="false">IF(ROWS($1:74)&gt;COUNT($B:$B),"",INDEX('CART Data'!B:B,SMALL($B:$B,ROWS($1:74))))</f>
        <v/>
      </c>
      <c r="D75" s="0" t="str">
        <f aca="false">IF(ROWS($1:74)&gt;COUNT($B:$B),"",INDEX('CART Data'!A:A,SMALL($B:$B,ROWS($1:74))))</f>
        <v/>
      </c>
    </row>
    <row r="76" customFormat="false" ht="14.25" hidden="false" customHeight="false" outlineLevel="0" collapsed="false">
      <c r="B76" s="0" t="str">
        <f aca="false">IF('CART Data'!B76=$A$1,ROW(),"")</f>
        <v/>
      </c>
      <c r="C76" s="0" t="str">
        <f aca="false">IF(ROWS($1:75)&gt;COUNT($B:$B),"",INDEX('CART Data'!B:B,SMALL($B:$B,ROWS($1:75))))</f>
        <v/>
      </c>
      <c r="D76" s="0" t="str">
        <f aca="false">IF(ROWS($1:75)&gt;COUNT($B:$B),"",INDEX('CART Data'!A:A,SMALL($B:$B,ROWS($1:75))))</f>
        <v/>
      </c>
    </row>
    <row r="77" customFormat="false" ht="14.25" hidden="false" customHeight="false" outlineLevel="0" collapsed="false">
      <c r="B77" s="0" t="str">
        <f aca="false">IF('CART Data'!B77=$A$1,ROW(),"")</f>
        <v/>
      </c>
      <c r="C77" s="0" t="str">
        <f aca="false">IF(ROWS($1:76)&gt;COUNT($B:$B),"",INDEX('CART Data'!B:B,SMALL($B:$B,ROWS($1:76))))</f>
        <v/>
      </c>
      <c r="D77" s="0" t="str">
        <f aca="false">IF(ROWS($1:76)&gt;COUNT($B:$B),"",INDEX('CART Data'!A:A,SMALL($B:$B,ROWS($1:76))))</f>
        <v/>
      </c>
    </row>
    <row r="78" customFormat="false" ht="14.25" hidden="false" customHeight="false" outlineLevel="0" collapsed="false">
      <c r="B78" s="0" t="str">
        <f aca="false">IF('CART Data'!B78=$A$1,ROW(),"")</f>
        <v/>
      </c>
      <c r="C78" s="0" t="str">
        <f aca="false">IF(ROWS($1:77)&gt;COUNT($B:$B),"",INDEX('CART Data'!B:B,SMALL($B:$B,ROWS($1:77))))</f>
        <v/>
      </c>
      <c r="D78" s="0" t="str">
        <f aca="false">IF(ROWS($1:77)&gt;COUNT($B:$B),"",INDEX('CART Data'!A:A,SMALL($B:$B,ROWS($1:77))))</f>
        <v/>
      </c>
    </row>
    <row r="79" customFormat="false" ht="14.25" hidden="false" customHeight="false" outlineLevel="0" collapsed="false">
      <c r="B79" s="0" t="str">
        <f aca="false">IF('CART Data'!B79=$A$1,ROW(),"")</f>
        <v/>
      </c>
      <c r="C79" s="0" t="str">
        <f aca="false">IF(ROWS($1:78)&gt;COUNT($B:$B),"",INDEX('CART Data'!B:B,SMALL($B:$B,ROWS($1:78))))</f>
        <v/>
      </c>
      <c r="D79" s="0" t="str">
        <f aca="false">IF(ROWS($1:78)&gt;COUNT($B:$B),"",INDEX('CART Data'!A:A,SMALL($B:$B,ROWS($1:78))))</f>
        <v/>
      </c>
    </row>
    <row r="80" customFormat="false" ht="14.25" hidden="false" customHeight="false" outlineLevel="0" collapsed="false">
      <c r="B80" s="0" t="str">
        <f aca="false">IF('CART Data'!B80=$A$1,ROW(),"")</f>
        <v/>
      </c>
      <c r="C80" s="0" t="str">
        <f aca="false">IF(ROWS($1:79)&gt;COUNT($B:$B),"",INDEX('CART Data'!B:B,SMALL($B:$B,ROWS($1:79))))</f>
        <v/>
      </c>
      <c r="D80" s="0" t="str">
        <f aca="false">IF(ROWS($1:79)&gt;COUNT($B:$B),"",INDEX('CART Data'!A:A,SMALL($B:$B,ROWS($1:79))))</f>
        <v/>
      </c>
    </row>
    <row r="81" customFormat="false" ht="14.25" hidden="false" customHeight="false" outlineLevel="0" collapsed="false">
      <c r="B81" s="0" t="str">
        <f aca="false">IF('CART Data'!B81=$A$1,ROW(),"")</f>
        <v/>
      </c>
      <c r="C81" s="0" t="str">
        <f aca="false">IF(ROWS($1:80)&gt;COUNT($B:$B),"",INDEX('CART Data'!B:B,SMALL($B:$B,ROWS($1:80))))</f>
        <v/>
      </c>
      <c r="D81" s="0" t="str">
        <f aca="false">IF(ROWS($1:80)&gt;COUNT($B:$B),"",INDEX('CART Data'!A:A,SMALL($B:$B,ROWS($1:80))))</f>
        <v/>
      </c>
    </row>
    <row r="82" customFormat="false" ht="14.25" hidden="false" customHeight="false" outlineLevel="0" collapsed="false">
      <c r="B82" s="0" t="str">
        <f aca="false">IF('CART Data'!B82=$A$1,ROW(),"")</f>
        <v/>
      </c>
      <c r="C82" s="0" t="str">
        <f aca="false">IF(ROWS($1:81)&gt;COUNT($B:$B),"",INDEX('CART Data'!B:B,SMALL($B:$B,ROWS($1:81))))</f>
        <v/>
      </c>
      <c r="D82" s="0" t="str">
        <f aca="false">IF(ROWS($1:81)&gt;COUNT($B:$B),"",INDEX('CART Data'!A:A,SMALL($B:$B,ROWS($1:81))))</f>
        <v/>
      </c>
    </row>
    <row r="83" customFormat="false" ht="14.25" hidden="false" customHeight="false" outlineLevel="0" collapsed="false">
      <c r="B83" s="0" t="str">
        <f aca="false">IF('CART Data'!B83=$A$1,ROW(),"")</f>
        <v/>
      </c>
      <c r="C83" s="0" t="str">
        <f aca="false">IF(ROWS($1:82)&gt;COUNT($B:$B),"",INDEX('CART Data'!B:B,SMALL($B:$B,ROWS($1:82))))</f>
        <v/>
      </c>
      <c r="D83" s="0" t="str">
        <f aca="false">IF(ROWS($1:82)&gt;COUNT($B:$B),"",INDEX('CART Data'!A:A,SMALL($B:$B,ROWS($1:82))))</f>
        <v/>
      </c>
    </row>
    <row r="84" customFormat="false" ht="14.25" hidden="false" customHeight="false" outlineLevel="0" collapsed="false">
      <c r="B84" s="0" t="str">
        <f aca="false">IF('CART Data'!B84=$A$1,ROW(),"")</f>
        <v/>
      </c>
      <c r="C84" s="0" t="str">
        <f aca="false">IF(ROWS($1:83)&gt;COUNT($B:$B),"",INDEX('CART Data'!B:B,SMALL($B:$B,ROWS($1:83))))</f>
        <v/>
      </c>
      <c r="D84" s="0" t="str">
        <f aca="false">IF(ROWS($1:83)&gt;COUNT($B:$B),"",INDEX('CART Data'!A:A,SMALL($B:$B,ROWS($1:83))))</f>
        <v/>
      </c>
    </row>
    <row r="85" customFormat="false" ht="14.25" hidden="false" customHeight="false" outlineLevel="0" collapsed="false">
      <c r="B85" s="0" t="str">
        <f aca="false">IF('CART Data'!B85=$A$1,ROW(),"")</f>
        <v/>
      </c>
      <c r="C85" s="0" t="str">
        <f aca="false">IF(ROWS($1:84)&gt;COUNT($B:$B),"",INDEX('CART Data'!B:B,SMALL($B:$B,ROWS($1:84))))</f>
        <v/>
      </c>
      <c r="D85" s="0" t="str">
        <f aca="false">IF(ROWS($1:84)&gt;COUNT($B:$B),"",INDEX('CART Data'!A:A,SMALL($B:$B,ROWS($1:84))))</f>
        <v/>
      </c>
    </row>
    <row r="86" customFormat="false" ht="14.25" hidden="false" customHeight="false" outlineLevel="0" collapsed="false">
      <c r="B86" s="0" t="str">
        <f aca="false">IF('CART Data'!B86=$A$1,ROW(),"")</f>
        <v/>
      </c>
      <c r="C86" s="0" t="str">
        <f aca="false">IF(ROWS($1:85)&gt;COUNT($B:$B),"",INDEX('CART Data'!B:B,SMALL($B:$B,ROWS($1:85))))</f>
        <v/>
      </c>
      <c r="D86" s="0" t="str">
        <f aca="false">IF(ROWS($1:85)&gt;COUNT($B:$B),"",INDEX('CART Data'!A:A,SMALL($B:$B,ROWS($1:85))))</f>
        <v/>
      </c>
    </row>
    <row r="87" customFormat="false" ht="14.25" hidden="false" customHeight="false" outlineLevel="0" collapsed="false">
      <c r="B87" s="0" t="str">
        <f aca="false">IF('CART Data'!B87=$A$1,ROW(),"")</f>
        <v/>
      </c>
      <c r="C87" s="0" t="str">
        <f aca="false">IF(ROWS($1:86)&gt;COUNT($B:$B),"",INDEX('CART Data'!B:B,SMALL($B:$B,ROWS($1:86))))</f>
        <v/>
      </c>
      <c r="D87" s="0" t="str">
        <f aca="false">IF(ROWS($1:86)&gt;COUNT($B:$B),"",INDEX('CART Data'!A:A,SMALL($B:$B,ROWS($1:86))))</f>
        <v/>
      </c>
    </row>
    <row r="88" customFormat="false" ht="14.25" hidden="false" customHeight="false" outlineLevel="0" collapsed="false">
      <c r="B88" s="0" t="str">
        <f aca="false">IF('CART Data'!B88=$A$1,ROW(),"")</f>
        <v/>
      </c>
      <c r="C88" s="0" t="str">
        <f aca="false">IF(ROWS($1:87)&gt;COUNT($B:$B),"",INDEX('CART Data'!B:B,SMALL($B:$B,ROWS($1:87))))</f>
        <v/>
      </c>
      <c r="D88" s="0" t="str">
        <f aca="false">IF(ROWS($1:87)&gt;COUNT($B:$B),"",INDEX('CART Data'!A:A,SMALL($B:$B,ROWS($1:87))))</f>
        <v/>
      </c>
    </row>
    <row r="89" customFormat="false" ht="14.25" hidden="false" customHeight="false" outlineLevel="0" collapsed="false">
      <c r="B89" s="0" t="str">
        <f aca="false">IF('CART Data'!B89=$A$1,ROW(),"")</f>
        <v/>
      </c>
      <c r="C89" s="0" t="str">
        <f aca="false">IF(ROWS($1:88)&gt;COUNT($B:$B),"",INDEX('CART Data'!B:B,SMALL($B:$B,ROWS($1:88))))</f>
        <v/>
      </c>
      <c r="D89" s="0" t="str">
        <f aca="false">IF(ROWS($1:88)&gt;COUNT($B:$B),"",INDEX('CART Data'!A:A,SMALL($B:$B,ROWS($1:88))))</f>
        <v/>
      </c>
    </row>
    <row r="90" customFormat="false" ht="14.25" hidden="false" customHeight="false" outlineLevel="0" collapsed="false">
      <c r="B90" s="0" t="str">
        <f aca="false">IF('CART Data'!B90=$A$1,ROW(),"")</f>
        <v/>
      </c>
      <c r="C90" s="0" t="str">
        <f aca="false">IF(ROWS($1:89)&gt;COUNT($B:$B),"",INDEX('CART Data'!B:B,SMALL($B:$B,ROWS($1:89))))</f>
        <v/>
      </c>
      <c r="D90" s="0" t="str">
        <f aca="false">IF(ROWS($1:89)&gt;COUNT($B:$B),"",INDEX('CART Data'!A:A,SMALL($B:$B,ROWS($1:89))))</f>
        <v/>
      </c>
    </row>
    <row r="91" customFormat="false" ht="14.25" hidden="false" customHeight="false" outlineLevel="0" collapsed="false">
      <c r="B91" s="0" t="str">
        <f aca="false">IF('CART Data'!B91=$A$1,ROW(),"")</f>
        <v/>
      </c>
      <c r="C91" s="0" t="str">
        <f aca="false">IF(ROWS($1:90)&gt;COUNT($B:$B),"",INDEX('CART Data'!B:B,SMALL($B:$B,ROWS($1:90))))</f>
        <v/>
      </c>
      <c r="D91" s="0" t="str">
        <f aca="false">IF(ROWS($1:90)&gt;COUNT($B:$B),"",INDEX('CART Data'!A:A,SMALL($B:$B,ROWS($1:90))))</f>
        <v/>
      </c>
    </row>
    <row r="92" customFormat="false" ht="14.25" hidden="false" customHeight="false" outlineLevel="0" collapsed="false">
      <c r="B92" s="0" t="str">
        <f aca="false">IF('CART Data'!B92=$A$1,ROW(),"")</f>
        <v/>
      </c>
      <c r="C92" s="0" t="str">
        <f aca="false">IF(ROWS($1:91)&gt;COUNT($B:$B),"",INDEX('CART Data'!B:B,SMALL($B:$B,ROWS($1:91))))</f>
        <v/>
      </c>
      <c r="D92" s="0" t="str">
        <f aca="false">IF(ROWS($1:91)&gt;COUNT($B:$B),"",INDEX('CART Data'!A:A,SMALL($B:$B,ROWS($1:91))))</f>
        <v/>
      </c>
    </row>
    <row r="93" customFormat="false" ht="14.25" hidden="false" customHeight="false" outlineLevel="0" collapsed="false">
      <c r="B93" s="0" t="str">
        <f aca="false">IF('CART Data'!B93=$A$1,ROW(),"")</f>
        <v/>
      </c>
      <c r="C93" s="0" t="str">
        <f aca="false">IF(ROWS($1:92)&gt;COUNT($B:$B),"",INDEX('CART Data'!B:B,SMALL($B:$B,ROWS($1:92))))</f>
        <v/>
      </c>
      <c r="D93" s="0" t="str">
        <f aca="false">IF(ROWS($1:92)&gt;COUNT($B:$B),"",INDEX('CART Data'!A:A,SMALL($B:$B,ROWS($1:92))))</f>
        <v/>
      </c>
    </row>
    <row r="94" customFormat="false" ht="14.25" hidden="false" customHeight="false" outlineLevel="0" collapsed="false">
      <c r="B94" s="0" t="str">
        <f aca="false">IF('CART Data'!B94=$A$1,ROW(),"")</f>
        <v/>
      </c>
      <c r="C94" s="0" t="str">
        <f aca="false">IF(ROWS($1:93)&gt;COUNT($B:$B),"",INDEX('CART Data'!B:B,SMALL($B:$B,ROWS($1:93))))</f>
        <v/>
      </c>
      <c r="D94" s="0" t="str">
        <f aca="false">IF(ROWS($1:93)&gt;COUNT($B:$B),"",INDEX('CART Data'!A:A,SMALL($B:$B,ROWS($1:93))))</f>
        <v/>
      </c>
    </row>
    <row r="95" customFormat="false" ht="14.25" hidden="false" customHeight="false" outlineLevel="0" collapsed="false">
      <c r="B95" s="0" t="str">
        <f aca="false">IF('CART Data'!B95=$A$1,ROW(),"")</f>
        <v/>
      </c>
      <c r="C95" s="0" t="str">
        <f aca="false">IF(ROWS($1:94)&gt;COUNT($B:$B),"",INDEX('CART Data'!B:B,SMALL($B:$B,ROWS($1:94))))</f>
        <v/>
      </c>
      <c r="D95" s="0" t="str">
        <f aca="false">IF(ROWS($1:94)&gt;COUNT($B:$B),"",INDEX('CART Data'!A:A,SMALL($B:$B,ROWS($1:94))))</f>
        <v/>
      </c>
    </row>
    <row r="96" customFormat="false" ht="14.25" hidden="false" customHeight="false" outlineLevel="0" collapsed="false">
      <c r="B96" s="0" t="str">
        <f aca="false">IF('CART Data'!B96=$A$1,ROW(),"")</f>
        <v/>
      </c>
      <c r="C96" s="0" t="str">
        <f aca="false">IF(ROWS($1:95)&gt;COUNT($B:$B),"",INDEX('CART Data'!B:B,SMALL($B:$B,ROWS($1:95))))</f>
        <v/>
      </c>
      <c r="D96" s="0" t="str">
        <f aca="false">IF(ROWS($1:95)&gt;COUNT($B:$B),"",INDEX('CART Data'!A:A,SMALL($B:$B,ROWS($1:95))))</f>
        <v/>
      </c>
    </row>
    <row r="97" customFormat="false" ht="14.25" hidden="false" customHeight="false" outlineLevel="0" collapsed="false">
      <c r="B97" s="0" t="str">
        <f aca="false">IF('CART Data'!B97=$A$1,ROW(),"")</f>
        <v/>
      </c>
      <c r="C97" s="0" t="str">
        <f aca="false">IF(ROWS($1:96)&gt;COUNT($B:$B),"",INDEX('CART Data'!B:B,SMALL($B:$B,ROWS($1:96))))</f>
        <v/>
      </c>
      <c r="D97" s="0" t="str">
        <f aca="false">IF(ROWS($1:96)&gt;COUNT($B:$B),"",INDEX('CART Data'!A:A,SMALL($B:$B,ROWS($1:96))))</f>
        <v/>
      </c>
    </row>
    <row r="98" customFormat="false" ht="14.25" hidden="false" customHeight="false" outlineLevel="0" collapsed="false">
      <c r="B98" s="0" t="str">
        <f aca="false">IF('CART Data'!B98=$A$1,ROW(),"")</f>
        <v/>
      </c>
      <c r="C98" s="0" t="str">
        <f aca="false">IF(ROWS($1:97)&gt;COUNT($B:$B),"",INDEX('CART Data'!B:B,SMALL($B:$B,ROWS($1:97))))</f>
        <v/>
      </c>
      <c r="D98" s="0" t="str">
        <f aca="false">IF(ROWS($1:97)&gt;COUNT($B:$B),"",INDEX('CART Data'!A:A,SMALL($B:$B,ROWS($1:97))))</f>
        <v/>
      </c>
    </row>
    <row r="99" customFormat="false" ht="14.25" hidden="false" customHeight="false" outlineLevel="0" collapsed="false">
      <c r="B99" s="0" t="str">
        <f aca="false">IF('CART Data'!B99=$A$1,ROW(),"")</f>
        <v/>
      </c>
      <c r="C99" s="0" t="str">
        <f aca="false">IF(ROWS($1:98)&gt;COUNT($B:$B),"",INDEX('CART Data'!B:B,SMALL($B:$B,ROWS($1:98))))</f>
        <v/>
      </c>
      <c r="D99" s="0" t="str">
        <f aca="false">IF(ROWS($1:98)&gt;COUNT($B:$B),"",INDEX('CART Data'!A:A,SMALL($B:$B,ROWS($1:98))))</f>
        <v/>
      </c>
    </row>
    <row r="100" customFormat="false" ht="14.25" hidden="false" customHeight="false" outlineLevel="0" collapsed="false">
      <c r="B100" s="0" t="str">
        <f aca="false">IF('CART Data'!B100=$A$1,ROW(),"")</f>
        <v/>
      </c>
      <c r="C100" s="0" t="str">
        <f aca="false">IF(ROWS($1:99)&gt;COUNT($B:$B),"",INDEX('CART Data'!B:B,SMALL($B:$B,ROWS($1:99))))</f>
        <v/>
      </c>
      <c r="D100" s="0" t="str">
        <f aca="false">IF(ROWS($1:99)&gt;COUNT($B:$B),"",INDEX('CART Data'!A:A,SMALL($B:$B,ROWS($1:99))))</f>
        <v/>
      </c>
    </row>
  </sheetData>
  <sheetProtection sheet="true" objects="true" scenarios="true"/>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U14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8.54296875" defaultRowHeight="14.25" zeroHeight="false" outlineLevelRow="0" outlineLevelCol="0"/>
  <cols>
    <col collapsed="false" customWidth="true" hidden="false" outlineLevel="0" max="47" min="1" style="0" width="9.78"/>
  </cols>
  <sheetData>
    <row r="1" customFormat="false" ht="14.25" hidden="false" customHeight="false" outlineLevel="0" collapsed="false">
      <c r="A1" s="180" t="s">
        <v>299</v>
      </c>
      <c r="B1" s="180"/>
      <c r="C1" s="180"/>
      <c r="D1" s="180"/>
      <c r="E1" s="180"/>
      <c r="F1" s="180"/>
      <c r="G1" s="180"/>
      <c r="H1" s="181" t="s">
        <v>300</v>
      </c>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2" t="s">
        <v>301</v>
      </c>
      <c r="AI1" s="182"/>
      <c r="AJ1" s="182"/>
      <c r="AK1" s="182"/>
      <c r="AL1" s="182"/>
      <c r="AM1" s="182"/>
      <c r="AN1" s="182"/>
      <c r="AO1" s="182"/>
      <c r="AP1" s="182"/>
      <c r="AQ1" s="182"/>
      <c r="AR1" s="182"/>
      <c r="AS1" s="182"/>
      <c r="AT1" s="182"/>
      <c r="AU1" s="182"/>
    </row>
    <row r="2" customFormat="false" ht="14.25" hidden="false" customHeight="false" outlineLevel="0" collapsed="false">
      <c r="A2" s="0" t="s">
        <v>302</v>
      </c>
      <c r="B2" s="0" t="s">
        <v>303</v>
      </c>
      <c r="C2" s="0" t="s">
        <v>304</v>
      </c>
      <c r="D2" s="0" t="s">
        <v>305</v>
      </c>
      <c r="E2" s="0" t="s">
        <v>306</v>
      </c>
      <c r="F2" s="0" t="s">
        <v>307</v>
      </c>
      <c r="G2" s="0" t="s">
        <v>308</v>
      </c>
      <c r="H2" s="0" t="s">
        <v>309</v>
      </c>
      <c r="I2" s="0" t="s">
        <v>310</v>
      </c>
      <c r="J2" s="0" t="s">
        <v>311</v>
      </c>
      <c r="K2" s="0" t="s">
        <v>312</v>
      </c>
      <c r="L2" s="0" t="s">
        <v>313</v>
      </c>
      <c r="M2" s="0" t="s">
        <v>314</v>
      </c>
      <c r="N2" s="0" t="s">
        <v>315</v>
      </c>
      <c r="O2" s="0" t="s">
        <v>316</v>
      </c>
      <c r="P2" s="0" t="s">
        <v>317</v>
      </c>
      <c r="Q2" s="0" t="s">
        <v>318</v>
      </c>
      <c r="R2" s="0" t="s">
        <v>319</v>
      </c>
      <c r="S2" s="0" t="s">
        <v>320</v>
      </c>
      <c r="T2" s="0" t="s">
        <v>321</v>
      </c>
      <c r="U2" s="0" t="s">
        <v>322</v>
      </c>
      <c r="V2" s="0" t="s">
        <v>323</v>
      </c>
      <c r="W2" s="0" t="s">
        <v>324</v>
      </c>
      <c r="X2" s="0" t="s">
        <v>325</v>
      </c>
      <c r="Y2" s="0" t="s">
        <v>326</v>
      </c>
      <c r="Z2" s="0" t="s">
        <v>327</v>
      </c>
      <c r="AA2" s="0" t="s">
        <v>328</v>
      </c>
      <c r="AB2" s="0" t="s">
        <v>329</v>
      </c>
      <c r="AC2" s="0" t="s">
        <v>330</v>
      </c>
      <c r="AD2" s="0" t="s">
        <v>331</v>
      </c>
      <c r="AE2" s="0" t="s">
        <v>332</v>
      </c>
      <c r="AF2" s="0" t="s">
        <v>333</v>
      </c>
      <c r="AG2" s="0" t="s">
        <v>334</v>
      </c>
      <c r="AH2" s="0" t="s">
        <v>335</v>
      </c>
      <c r="AI2" s="0" t="s">
        <v>336</v>
      </c>
      <c r="AJ2" s="0" t="s">
        <v>337</v>
      </c>
      <c r="AK2" s="0" t="s">
        <v>338</v>
      </c>
      <c r="AL2" s="0" t="s">
        <v>339</v>
      </c>
      <c r="AM2" s="0" t="s">
        <v>340</v>
      </c>
      <c r="AN2" s="0" t="s">
        <v>341</v>
      </c>
      <c r="AO2" s="0" t="s">
        <v>342</v>
      </c>
      <c r="AP2" s="0" t="s">
        <v>343</v>
      </c>
      <c r="AQ2" s="0" t="s">
        <v>344</v>
      </c>
      <c r="AR2" s="0" t="s">
        <v>345</v>
      </c>
      <c r="AS2" s="0" t="s">
        <v>346</v>
      </c>
      <c r="AT2" s="0" t="s">
        <v>347</v>
      </c>
      <c r="AU2" s="0" t="s">
        <v>348</v>
      </c>
    </row>
    <row r="3" customFormat="false" ht="14.25" hidden="false" customHeight="false" outlineLevel="0" collapsed="false">
      <c r="A3" s="183" t="s">
        <v>349</v>
      </c>
      <c r="B3" s="183" t="s">
        <v>349</v>
      </c>
      <c r="C3" s="183" t="s">
        <v>349</v>
      </c>
      <c r="D3" s="183" t="s">
        <v>349</v>
      </c>
      <c r="E3" s="183" t="s">
        <v>349</v>
      </c>
      <c r="F3" s="183" t="s">
        <v>349</v>
      </c>
      <c r="G3" s="183" t="s">
        <v>349</v>
      </c>
      <c r="H3" s="183" t="s">
        <v>349</v>
      </c>
      <c r="I3" s="183" t="s">
        <v>349</v>
      </c>
      <c r="J3" s="183" t="s">
        <v>349</v>
      </c>
      <c r="K3" s="183" t="s">
        <v>349</v>
      </c>
      <c r="L3" s="183" t="s">
        <v>349</v>
      </c>
      <c r="M3" s="183" t="s">
        <v>349</v>
      </c>
      <c r="N3" s="183" t="s">
        <v>349</v>
      </c>
      <c r="O3" s="183" t="s">
        <v>349</v>
      </c>
      <c r="P3" s="183" t="s">
        <v>349</v>
      </c>
      <c r="Q3" s="183" t="s">
        <v>349</v>
      </c>
      <c r="R3" s="183" t="s">
        <v>349</v>
      </c>
      <c r="S3" s="183" t="s">
        <v>349</v>
      </c>
      <c r="T3" s="183" t="s">
        <v>349</v>
      </c>
      <c r="U3" s="183" t="s">
        <v>349</v>
      </c>
      <c r="V3" s="183" t="s">
        <v>349</v>
      </c>
      <c r="W3" s="183" t="s">
        <v>349</v>
      </c>
      <c r="X3" s="183" t="s">
        <v>349</v>
      </c>
      <c r="Y3" s="183" t="s">
        <v>349</v>
      </c>
      <c r="Z3" s="183" t="s">
        <v>349</v>
      </c>
      <c r="AA3" s="183" t="s">
        <v>349</v>
      </c>
      <c r="AB3" s="183" t="s">
        <v>349</v>
      </c>
      <c r="AC3" s="183" t="s">
        <v>349</v>
      </c>
      <c r="AD3" s="183" t="s">
        <v>349</v>
      </c>
      <c r="AE3" s="183" t="s">
        <v>349</v>
      </c>
      <c r="AF3" s="183" t="s">
        <v>349</v>
      </c>
      <c r="AG3" s="183" t="s">
        <v>349</v>
      </c>
      <c r="AH3" s="183" t="s">
        <v>349</v>
      </c>
      <c r="AI3" s="183" t="s">
        <v>349</v>
      </c>
      <c r="AJ3" s="183" t="s">
        <v>349</v>
      </c>
      <c r="AK3" s="183" t="s">
        <v>349</v>
      </c>
      <c r="AL3" s="183" t="s">
        <v>349</v>
      </c>
      <c r="AM3" s="183" t="s">
        <v>349</v>
      </c>
      <c r="AN3" s="183" t="s">
        <v>349</v>
      </c>
      <c r="AO3" s="183" t="s">
        <v>349</v>
      </c>
      <c r="AP3" s="183" t="s">
        <v>349</v>
      </c>
      <c r="AQ3" s="183" t="s">
        <v>349</v>
      </c>
      <c r="AR3" s="183" t="s">
        <v>349</v>
      </c>
      <c r="AS3" s="183" t="s">
        <v>349</v>
      </c>
      <c r="AT3" s="183" t="s">
        <v>349</v>
      </c>
      <c r="AU3" s="183" t="s">
        <v>349</v>
      </c>
    </row>
    <row r="4" customFormat="false" ht="14.25" hidden="false" customHeight="false" outlineLevel="0" collapsed="false">
      <c r="A4" s="0" t="n">
        <v>12.11</v>
      </c>
      <c r="B4" s="0" t="n">
        <v>3.89</v>
      </c>
      <c r="C4" s="0" t="n">
        <v>6.28</v>
      </c>
      <c r="D4" s="0" t="n">
        <v>9.58</v>
      </c>
      <c r="E4" s="0" t="n">
        <v>3.77</v>
      </c>
      <c r="F4" s="0" t="n">
        <v>19.85</v>
      </c>
      <c r="G4" s="0" t="n">
        <v>15.91</v>
      </c>
      <c r="H4" s="0" t="n">
        <v>2.97</v>
      </c>
      <c r="I4" s="0" t="n">
        <v>667.53</v>
      </c>
      <c r="J4" s="0" t="n">
        <v>4.28</v>
      </c>
      <c r="K4" s="0" t="n">
        <v>651</v>
      </c>
      <c r="L4" s="0" t="n">
        <v>645.78</v>
      </c>
      <c r="M4" s="0" t="n">
        <v>639.43</v>
      </c>
      <c r="N4" s="0" t="n">
        <v>631.34</v>
      </c>
      <c r="O4" s="0" t="n">
        <v>621.01</v>
      </c>
      <c r="P4" s="0" t="n">
        <v>613.11</v>
      </c>
      <c r="Q4" s="0" t="n">
        <v>4.93</v>
      </c>
      <c r="R4" s="0" t="n">
        <v>5.2</v>
      </c>
      <c r="S4" s="0" t="n">
        <v>4.75</v>
      </c>
      <c r="T4" s="0" t="n">
        <v>4.54</v>
      </c>
      <c r="U4" s="0" t="n">
        <v>4.41</v>
      </c>
      <c r="V4" s="0" t="n">
        <v>4.61</v>
      </c>
      <c r="W4" s="0" t="n">
        <v>3.81</v>
      </c>
      <c r="X4" s="0" t="n">
        <v>3.77</v>
      </c>
      <c r="Y4" s="0" t="n">
        <v>1.59</v>
      </c>
      <c r="Z4" s="0" t="n">
        <v>2.34</v>
      </c>
      <c r="AA4" s="0" t="n">
        <v>3.1</v>
      </c>
      <c r="AB4" s="0" t="n">
        <v>3.18</v>
      </c>
      <c r="AC4" s="0" t="n">
        <v>4.41</v>
      </c>
      <c r="AD4" s="0" t="n">
        <v>13.9</v>
      </c>
      <c r="AE4" s="0" t="n">
        <v>14.4</v>
      </c>
      <c r="AF4" s="0" t="n">
        <v>4.05</v>
      </c>
      <c r="AG4" s="0" t="n">
        <v>1.65</v>
      </c>
      <c r="AH4" s="0" t="n">
        <v>12.57</v>
      </c>
      <c r="AI4" s="0" t="n">
        <v>16.13</v>
      </c>
      <c r="AJ4" s="0" t="n">
        <v>8.1</v>
      </c>
      <c r="AK4" s="0" t="n">
        <v>6.8</v>
      </c>
      <c r="AL4" s="0" t="n">
        <v>8.84</v>
      </c>
      <c r="AM4" s="0" t="n">
        <v>9.69</v>
      </c>
      <c r="AN4" s="0" t="n">
        <v>11.03</v>
      </c>
      <c r="AP4" s="0" t="n">
        <v>13.46</v>
      </c>
      <c r="AQ4" s="0" t="n">
        <v>10.27</v>
      </c>
      <c r="AR4" s="0" t="n">
        <v>9.55</v>
      </c>
      <c r="AS4" s="0" t="n">
        <v>11.05</v>
      </c>
      <c r="AT4" s="0" t="n">
        <v>8.21</v>
      </c>
      <c r="AU4" s="0" t="n">
        <v>11.67</v>
      </c>
    </row>
    <row r="5" customFormat="false" ht="14.25" hidden="false" customHeight="false" outlineLevel="0" collapsed="false">
      <c r="A5" s="0" t="n">
        <v>12.11</v>
      </c>
      <c r="B5" s="0" t="n">
        <v>3.9</v>
      </c>
      <c r="C5" s="0" t="n">
        <v>6.27</v>
      </c>
      <c r="D5" s="0" t="n">
        <v>9.61</v>
      </c>
      <c r="E5" s="0" t="n">
        <v>3.78</v>
      </c>
      <c r="F5" s="0" t="n">
        <v>19.86</v>
      </c>
      <c r="G5" s="0" t="n">
        <v>15.93</v>
      </c>
      <c r="H5" s="0" t="n">
        <v>2.96</v>
      </c>
      <c r="I5" s="0" t="n">
        <v>667.54</v>
      </c>
      <c r="J5" s="0" t="n">
        <v>4.28</v>
      </c>
      <c r="K5" s="0" t="n">
        <v>650.99</v>
      </c>
      <c r="L5" s="0" t="n">
        <v>645.79</v>
      </c>
      <c r="M5" s="0" t="n">
        <v>639.43</v>
      </c>
      <c r="N5" s="0" t="n">
        <v>631.34</v>
      </c>
      <c r="O5" s="0" t="n">
        <v>621.01</v>
      </c>
      <c r="P5" s="0" t="n">
        <v>613.11</v>
      </c>
      <c r="Q5" s="0" t="n">
        <v>4.92</v>
      </c>
      <c r="R5" s="0" t="n">
        <v>5.21</v>
      </c>
      <c r="S5" s="0" t="n">
        <v>4.75</v>
      </c>
      <c r="T5" s="0" t="n">
        <v>4.53</v>
      </c>
      <c r="U5" s="0" t="n">
        <v>4.41</v>
      </c>
      <c r="V5" s="0" t="n">
        <v>4.61</v>
      </c>
      <c r="W5" s="0" t="n">
        <v>3.8</v>
      </c>
      <c r="X5" s="0" t="n">
        <v>3.78</v>
      </c>
      <c r="Y5" s="0" t="n">
        <v>1.59</v>
      </c>
      <c r="Z5" s="0" t="n">
        <v>2.41</v>
      </c>
      <c r="AA5" s="0" t="n">
        <v>3.13</v>
      </c>
      <c r="AB5" s="0" t="n">
        <v>3.15</v>
      </c>
      <c r="AC5" s="0" t="n">
        <v>4.37</v>
      </c>
      <c r="AD5" s="0" t="n">
        <v>13.93</v>
      </c>
      <c r="AE5" s="0" t="n">
        <v>14.41</v>
      </c>
      <c r="AF5" s="0" t="n">
        <v>4.03</v>
      </c>
      <c r="AG5" s="0" t="n">
        <v>1.63</v>
      </c>
      <c r="AH5" s="0" t="n">
        <v>12.58</v>
      </c>
      <c r="AI5" s="0" t="n">
        <v>16.13</v>
      </c>
      <c r="AJ5" s="0" t="n">
        <v>8.07</v>
      </c>
      <c r="AK5" s="0" t="n">
        <v>6.8</v>
      </c>
      <c r="AL5" s="0" t="n">
        <v>8.86</v>
      </c>
      <c r="AM5" s="0" t="n">
        <v>9.66</v>
      </c>
      <c r="AN5" s="0" t="n">
        <v>10.94</v>
      </c>
      <c r="AP5" s="0" t="n">
        <v>13.49</v>
      </c>
      <c r="AQ5" s="0" t="n">
        <v>10.28</v>
      </c>
      <c r="AR5" s="0" t="n">
        <v>9.49</v>
      </c>
      <c r="AS5" s="0" t="n">
        <v>10.94</v>
      </c>
      <c r="AT5" s="0" t="n">
        <v>8.21</v>
      </c>
      <c r="AU5" s="0" t="n">
        <v>11.52</v>
      </c>
    </row>
    <row r="6" customFormat="false" ht="14.25" hidden="false" customHeight="false" outlineLevel="0" collapsed="false">
      <c r="A6" s="0" t="n">
        <v>12.12</v>
      </c>
      <c r="B6" s="0" t="n">
        <v>3.9</v>
      </c>
      <c r="C6" s="0" t="n">
        <v>6.28</v>
      </c>
      <c r="D6" s="0" t="n">
        <v>9.62</v>
      </c>
      <c r="E6" s="0" t="n">
        <v>3.8</v>
      </c>
      <c r="F6" s="0" t="n">
        <v>19.87</v>
      </c>
      <c r="G6" s="0" t="n">
        <v>15.93</v>
      </c>
      <c r="H6" s="0" t="n">
        <v>2.96</v>
      </c>
      <c r="I6" s="0" t="n">
        <v>667.54</v>
      </c>
      <c r="J6" s="0" t="n">
        <v>4.28</v>
      </c>
      <c r="K6" s="0" t="n">
        <v>650.98</v>
      </c>
      <c r="L6" s="0" t="n">
        <v>645.79</v>
      </c>
      <c r="M6" s="0" t="n">
        <v>639.41</v>
      </c>
      <c r="N6" s="0" t="n">
        <v>631.34</v>
      </c>
      <c r="O6" s="0" t="n">
        <v>621.01</v>
      </c>
      <c r="P6" s="0" t="n">
        <v>613.11</v>
      </c>
      <c r="Q6" s="0" t="n">
        <v>4.92</v>
      </c>
      <c r="R6" s="0" t="n">
        <v>5.21</v>
      </c>
      <c r="S6" s="0" t="n">
        <v>4.75</v>
      </c>
      <c r="T6" s="0" t="n">
        <v>4.53</v>
      </c>
      <c r="U6" s="0" t="n">
        <v>4.41</v>
      </c>
      <c r="V6" s="0" t="n">
        <v>4.61</v>
      </c>
      <c r="W6" s="0" t="n">
        <v>3.8</v>
      </c>
      <c r="X6" s="0" t="n">
        <v>3.79</v>
      </c>
      <c r="Y6" s="0" t="n">
        <v>1.59</v>
      </c>
      <c r="Z6" s="0" t="n">
        <v>2.68</v>
      </c>
      <c r="AA6" s="0" t="n">
        <v>3.16</v>
      </c>
      <c r="AB6" s="0" t="n">
        <v>3.22</v>
      </c>
      <c r="AC6" s="0" t="n">
        <v>4.4</v>
      </c>
      <c r="AD6" s="0" t="n">
        <v>13.99</v>
      </c>
      <c r="AE6" s="0" t="n">
        <v>14.43</v>
      </c>
      <c r="AF6" s="0" t="n">
        <v>4</v>
      </c>
      <c r="AG6" s="0" t="n">
        <v>1.7</v>
      </c>
      <c r="AH6" s="0" t="n">
        <v>12.58</v>
      </c>
      <c r="AI6" s="0" t="n">
        <v>16.13</v>
      </c>
      <c r="AJ6" s="0" t="n">
        <v>8.06</v>
      </c>
      <c r="AK6" s="0" t="n">
        <v>6.79</v>
      </c>
      <c r="AL6" s="0" t="n">
        <v>8.89</v>
      </c>
      <c r="AM6" s="0" t="n">
        <v>9.61</v>
      </c>
      <c r="AN6" s="0" t="n">
        <v>10.93</v>
      </c>
      <c r="AP6" s="0" t="n">
        <v>13.5</v>
      </c>
      <c r="AQ6" s="0" t="n">
        <v>10.2</v>
      </c>
      <c r="AR6" s="0" t="n">
        <v>9.44</v>
      </c>
      <c r="AS6" s="0" t="n">
        <v>10.8</v>
      </c>
      <c r="AT6" s="0" t="n">
        <v>8.19</v>
      </c>
      <c r="AU6" s="0" t="n">
        <v>11.28</v>
      </c>
    </row>
    <row r="7" customFormat="false" ht="14.25" hidden="false" customHeight="false" outlineLevel="0" collapsed="false">
      <c r="A7" s="0" t="n">
        <v>12.12</v>
      </c>
      <c r="B7" s="0" t="n">
        <v>3.89</v>
      </c>
      <c r="C7" s="0" t="n">
        <v>6.25</v>
      </c>
      <c r="D7" s="0" t="n">
        <v>9.6</v>
      </c>
      <c r="E7" s="0" t="n">
        <v>3.82</v>
      </c>
      <c r="F7" s="0" t="n">
        <v>19.87</v>
      </c>
      <c r="G7" s="0" t="n">
        <v>15.92</v>
      </c>
      <c r="H7" s="0" t="n">
        <v>2.96</v>
      </c>
      <c r="I7" s="0" t="n">
        <v>667.54</v>
      </c>
      <c r="J7" s="0" t="n">
        <v>4.28</v>
      </c>
      <c r="K7" s="0" t="n">
        <v>650.99</v>
      </c>
      <c r="L7" s="0" t="n">
        <v>645.79</v>
      </c>
      <c r="M7" s="0" t="n">
        <v>639.43</v>
      </c>
      <c r="N7" s="0" t="n">
        <v>631.34</v>
      </c>
      <c r="O7" s="0" t="n">
        <v>621.01</v>
      </c>
      <c r="P7" s="0" t="n">
        <v>613.12</v>
      </c>
      <c r="Q7" s="0" t="n">
        <v>4.92</v>
      </c>
      <c r="R7" s="0" t="n">
        <v>5.2</v>
      </c>
      <c r="S7" s="0" t="n">
        <v>4.77</v>
      </c>
      <c r="T7" s="0" t="n">
        <v>4.54</v>
      </c>
      <c r="U7" s="0" t="n">
        <v>4.4</v>
      </c>
      <c r="V7" s="0" t="n">
        <v>4.61</v>
      </c>
      <c r="W7" s="0" t="n">
        <v>3.8</v>
      </c>
      <c r="X7" s="0" t="n">
        <v>3.8</v>
      </c>
      <c r="Y7" s="0" t="n">
        <v>1.58</v>
      </c>
      <c r="Z7" s="0" t="n">
        <v>2.92</v>
      </c>
      <c r="AA7" s="0" t="n">
        <v>3.18</v>
      </c>
      <c r="AB7" s="0" t="n">
        <v>3.24</v>
      </c>
      <c r="AC7" s="0" t="n">
        <v>4.39</v>
      </c>
      <c r="AD7" s="0" t="n">
        <v>14.04</v>
      </c>
      <c r="AE7" s="0" t="n">
        <v>14.4</v>
      </c>
      <c r="AF7" s="0" t="n">
        <v>3.97</v>
      </c>
      <c r="AG7" s="0" t="n">
        <v>1.67</v>
      </c>
      <c r="AH7" s="0" t="n">
        <v>12.57</v>
      </c>
      <c r="AI7" s="0" t="n">
        <v>16.15</v>
      </c>
      <c r="AJ7" s="0" t="n">
        <v>8.06</v>
      </c>
      <c r="AK7" s="0" t="n">
        <v>6.79</v>
      </c>
      <c r="AL7" s="0" t="n">
        <v>8.89</v>
      </c>
      <c r="AM7" s="0" t="n">
        <v>9.69</v>
      </c>
      <c r="AN7" s="0" t="n">
        <v>11.03</v>
      </c>
      <c r="AP7" s="0" t="n">
        <v>13.47</v>
      </c>
      <c r="AQ7" s="0" t="n">
        <v>10.27</v>
      </c>
      <c r="AR7" s="0" t="n">
        <v>9.44</v>
      </c>
      <c r="AS7" s="0" t="n">
        <v>10.68</v>
      </c>
      <c r="AT7" s="0" t="n">
        <v>8.18</v>
      </c>
      <c r="AU7" s="0" t="n">
        <v>11.11</v>
      </c>
    </row>
    <row r="8" customFormat="false" ht="14.25" hidden="false" customHeight="false" outlineLevel="0" collapsed="false">
      <c r="A8" s="0" t="n">
        <v>12.12</v>
      </c>
      <c r="B8" s="0" t="n">
        <v>3.88</v>
      </c>
      <c r="C8" s="0" t="n">
        <v>6.22</v>
      </c>
      <c r="D8" s="0" t="n">
        <v>9.61</v>
      </c>
      <c r="E8" s="0" t="n">
        <v>3.83</v>
      </c>
      <c r="F8" s="0" t="n">
        <v>19.87</v>
      </c>
      <c r="G8" s="0" t="n">
        <v>15.93</v>
      </c>
      <c r="H8" s="0" t="n">
        <v>2.95</v>
      </c>
      <c r="I8" s="0" t="n">
        <v>667.53</v>
      </c>
      <c r="J8" s="0" t="n">
        <v>4.28</v>
      </c>
      <c r="K8" s="0" t="n">
        <v>650.98</v>
      </c>
      <c r="L8" s="0" t="n">
        <v>645.78</v>
      </c>
      <c r="M8" s="0" t="n">
        <v>639.43</v>
      </c>
      <c r="N8" s="0" t="n">
        <v>631.34</v>
      </c>
      <c r="O8" s="0" t="n">
        <v>621.01</v>
      </c>
      <c r="P8" s="0" t="n">
        <v>613.12</v>
      </c>
      <c r="Q8" s="0" t="n">
        <v>4.92</v>
      </c>
      <c r="R8" s="0" t="n">
        <v>5.21</v>
      </c>
      <c r="S8" s="0" t="n">
        <v>4.75</v>
      </c>
      <c r="T8" s="0" t="n">
        <v>4.53</v>
      </c>
      <c r="U8" s="0" t="n">
        <v>4.4</v>
      </c>
      <c r="V8" s="0" t="n">
        <v>4.61</v>
      </c>
      <c r="W8" s="0" t="n">
        <v>3.8</v>
      </c>
      <c r="X8" s="0" t="n">
        <v>3.78</v>
      </c>
      <c r="Y8" s="0" t="n">
        <v>1.57</v>
      </c>
      <c r="Z8" s="0" t="n">
        <v>3.53</v>
      </c>
      <c r="AA8" s="0" t="n">
        <v>3.21</v>
      </c>
      <c r="AB8" s="0" t="n">
        <v>3.23</v>
      </c>
      <c r="AC8" s="0" t="n">
        <v>4.41</v>
      </c>
      <c r="AD8" s="0" t="n">
        <v>14.05</v>
      </c>
      <c r="AE8" s="0" t="n">
        <v>14.41</v>
      </c>
      <c r="AF8" s="0" t="n">
        <v>3.97</v>
      </c>
      <c r="AG8" s="0" t="n">
        <v>1.66</v>
      </c>
      <c r="AH8" s="0" t="n">
        <v>12.58</v>
      </c>
      <c r="AI8" s="0" t="n">
        <v>16.15</v>
      </c>
      <c r="AJ8" s="0" t="n">
        <v>8.05</v>
      </c>
      <c r="AK8" s="0" t="n">
        <v>6.8</v>
      </c>
      <c r="AL8" s="0" t="n">
        <v>8.91</v>
      </c>
      <c r="AM8" s="0" t="n">
        <v>9.7</v>
      </c>
      <c r="AN8" s="0" t="n">
        <v>11.05</v>
      </c>
      <c r="AP8" s="0" t="n">
        <v>13.48</v>
      </c>
      <c r="AQ8" s="0" t="n">
        <v>10.24</v>
      </c>
      <c r="AR8" s="0" t="n">
        <v>9.43</v>
      </c>
      <c r="AS8" s="0" t="n">
        <v>10.58</v>
      </c>
      <c r="AT8" s="0" t="n">
        <v>8.16</v>
      </c>
      <c r="AU8" s="0" t="n">
        <v>10.9</v>
      </c>
    </row>
    <row r="9" customFormat="false" ht="14.25" hidden="false" customHeight="false" outlineLevel="0" collapsed="false">
      <c r="A9" s="0" t="n">
        <v>12.11</v>
      </c>
      <c r="B9" s="0" t="n">
        <v>3.88</v>
      </c>
      <c r="C9" s="0" t="n">
        <v>6.28</v>
      </c>
      <c r="D9" s="0" t="n">
        <v>9.6</v>
      </c>
      <c r="E9" s="0" t="n">
        <v>3.86</v>
      </c>
      <c r="F9" s="0" t="n">
        <v>19.88</v>
      </c>
      <c r="G9" s="0" t="n">
        <v>15.94</v>
      </c>
      <c r="H9" s="0" t="n">
        <v>2.96</v>
      </c>
      <c r="I9" s="0" t="n">
        <v>667.53</v>
      </c>
      <c r="J9" s="0" t="n">
        <v>4.28</v>
      </c>
      <c r="K9" s="0" t="n">
        <v>651</v>
      </c>
      <c r="L9" s="0" t="n">
        <v>645.79</v>
      </c>
      <c r="M9" s="0" t="n">
        <v>639.43</v>
      </c>
      <c r="N9" s="0" t="n">
        <v>631.33</v>
      </c>
      <c r="O9" s="0" t="n">
        <v>621.01</v>
      </c>
      <c r="P9" s="0" t="n">
        <v>613.11</v>
      </c>
      <c r="Q9" s="0" t="n">
        <v>4.91</v>
      </c>
      <c r="R9" s="0" t="n">
        <v>5.2</v>
      </c>
      <c r="S9" s="0" t="n">
        <v>4.76</v>
      </c>
      <c r="T9" s="0" t="n">
        <v>4.53</v>
      </c>
      <c r="U9" s="0" t="n">
        <v>4.39</v>
      </c>
      <c r="V9" s="0" t="n">
        <v>4.61</v>
      </c>
      <c r="W9" s="0" t="n">
        <v>3.8</v>
      </c>
      <c r="X9" s="0" t="n">
        <v>3.77</v>
      </c>
      <c r="Y9" s="0" t="n">
        <v>1.56</v>
      </c>
      <c r="Z9" s="0" t="n">
        <v>3.97</v>
      </c>
      <c r="AA9" s="0" t="n">
        <v>3.2</v>
      </c>
      <c r="AB9" s="0" t="n">
        <v>3.22</v>
      </c>
      <c r="AC9" s="0" t="n">
        <v>4.45</v>
      </c>
      <c r="AD9" s="0" t="n">
        <v>14.04</v>
      </c>
      <c r="AE9" s="0" t="n">
        <v>14.44</v>
      </c>
      <c r="AF9" s="0" t="n">
        <v>3.94</v>
      </c>
      <c r="AG9" s="0" t="n">
        <v>1.66</v>
      </c>
      <c r="AH9" s="0" t="n">
        <v>12.57</v>
      </c>
      <c r="AI9" s="0" t="n">
        <v>16.15</v>
      </c>
      <c r="AJ9" s="0" t="n">
        <v>8.04</v>
      </c>
      <c r="AK9" s="0" t="n">
        <v>6.81</v>
      </c>
      <c r="AL9" s="0" t="n">
        <v>8.9</v>
      </c>
      <c r="AM9" s="0" t="n">
        <v>9.59</v>
      </c>
      <c r="AN9" s="0" t="n">
        <v>11.04</v>
      </c>
      <c r="AP9" s="0" t="n">
        <v>13.48</v>
      </c>
      <c r="AQ9" s="0" t="n">
        <v>10.25</v>
      </c>
      <c r="AR9" s="0" t="n">
        <v>9.4</v>
      </c>
      <c r="AS9" s="0" t="n">
        <v>10.46</v>
      </c>
      <c r="AT9" s="0" t="n">
        <v>8.14</v>
      </c>
      <c r="AU9" s="0" t="n">
        <v>10.76</v>
      </c>
    </row>
    <row r="10" customFormat="false" ht="14.25" hidden="false" customHeight="false" outlineLevel="0" collapsed="false">
      <c r="A10" s="0" t="n">
        <v>12.11</v>
      </c>
      <c r="B10" s="0" t="n">
        <v>3.86</v>
      </c>
      <c r="C10" s="0" t="n">
        <v>6.28</v>
      </c>
      <c r="D10" s="0" t="n">
        <v>9.59</v>
      </c>
      <c r="E10" s="0" t="n">
        <v>3.88</v>
      </c>
      <c r="F10" s="0" t="n">
        <v>19.88</v>
      </c>
      <c r="G10" s="0" t="n">
        <v>15.94</v>
      </c>
      <c r="H10" s="0" t="n">
        <v>2.95</v>
      </c>
      <c r="I10" s="0" t="n">
        <v>667.51</v>
      </c>
      <c r="J10" s="0" t="n">
        <v>4.28</v>
      </c>
      <c r="K10" s="0" t="n">
        <v>651.04</v>
      </c>
      <c r="L10" s="0" t="n">
        <v>645.79</v>
      </c>
      <c r="M10" s="0" t="n">
        <v>639.43</v>
      </c>
      <c r="N10" s="0" t="n">
        <v>631.33</v>
      </c>
      <c r="O10" s="0" t="n">
        <v>621.01</v>
      </c>
      <c r="P10" s="0" t="n">
        <v>613.11</v>
      </c>
      <c r="Q10" s="0" t="n">
        <v>4.92</v>
      </c>
      <c r="R10" s="0" t="n">
        <v>5.19</v>
      </c>
      <c r="S10" s="0" t="n">
        <v>4.75</v>
      </c>
      <c r="T10" s="0" t="n">
        <v>4.54</v>
      </c>
      <c r="U10" s="0" t="n">
        <v>4.39</v>
      </c>
      <c r="V10" s="0" t="n">
        <v>4.61</v>
      </c>
      <c r="W10" s="0" t="n">
        <v>3.8</v>
      </c>
      <c r="X10" s="0" t="n">
        <v>3.7</v>
      </c>
      <c r="Y10" s="0" t="n">
        <v>1.55</v>
      </c>
      <c r="Z10" s="0" t="n">
        <v>3.73</v>
      </c>
      <c r="AA10" s="0" t="n">
        <v>3.18</v>
      </c>
      <c r="AB10" s="0" t="n">
        <v>3.25</v>
      </c>
      <c r="AC10" s="0" t="n">
        <v>4.38</v>
      </c>
      <c r="AD10" s="0" t="n">
        <v>14.08</v>
      </c>
      <c r="AE10" s="0" t="n">
        <v>14.44</v>
      </c>
      <c r="AF10" s="0" t="n">
        <v>4.07</v>
      </c>
      <c r="AG10" s="0" t="n">
        <v>1.63</v>
      </c>
      <c r="AH10" s="0" t="n">
        <v>12.58</v>
      </c>
      <c r="AI10" s="0" t="n">
        <v>16.16</v>
      </c>
      <c r="AJ10" s="0" t="n">
        <v>8.03</v>
      </c>
      <c r="AK10" s="0" t="n">
        <v>6.81</v>
      </c>
      <c r="AL10" s="0" t="n">
        <v>8.9</v>
      </c>
      <c r="AM10" s="0" t="n">
        <v>9.64</v>
      </c>
      <c r="AN10" s="0" t="n">
        <v>11.05</v>
      </c>
      <c r="AP10" s="0" t="n">
        <v>13.49</v>
      </c>
      <c r="AQ10" s="0" t="n">
        <v>10.25</v>
      </c>
      <c r="AR10" s="0" t="n">
        <v>9.38</v>
      </c>
      <c r="AS10" s="0" t="n">
        <v>10.4</v>
      </c>
      <c r="AT10" s="0" t="n">
        <v>8.13</v>
      </c>
      <c r="AU10" s="0" t="n">
        <v>10.55</v>
      </c>
    </row>
    <row r="11" customFormat="false" ht="14.25" hidden="false" customHeight="false" outlineLevel="0" collapsed="false">
      <c r="A11" s="0" t="n">
        <v>12.11</v>
      </c>
      <c r="B11" s="0" t="n">
        <v>3.86</v>
      </c>
      <c r="C11" s="0" t="n">
        <v>6.29</v>
      </c>
      <c r="D11" s="0" t="n">
        <v>9.59</v>
      </c>
      <c r="E11" s="0" t="n">
        <v>3.92</v>
      </c>
      <c r="F11" s="0" t="n">
        <v>19.89</v>
      </c>
      <c r="G11" s="0" t="n">
        <v>15.95</v>
      </c>
      <c r="H11" s="0" t="n">
        <v>2.95</v>
      </c>
      <c r="I11" s="0" t="n">
        <v>667.53</v>
      </c>
      <c r="J11" s="0" t="n">
        <v>4.28</v>
      </c>
      <c r="K11" s="0" t="n">
        <v>651.02</v>
      </c>
      <c r="L11" s="0" t="n">
        <v>645.79</v>
      </c>
      <c r="M11" s="0" t="n">
        <v>639.43</v>
      </c>
      <c r="N11" s="0" t="n">
        <v>631.34</v>
      </c>
      <c r="O11" s="0" t="n">
        <v>621.01</v>
      </c>
      <c r="P11" s="0" t="n">
        <v>613.11</v>
      </c>
      <c r="Q11" s="0" t="n">
        <v>4.92</v>
      </c>
      <c r="R11" s="0" t="n">
        <v>5.2</v>
      </c>
      <c r="S11" s="0" t="n">
        <v>4.75</v>
      </c>
      <c r="T11" s="0" t="n">
        <v>4.53</v>
      </c>
      <c r="U11" s="0" t="n">
        <v>4.38</v>
      </c>
      <c r="V11" s="0" t="n">
        <v>4.62</v>
      </c>
      <c r="W11" s="0" t="n">
        <v>3.8</v>
      </c>
      <c r="X11" s="0" t="n">
        <v>3.79</v>
      </c>
      <c r="Y11" s="0" t="n">
        <v>1.55</v>
      </c>
      <c r="Z11" s="0" t="n">
        <v>3.53</v>
      </c>
      <c r="AA11" s="0" t="n">
        <v>2.93</v>
      </c>
      <c r="AB11" s="0" t="n">
        <v>3.24</v>
      </c>
      <c r="AC11" s="0" t="n">
        <v>4.47</v>
      </c>
      <c r="AD11" s="0" t="n">
        <v>14.07</v>
      </c>
      <c r="AE11" s="0" t="n">
        <v>14.45</v>
      </c>
      <c r="AF11" s="0" t="n">
        <v>3.97</v>
      </c>
      <c r="AG11" s="0" t="n">
        <v>1.6</v>
      </c>
      <c r="AH11" s="0" t="n">
        <v>12.57</v>
      </c>
      <c r="AI11" s="0" t="n">
        <v>16.14</v>
      </c>
      <c r="AJ11" s="0" t="n">
        <v>8.02</v>
      </c>
      <c r="AK11" s="0" t="n">
        <v>6.8</v>
      </c>
      <c r="AL11" s="0" t="n">
        <v>8.9</v>
      </c>
      <c r="AM11" s="0" t="n">
        <v>9.63</v>
      </c>
      <c r="AN11" s="0" t="n">
        <v>11.05</v>
      </c>
      <c r="AP11" s="0" t="n">
        <v>13.44</v>
      </c>
      <c r="AQ11" s="0" t="n">
        <v>10.26</v>
      </c>
      <c r="AR11" s="0" t="n">
        <v>9.38</v>
      </c>
      <c r="AS11" s="0" t="n">
        <v>10.35</v>
      </c>
      <c r="AT11" s="0" t="n">
        <v>8.11</v>
      </c>
      <c r="AU11" s="0" t="n">
        <v>10.4</v>
      </c>
    </row>
    <row r="12" customFormat="false" ht="14.25" hidden="false" customHeight="false" outlineLevel="0" collapsed="false">
      <c r="A12" s="0" t="n">
        <v>12.11</v>
      </c>
      <c r="B12" s="0" t="n">
        <v>3.86</v>
      </c>
      <c r="C12" s="0" t="n">
        <v>6.29</v>
      </c>
      <c r="D12" s="0" t="n">
        <v>9.6</v>
      </c>
      <c r="E12" s="0" t="n">
        <v>3.92</v>
      </c>
      <c r="F12" s="0" t="n">
        <v>19.89</v>
      </c>
      <c r="G12" s="0" t="n">
        <v>15.95</v>
      </c>
      <c r="H12" s="0" t="n">
        <v>2.95</v>
      </c>
      <c r="I12" s="0" t="n">
        <v>667.53</v>
      </c>
      <c r="J12" s="0" t="n">
        <v>4.28</v>
      </c>
      <c r="K12" s="0" t="n">
        <v>651.01</v>
      </c>
      <c r="L12" s="0" t="n">
        <v>645.79</v>
      </c>
      <c r="M12" s="0" t="n">
        <v>639.43</v>
      </c>
      <c r="N12" s="0" t="n">
        <v>631.33</v>
      </c>
      <c r="O12" s="0" t="n">
        <v>621.01</v>
      </c>
      <c r="P12" s="0" t="n">
        <v>613.11</v>
      </c>
      <c r="Q12" s="0" t="n">
        <v>4.92</v>
      </c>
      <c r="R12" s="0" t="n">
        <v>5.2</v>
      </c>
      <c r="S12" s="0" t="n">
        <v>4.75</v>
      </c>
      <c r="T12" s="0" t="n">
        <v>4.53</v>
      </c>
      <c r="U12" s="0" t="n">
        <v>4.39</v>
      </c>
      <c r="V12" s="0" t="n">
        <v>4.61</v>
      </c>
      <c r="W12" s="0" t="n">
        <v>3.8</v>
      </c>
      <c r="X12" s="0" t="n">
        <v>3.78</v>
      </c>
      <c r="Y12" s="0" t="n">
        <v>1.54</v>
      </c>
      <c r="Z12" s="0" t="n">
        <v>2.94</v>
      </c>
      <c r="AA12" s="0" t="n">
        <v>3.15</v>
      </c>
      <c r="AB12" s="0" t="n">
        <v>3.23</v>
      </c>
      <c r="AC12" s="0" t="n">
        <v>4.44</v>
      </c>
      <c r="AD12" s="0" t="n">
        <v>14.08</v>
      </c>
      <c r="AE12" s="0" t="n">
        <v>14.44</v>
      </c>
      <c r="AF12" s="0" t="n">
        <v>3.95</v>
      </c>
      <c r="AG12" s="0" t="n">
        <v>1.55</v>
      </c>
      <c r="AH12" s="0" t="n">
        <v>12.58</v>
      </c>
      <c r="AI12" s="0" t="n">
        <v>16.17</v>
      </c>
      <c r="AJ12" s="0" t="n">
        <v>8</v>
      </c>
      <c r="AK12" s="0" t="n">
        <v>6.81</v>
      </c>
      <c r="AL12" s="0" t="n">
        <v>8.9</v>
      </c>
      <c r="AM12" s="0" t="n">
        <v>9.69</v>
      </c>
      <c r="AN12" s="0" t="n">
        <v>11.05</v>
      </c>
      <c r="AP12" s="0" t="n">
        <v>13.46</v>
      </c>
      <c r="AQ12" s="0" t="n">
        <v>10.25</v>
      </c>
      <c r="AR12" s="0" t="n">
        <v>9.36</v>
      </c>
      <c r="AS12" s="0" t="n">
        <v>10.3</v>
      </c>
      <c r="AT12" s="0" t="n">
        <v>8.07</v>
      </c>
      <c r="AU12" s="0" t="n">
        <v>10.29</v>
      </c>
    </row>
    <row r="13" customFormat="false" ht="14.25" hidden="false" customHeight="false" outlineLevel="0" collapsed="false">
      <c r="A13" s="0" t="n">
        <v>12.12</v>
      </c>
      <c r="B13" s="0" t="n">
        <v>3.84</v>
      </c>
      <c r="C13" s="0" t="n">
        <v>6.29</v>
      </c>
      <c r="D13" s="0" t="n">
        <v>9.61</v>
      </c>
      <c r="E13" s="0" t="n">
        <v>3.94</v>
      </c>
      <c r="F13" s="0" t="n">
        <v>19.9</v>
      </c>
      <c r="G13" s="0" t="n">
        <v>15.94</v>
      </c>
      <c r="H13" s="0" t="n">
        <v>2.95</v>
      </c>
      <c r="I13" s="0" t="n">
        <v>667.53</v>
      </c>
      <c r="J13" s="0" t="n">
        <v>4.28</v>
      </c>
      <c r="K13" s="0" t="n">
        <v>651.01</v>
      </c>
      <c r="L13" s="0" t="n">
        <v>645.8</v>
      </c>
      <c r="M13" s="0" t="n">
        <v>639.43</v>
      </c>
      <c r="N13" s="0" t="n">
        <v>631.34</v>
      </c>
      <c r="O13" s="0" t="n">
        <v>621.01</v>
      </c>
      <c r="P13" s="0" t="n">
        <v>613.12</v>
      </c>
      <c r="Q13" s="0" t="n">
        <v>4.94</v>
      </c>
      <c r="R13" s="0" t="n">
        <v>5.2</v>
      </c>
      <c r="S13" s="0" t="n">
        <v>4.76</v>
      </c>
      <c r="T13" s="0" t="n">
        <v>4.53</v>
      </c>
      <c r="U13" s="0" t="n">
        <v>4.4</v>
      </c>
      <c r="V13" s="0" t="n">
        <v>4.61</v>
      </c>
      <c r="W13" s="0" t="n">
        <v>3.81</v>
      </c>
      <c r="X13" s="0" t="n">
        <v>3.79</v>
      </c>
      <c r="Y13" s="0" t="n">
        <v>1.54</v>
      </c>
      <c r="Z13" s="0" t="n">
        <v>2.95</v>
      </c>
      <c r="AA13" s="0" t="n">
        <v>3.24</v>
      </c>
      <c r="AB13" s="0" t="n">
        <v>3.24</v>
      </c>
      <c r="AC13" s="0" t="n">
        <v>4.34</v>
      </c>
      <c r="AD13" s="0" t="n">
        <v>14.03</v>
      </c>
      <c r="AE13" s="0" t="n">
        <v>14.46</v>
      </c>
      <c r="AF13" s="0" t="n">
        <v>3.87</v>
      </c>
      <c r="AG13" s="0" t="n">
        <v>1.59</v>
      </c>
      <c r="AH13" s="0" t="n">
        <v>12.58</v>
      </c>
      <c r="AI13" s="0" t="n">
        <v>16.17</v>
      </c>
      <c r="AJ13" s="0" t="n">
        <v>8</v>
      </c>
      <c r="AK13" s="0" t="n">
        <v>6.82</v>
      </c>
      <c r="AL13" s="0" t="n">
        <v>8.9</v>
      </c>
      <c r="AM13" s="0" t="n">
        <v>9.72</v>
      </c>
      <c r="AN13" s="0" t="n">
        <v>10.92</v>
      </c>
      <c r="AP13" s="0" t="n">
        <v>13.44</v>
      </c>
      <c r="AQ13" s="0" t="n">
        <v>10.26</v>
      </c>
      <c r="AR13" s="0" t="n">
        <v>9.36</v>
      </c>
      <c r="AS13" s="0" t="n">
        <v>10.24</v>
      </c>
      <c r="AT13" s="0" t="n">
        <v>8.04</v>
      </c>
      <c r="AU13" s="0" t="n">
        <v>10.12</v>
      </c>
    </row>
    <row r="14" customFormat="false" ht="14.25" hidden="false" customHeight="false" outlineLevel="0" collapsed="false">
      <c r="A14" s="0" t="n">
        <v>12.12</v>
      </c>
      <c r="B14" s="0" t="n">
        <v>3.84</v>
      </c>
      <c r="C14" s="0" t="n">
        <v>6.3</v>
      </c>
      <c r="D14" s="0" t="n">
        <v>9.56</v>
      </c>
      <c r="E14" s="0" t="n">
        <v>3.95</v>
      </c>
      <c r="F14" s="0" t="n">
        <v>19.9</v>
      </c>
      <c r="G14" s="0" t="n">
        <v>15.96</v>
      </c>
      <c r="H14" s="0" t="n">
        <v>2.96</v>
      </c>
      <c r="I14" s="0" t="n">
        <v>667.53</v>
      </c>
      <c r="J14" s="0" t="n">
        <v>4.28</v>
      </c>
      <c r="K14" s="0" t="n">
        <v>651.01</v>
      </c>
      <c r="L14" s="0" t="n">
        <v>645.8</v>
      </c>
      <c r="M14" s="0" t="n">
        <v>639.43</v>
      </c>
      <c r="N14" s="0" t="n">
        <v>631.36</v>
      </c>
      <c r="O14" s="0" t="n">
        <v>621.01</v>
      </c>
      <c r="P14" s="0" t="n">
        <v>613.12</v>
      </c>
      <c r="Q14" s="0" t="n">
        <v>4.95</v>
      </c>
      <c r="R14" s="0" t="n">
        <v>5.2</v>
      </c>
      <c r="S14" s="0" t="n">
        <v>4.72</v>
      </c>
      <c r="T14" s="0" t="n">
        <v>4.54</v>
      </c>
      <c r="U14" s="0" t="n">
        <v>4.4</v>
      </c>
      <c r="V14" s="0" t="n">
        <v>4.62</v>
      </c>
      <c r="W14" s="0" t="n">
        <v>3.8</v>
      </c>
      <c r="X14" s="0" t="n">
        <v>3.79</v>
      </c>
      <c r="Y14" s="0" t="n">
        <v>1.53</v>
      </c>
      <c r="Z14" s="0" t="n">
        <v>2.91</v>
      </c>
      <c r="AA14" s="0" t="n">
        <v>3.43</v>
      </c>
      <c r="AB14" s="0" t="n">
        <v>3.24</v>
      </c>
      <c r="AC14" s="0" t="n">
        <v>4.43</v>
      </c>
      <c r="AD14" s="0" t="n">
        <v>14.02</v>
      </c>
      <c r="AE14" s="0" t="n">
        <v>14.47</v>
      </c>
      <c r="AF14" s="0" t="n">
        <v>3.96</v>
      </c>
      <c r="AG14" s="0" t="n">
        <v>1.58</v>
      </c>
      <c r="AH14" s="0" t="n">
        <v>12.58</v>
      </c>
      <c r="AI14" s="0" t="n">
        <v>16.18</v>
      </c>
      <c r="AJ14" s="0" t="n">
        <v>7.99</v>
      </c>
      <c r="AK14" s="0" t="n">
        <v>6.81</v>
      </c>
      <c r="AL14" s="0" t="n">
        <v>8.91</v>
      </c>
      <c r="AM14" s="0" t="n">
        <v>9.64</v>
      </c>
      <c r="AN14" s="0" t="n">
        <v>10.91</v>
      </c>
      <c r="AP14" s="0" t="n">
        <v>13.46</v>
      </c>
      <c r="AQ14" s="0" t="n">
        <v>10.26</v>
      </c>
      <c r="AR14" s="0" t="n">
        <v>9.35</v>
      </c>
      <c r="AS14" s="0" t="n">
        <v>10.22</v>
      </c>
      <c r="AT14" s="0" t="n">
        <v>8.01</v>
      </c>
      <c r="AU14" s="0" t="n">
        <v>10.02</v>
      </c>
    </row>
    <row r="15" customFormat="false" ht="14.25" hidden="false" customHeight="false" outlineLevel="0" collapsed="false">
      <c r="A15" s="0" t="n">
        <v>12.12</v>
      </c>
      <c r="B15" s="0" t="n">
        <v>3.81</v>
      </c>
      <c r="C15" s="0" t="n">
        <v>6.3</v>
      </c>
      <c r="D15" s="0" t="n">
        <v>9.56</v>
      </c>
      <c r="E15" s="0" t="n">
        <v>3.95</v>
      </c>
      <c r="F15" s="0" t="n">
        <v>19.91</v>
      </c>
      <c r="G15" s="0" t="n">
        <v>15.97</v>
      </c>
      <c r="H15" s="0" t="n">
        <v>2.95</v>
      </c>
      <c r="I15" s="0" t="n">
        <v>667.53</v>
      </c>
      <c r="J15" s="0" t="n">
        <v>4.28</v>
      </c>
      <c r="K15" s="0" t="n">
        <v>651.01</v>
      </c>
      <c r="L15" s="0" t="n">
        <v>645.8</v>
      </c>
      <c r="M15" s="0" t="n">
        <v>639.43</v>
      </c>
      <c r="N15" s="0" t="n">
        <v>631.37</v>
      </c>
      <c r="O15" s="0" t="n">
        <v>621.01</v>
      </c>
      <c r="P15" s="0" t="n">
        <v>613.12</v>
      </c>
      <c r="Q15" s="0" t="n">
        <v>4.95</v>
      </c>
      <c r="R15" s="0" t="n">
        <v>5.2</v>
      </c>
      <c r="S15" s="0" t="n">
        <v>4.73</v>
      </c>
      <c r="T15" s="0" t="n">
        <v>4.53</v>
      </c>
      <c r="U15" s="0" t="n">
        <v>4.41</v>
      </c>
      <c r="V15" s="0" t="n">
        <v>4.62</v>
      </c>
      <c r="W15" s="0" t="n">
        <v>3.83</v>
      </c>
      <c r="X15" s="0" t="n">
        <v>3.79</v>
      </c>
      <c r="Y15" s="0" t="n">
        <v>1.53</v>
      </c>
      <c r="Z15" s="0" t="n">
        <v>2.94</v>
      </c>
      <c r="AA15" s="0" t="n">
        <v>3.53</v>
      </c>
      <c r="AB15" s="0" t="n">
        <v>3.25</v>
      </c>
      <c r="AC15" s="0" t="n">
        <v>4.44</v>
      </c>
      <c r="AD15" s="0" t="n">
        <v>14.08</v>
      </c>
      <c r="AE15" s="0" t="n">
        <v>14.49</v>
      </c>
      <c r="AF15" s="0" t="n">
        <v>3.98</v>
      </c>
      <c r="AG15" s="0" t="n">
        <v>1.54</v>
      </c>
      <c r="AH15" s="0" t="n">
        <v>12.58</v>
      </c>
      <c r="AI15" s="0" t="n">
        <v>16.18</v>
      </c>
      <c r="AJ15" s="0" t="n">
        <v>7.98</v>
      </c>
      <c r="AK15" s="0" t="n">
        <v>6.83</v>
      </c>
      <c r="AL15" s="0" t="n">
        <v>8.91</v>
      </c>
      <c r="AM15" s="0" t="n">
        <v>9.66</v>
      </c>
      <c r="AN15" s="0" t="n">
        <v>10.91</v>
      </c>
      <c r="AP15" s="0" t="n">
        <v>13.44</v>
      </c>
      <c r="AQ15" s="0" t="n">
        <v>10.26</v>
      </c>
      <c r="AR15" s="0" t="n">
        <v>9.34</v>
      </c>
      <c r="AS15" s="0" t="n">
        <v>10.2</v>
      </c>
      <c r="AT15" s="0" t="n">
        <v>7.97</v>
      </c>
      <c r="AU15" s="0" t="n">
        <v>9.91</v>
      </c>
    </row>
    <row r="16" customFormat="false" ht="14.25" hidden="false" customHeight="false" outlineLevel="0" collapsed="false">
      <c r="A16" s="0" t="n">
        <v>12.13</v>
      </c>
      <c r="B16" s="0" t="n">
        <v>3.82</v>
      </c>
      <c r="C16" s="0" t="n">
        <v>6.3</v>
      </c>
      <c r="D16" s="0" t="n">
        <v>9.57</v>
      </c>
      <c r="E16" s="0" t="n">
        <v>3.95</v>
      </c>
      <c r="F16" s="0" t="n">
        <v>19.91</v>
      </c>
      <c r="G16" s="0" t="n">
        <v>15.97</v>
      </c>
      <c r="H16" s="0" t="n">
        <v>2.96</v>
      </c>
      <c r="I16" s="0" t="n">
        <v>667.54</v>
      </c>
      <c r="J16" s="0" t="n">
        <v>4.28</v>
      </c>
      <c r="K16" s="0" t="n">
        <v>651.02</v>
      </c>
      <c r="L16" s="0" t="n">
        <v>645.8</v>
      </c>
      <c r="M16" s="0" t="n">
        <v>639.43</v>
      </c>
      <c r="N16" s="0" t="n">
        <v>631.35</v>
      </c>
      <c r="O16" s="0" t="n">
        <v>621.01</v>
      </c>
      <c r="P16" s="0" t="n">
        <v>613.12</v>
      </c>
      <c r="Q16" s="0" t="n">
        <v>4.94</v>
      </c>
      <c r="R16" s="0" t="n">
        <v>5.21</v>
      </c>
      <c r="S16" s="0" t="n">
        <v>4.73</v>
      </c>
      <c r="T16" s="0" t="n">
        <v>4.53</v>
      </c>
      <c r="U16" s="0" t="n">
        <v>4.38</v>
      </c>
      <c r="V16" s="0" t="n">
        <v>4.63</v>
      </c>
      <c r="W16" s="0" t="n">
        <v>3.83</v>
      </c>
      <c r="X16" s="0" t="n">
        <v>3.78</v>
      </c>
      <c r="Y16" s="0" t="n">
        <v>1.52</v>
      </c>
      <c r="Z16" s="0" t="n">
        <v>2.89</v>
      </c>
      <c r="AA16" s="0" t="n">
        <v>3.53</v>
      </c>
      <c r="AB16" s="0" t="n">
        <v>3.26</v>
      </c>
      <c r="AC16" s="0" t="n">
        <v>4.41</v>
      </c>
      <c r="AD16" s="0" t="n">
        <v>14.1</v>
      </c>
      <c r="AE16" s="0" t="n">
        <v>14.46</v>
      </c>
      <c r="AF16" s="0" t="n">
        <v>3.94</v>
      </c>
      <c r="AG16" s="0" t="n">
        <v>1.54</v>
      </c>
      <c r="AH16" s="0" t="n">
        <v>12.58</v>
      </c>
      <c r="AI16" s="0" t="n">
        <v>16.18</v>
      </c>
      <c r="AJ16" s="0" t="n">
        <v>7.96</v>
      </c>
      <c r="AK16" s="0" t="n">
        <v>6.82</v>
      </c>
      <c r="AL16" s="0" t="n">
        <v>8.93</v>
      </c>
      <c r="AM16" s="0" t="n">
        <v>9.57</v>
      </c>
      <c r="AN16" s="0" t="n">
        <v>10.97</v>
      </c>
      <c r="AP16" s="0" t="n">
        <v>13.42</v>
      </c>
      <c r="AQ16" s="0" t="n">
        <v>10.26</v>
      </c>
      <c r="AR16" s="0" t="n">
        <v>9.33</v>
      </c>
      <c r="AS16" s="0" t="n">
        <v>10.19</v>
      </c>
      <c r="AT16" s="0" t="n">
        <v>7.95</v>
      </c>
      <c r="AU16" s="0" t="n">
        <v>9.82</v>
      </c>
    </row>
    <row r="17" customFormat="false" ht="14.25" hidden="false" customHeight="false" outlineLevel="0" collapsed="false">
      <c r="A17" s="0" t="n">
        <v>12.14</v>
      </c>
      <c r="B17" s="0" t="n">
        <v>3.82</v>
      </c>
      <c r="C17" s="0" t="n">
        <v>6.31</v>
      </c>
      <c r="D17" s="0" t="n">
        <v>9.58</v>
      </c>
      <c r="E17" s="0" t="n">
        <v>3.97</v>
      </c>
      <c r="F17" s="0" t="n">
        <v>19.91</v>
      </c>
      <c r="G17" s="0" t="n">
        <v>15.97</v>
      </c>
      <c r="H17" s="0" t="n">
        <v>2.96</v>
      </c>
      <c r="I17" s="0" t="n">
        <v>667.55</v>
      </c>
      <c r="J17" s="0" t="n">
        <v>4.28</v>
      </c>
      <c r="K17" s="0" t="n">
        <v>651.02</v>
      </c>
      <c r="L17" s="0" t="n">
        <v>645.8</v>
      </c>
      <c r="M17" s="0" t="n">
        <v>639.43</v>
      </c>
      <c r="N17" s="0" t="n">
        <v>631.35</v>
      </c>
      <c r="O17" s="0" t="n">
        <v>621.02</v>
      </c>
      <c r="P17" s="0" t="n">
        <v>613.12</v>
      </c>
      <c r="Q17" s="0" t="n">
        <v>4.96</v>
      </c>
      <c r="R17" s="0" t="n">
        <v>5.19</v>
      </c>
      <c r="S17" s="0" t="n">
        <v>4.75</v>
      </c>
      <c r="T17" s="0" t="n">
        <v>4.58</v>
      </c>
      <c r="U17" s="0" t="n">
        <v>4.37</v>
      </c>
      <c r="V17" s="0" t="n">
        <v>4.64</v>
      </c>
      <c r="W17" s="0" t="n">
        <v>3.8</v>
      </c>
      <c r="X17" s="0" t="n">
        <v>3.78</v>
      </c>
      <c r="Y17" s="0" t="n">
        <v>1.51</v>
      </c>
      <c r="Z17" s="0" t="n">
        <v>3.01</v>
      </c>
      <c r="AA17" s="0" t="n">
        <v>3.67</v>
      </c>
      <c r="AB17" s="0" t="n">
        <v>3.25</v>
      </c>
      <c r="AC17" s="0" t="n">
        <v>4.54</v>
      </c>
      <c r="AD17" s="0" t="n">
        <v>14.06</v>
      </c>
      <c r="AE17" s="0" t="n">
        <v>14.46</v>
      </c>
      <c r="AF17" s="0" t="n">
        <v>3.91</v>
      </c>
      <c r="AG17" s="0" t="n">
        <v>1.5</v>
      </c>
      <c r="AH17" s="0" t="n">
        <v>12.58</v>
      </c>
      <c r="AI17" s="0" t="n">
        <v>16.18</v>
      </c>
      <c r="AJ17" s="0" t="n">
        <v>7.96</v>
      </c>
      <c r="AK17" s="0" t="n">
        <v>6.83</v>
      </c>
      <c r="AL17" s="0" t="n">
        <v>8.97</v>
      </c>
      <c r="AM17" s="0" t="n">
        <v>9.58</v>
      </c>
      <c r="AN17" s="0" t="n">
        <v>11.03</v>
      </c>
      <c r="AP17" s="0" t="n">
        <v>13.41</v>
      </c>
      <c r="AQ17" s="0" t="n">
        <v>10.27</v>
      </c>
      <c r="AR17" s="0" t="n">
        <v>9.35</v>
      </c>
      <c r="AS17" s="0" t="n">
        <v>10.17</v>
      </c>
      <c r="AT17" s="0" t="n">
        <v>7.91</v>
      </c>
      <c r="AU17" s="0" t="n">
        <v>9.75</v>
      </c>
    </row>
    <row r="18" customFormat="false" ht="14.25" hidden="false" customHeight="false" outlineLevel="0" collapsed="false">
      <c r="A18" s="0" t="n">
        <v>12.16</v>
      </c>
      <c r="B18" s="0" t="n">
        <v>3.83</v>
      </c>
      <c r="C18" s="0" t="n">
        <v>6.31</v>
      </c>
      <c r="D18" s="0" t="n">
        <v>9.57</v>
      </c>
      <c r="E18" s="0" t="n">
        <v>3.99</v>
      </c>
      <c r="F18" s="0" t="n">
        <v>19.93</v>
      </c>
      <c r="G18" s="0" t="n">
        <v>15.97</v>
      </c>
      <c r="H18" s="0" t="n">
        <v>2.96</v>
      </c>
      <c r="I18" s="0" t="n">
        <v>667.56</v>
      </c>
      <c r="J18" s="0" t="n">
        <v>4.28</v>
      </c>
      <c r="K18" s="0" t="n">
        <v>651.02</v>
      </c>
      <c r="L18" s="0" t="n">
        <v>645.8</v>
      </c>
      <c r="M18" s="0" t="n">
        <v>639.43</v>
      </c>
      <c r="N18" s="0" t="n">
        <v>631.35</v>
      </c>
      <c r="O18" s="0" t="n">
        <v>621.02</v>
      </c>
      <c r="P18" s="0" t="n">
        <v>613.12</v>
      </c>
      <c r="Q18" s="0" t="n">
        <v>4.95</v>
      </c>
      <c r="R18" s="0" t="n">
        <v>5.19</v>
      </c>
      <c r="S18" s="0" t="n">
        <v>4.71</v>
      </c>
      <c r="T18" s="0" t="n">
        <v>4.55</v>
      </c>
      <c r="U18" s="0" t="n">
        <v>4.4</v>
      </c>
      <c r="V18" s="0" t="n">
        <v>4.74</v>
      </c>
      <c r="W18" s="0" t="n">
        <v>3.8</v>
      </c>
      <c r="X18" s="0" t="n">
        <v>3.79</v>
      </c>
      <c r="Y18" s="0" t="n">
        <v>1.51</v>
      </c>
      <c r="Z18" s="0" t="n">
        <v>3.3</v>
      </c>
      <c r="AA18" s="0" t="n">
        <v>3.65</v>
      </c>
      <c r="AB18" s="0" t="n">
        <v>3.25</v>
      </c>
      <c r="AC18" s="0" t="n">
        <v>4.39</v>
      </c>
      <c r="AD18" s="0" t="n">
        <v>14.09</v>
      </c>
      <c r="AE18" s="0" t="n">
        <v>14.48</v>
      </c>
      <c r="AF18" s="0" t="n">
        <v>3.9</v>
      </c>
      <c r="AG18" s="0" t="n">
        <v>1.5</v>
      </c>
      <c r="AH18" s="0" t="n">
        <v>12.57</v>
      </c>
      <c r="AI18" s="0" t="n">
        <v>16.18</v>
      </c>
      <c r="AJ18" s="0" t="n">
        <v>7.96</v>
      </c>
      <c r="AK18" s="0" t="n">
        <v>6.82</v>
      </c>
      <c r="AL18" s="0" t="n">
        <v>8.95</v>
      </c>
      <c r="AM18" s="0" t="n">
        <v>9.61</v>
      </c>
      <c r="AN18" s="0" t="n">
        <v>11.07</v>
      </c>
      <c r="AP18" s="0" t="n">
        <v>13.41</v>
      </c>
      <c r="AQ18" s="0" t="n">
        <v>10.21</v>
      </c>
      <c r="AR18" s="0" t="n">
        <v>9.3</v>
      </c>
      <c r="AS18" s="0" t="n">
        <v>10.18</v>
      </c>
      <c r="AT18" s="0" t="n">
        <v>7.88</v>
      </c>
      <c r="AU18" s="0" t="n">
        <v>9.65</v>
      </c>
    </row>
    <row r="19" customFormat="false" ht="14.25" hidden="false" customHeight="false" outlineLevel="0" collapsed="false">
      <c r="A19" s="0" t="n">
        <v>12.17</v>
      </c>
      <c r="B19" s="0" t="n">
        <v>3.82</v>
      </c>
      <c r="C19" s="0" t="n">
        <v>6.31</v>
      </c>
      <c r="D19" s="0" t="n">
        <v>9.57</v>
      </c>
      <c r="E19" s="0" t="n">
        <v>3.97</v>
      </c>
      <c r="F19" s="0" t="n">
        <v>19.92</v>
      </c>
      <c r="G19" s="0" t="n">
        <v>15.97</v>
      </c>
      <c r="H19" s="0" t="n">
        <v>2.96</v>
      </c>
      <c r="I19" s="0" t="n">
        <v>667.55</v>
      </c>
      <c r="J19" s="0" t="n">
        <v>4.28</v>
      </c>
      <c r="K19" s="0" t="n">
        <v>651.02</v>
      </c>
      <c r="L19" s="0" t="n">
        <v>645.8</v>
      </c>
      <c r="M19" s="0" t="n">
        <v>639.43</v>
      </c>
      <c r="N19" s="0" t="n">
        <v>631.36</v>
      </c>
      <c r="O19" s="0" t="n">
        <v>621.02</v>
      </c>
      <c r="P19" s="0" t="n">
        <v>613.12</v>
      </c>
      <c r="Q19" s="0" t="n">
        <v>4.96</v>
      </c>
      <c r="R19" s="0" t="n">
        <v>5.19</v>
      </c>
      <c r="S19" s="0" t="n">
        <v>4.68</v>
      </c>
      <c r="T19" s="0" t="n">
        <v>4.54</v>
      </c>
      <c r="U19" s="0" t="n">
        <v>4.4</v>
      </c>
      <c r="V19" s="0" t="n">
        <v>4.8</v>
      </c>
      <c r="W19" s="0" t="n">
        <v>3.81</v>
      </c>
      <c r="X19" s="0" t="n">
        <v>3.79</v>
      </c>
      <c r="Y19" s="0" t="n">
        <v>1.51</v>
      </c>
      <c r="Z19" s="0" t="n">
        <v>3.52</v>
      </c>
      <c r="AA19" s="0" t="n">
        <v>3.67</v>
      </c>
      <c r="AB19" s="0" t="n">
        <v>3.27</v>
      </c>
      <c r="AC19" s="0" t="n">
        <v>4.41</v>
      </c>
      <c r="AD19" s="0" t="n">
        <v>14.13</v>
      </c>
      <c r="AE19" s="0" t="n">
        <v>14.45</v>
      </c>
      <c r="AF19" s="0" t="n">
        <v>3.94</v>
      </c>
      <c r="AG19" s="0" t="n">
        <v>1.51</v>
      </c>
      <c r="AH19" s="0" t="n">
        <v>12.57</v>
      </c>
      <c r="AI19" s="0" t="n">
        <v>16.18</v>
      </c>
      <c r="AJ19" s="0" t="n">
        <v>7.95</v>
      </c>
      <c r="AK19" s="0" t="n">
        <v>6.83</v>
      </c>
      <c r="AL19" s="0" t="n">
        <v>8.97</v>
      </c>
      <c r="AM19" s="0" t="n">
        <v>9.57</v>
      </c>
      <c r="AN19" s="0" t="n">
        <v>11.01</v>
      </c>
      <c r="AP19" s="0" t="n">
        <v>13.39</v>
      </c>
      <c r="AQ19" s="0" t="n">
        <v>10.19</v>
      </c>
      <c r="AR19" s="0" t="n">
        <v>9.29</v>
      </c>
      <c r="AS19" s="0" t="n">
        <v>10.18</v>
      </c>
      <c r="AT19" s="0" t="n">
        <v>7.83</v>
      </c>
      <c r="AU19" s="0" t="n">
        <v>9.58</v>
      </c>
    </row>
    <row r="20" customFormat="false" ht="14.25" hidden="false" customHeight="false" outlineLevel="0" collapsed="false">
      <c r="A20" s="0" t="n">
        <v>12.17</v>
      </c>
      <c r="B20" s="0" t="n">
        <v>3.84</v>
      </c>
      <c r="C20" s="0" t="n">
        <v>6.32</v>
      </c>
      <c r="D20" s="0" t="n">
        <v>9.57</v>
      </c>
      <c r="E20" s="0" t="n">
        <v>3.97</v>
      </c>
      <c r="F20" s="0" t="n">
        <v>19.95</v>
      </c>
      <c r="G20" s="0" t="n">
        <v>15.97</v>
      </c>
      <c r="H20" s="0" t="n">
        <v>2.95</v>
      </c>
      <c r="I20" s="0" t="n">
        <v>667.54</v>
      </c>
      <c r="J20" s="0" t="n">
        <v>4.28</v>
      </c>
      <c r="K20" s="0" t="n">
        <v>651.03</v>
      </c>
      <c r="L20" s="0" t="n">
        <v>645.8</v>
      </c>
      <c r="M20" s="0" t="n">
        <v>639.43</v>
      </c>
      <c r="N20" s="0" t="n">
        <v>631.36</v>
      </c>
      <c r="O20" s="0" t="n">
        <v>621.02</v>
      </c>
      <c r="P20" s="0" t="n">
        <v>613.12</v>
      </c>
      <c r="Q20" s="0" t="n">
        <v>4.95</v>
      </c>
      <c r="R20" s="0" t="n">
        <v>5.2</v>
      </c>
      <c r="S20" s="0" t="n">
        <v>4.75</v>
      </c>
      <c r="T20" s="0" t="n">
        <v>4.54</v>
      </c>
      <c r="U20" s="0" t="n">
        <v>4.39</v>
      </c>
      <c r="V20" s="0" t="n">
        <v>4.74</v>
      </c>
      <c r="W20" s="0" t="n">
        <v>3.81</v>
      </c>
      <c r="X20" s="0" t="n">
        <v>3.79</v>
      </c>
      <c r="Y20" s="0" t="n">
        <v>1.52</v>
      </c>
      <c r="Z20" s="0" t="n">
        <v>4.14</v>
      </c>
      <c r="AA20" s="0" t="n">
        <v>3.62</v>
      </c>
      <c r="AB20" s="0" t="n">
        <v>3.27</v>
      </c>
      <c r="AC20" s="0" t="n">
        <v>4.41</v>
      </c>
      <c r="AD20" s="0" t="n">
        <v>14.13</v>
      </c>
      <c r="AE20" s="0" t="n">
        <v>14.44</v>
      </c>
      <c r="AF20" s="0" t="n">
        <v>3.95</v>
      </c>
      <c r="AG20" s="0" t="n">
        <v>1.45</v>
      </c>
      <c r="AH20" s="0" t="n">
        <v>12.58</v>
      </c>
      <c r="AI20" s="0" t="n">
        <v>16.17</v>
      </c>
      <c r="AJ20" s="0" t="n">
        <v>7.95</v>
      </c>
      <c r="AK20" s="0" t="n">
        <v>6.84</v>
      </c>
      <c r="AL20" s="0" t="n">
        <v>8.97</v>
      </c>
      <c r="AM20" s="0" t="n">
        <v>9.57</v>
      </c>
      <c r="AN20" s="0" t="n">
        <v>11.03</v>
      </c>
      <c r="AP20" s="0" t="n">
        <v>13.38</v>
      </c>
      <c r="AQ20" s="0" t="n">
        <v>10.24</v>
      </c>
      <c r="AR20" s="0" t="n">
        <v>9.27</v>
      </c>
      <c r="AS20" s="0" t="n">
        <v>10.18</v>
      </c>
      <c r="AT20" s="0" t="n">
        <v>7.79</v>
      </c>
      <c r="AU20" s="0" t="n">
        <v>9.53</v>
      </c>
    </row>
    <row r="21" customFormat="false" ht="14.25" hidden="false" customHeight="false" outlineLevel="0" collapsed="false">
      <c r="A21" s="0" t="n">
        <v>12.17</v>
      </c>
      <c r="B21" s="0" t="n">
        <v>3.85</v>
      </c>
      <c r="C21" s="0" t="n">
        <v>6.32</v>
      </c>
      <c r="D21" s="0" t="n">
        <v>9.58</v>
      </c>
      <c r="E21" s="0" t="n">
        <v>3.96</v>
      </c>
      <c r="F21" s="0" t="n">
        <v>19.96</v>
      </c>
      <c r="G21" s="0" t="n">
        <v>15.98</v>
      </c>
      <c r="H21" s="0" t="n">
        <v>2.95</v>
      </c>
      <c r="I21" s="0" t="n">
        <v>667.53</v>
      </c>
      <c r="J21" s="0" t="n">
        <v>4.28</v>
      </c>
      <c r="K21" s="0" t="n">
        <v>651.03</v>
      </c>
      <c r="L21" s="0" t="n">
        <v>645.81</v>
      </c>
      <c r="M21" s="0" t="n">
        <v>639.43</v>
      </c>
      <c r="N21" s="0" t="n">
        <v>631.38</v>
      </c>
      <c r="O21" s="0" t="n">
        <v>621.02</v>
      </c>
      <c r="P21" s="0" t="n">
        <v>613.13</v>
      </c>
      <c r="Q21" s="0" t="n">
        <v>4.95</v>
      </c>
      <c r="R21" s="0" t="n">
        <v>5.19</v>
      </c>
      <c r="S21" s="0" t="n">
        <v>4.72</v>
      </c>
      <c r="T21" s="0" t="n">
        <v>4.53</v>
      </c>
      <c r="U21" s="0" t="n">
        <v>4.4</v>
      </c>
      <c r="V21" s="0" t="n">
        <v>4.73</v>
      </c>
      <c r="W21" s="0" t="n">
        <v>3.8</v>
      </c>
      <c r="X21" s="0" t="n">
        <v>3.79</v>
      </c>
      <c r="Y21" s="0" t="n">
        <v>1.51</v>
      </c>
      <c r="Z21" s="0" t="n">
        <v>4.57</v>
      </c>
      <c r="AA21" s="0" t="n">
        <v>3.6</v>
      </c>
      <c r="AB21" s="0" t="n">
        <v>3.27</v>
      </c>
      <c r="AC21" s="0" t="n">
        <v>4.39</v>
      </c>
      <c r="AD21" s="0" t="n">
        <v>14.12</v>
      </c>
      <c r="AE21" s="0" t="n">
        <v>14.47</v>
      </c>
      <c r="AF21" s="0" t="n">
        <v>3.87</v>
      </c>
      <c r="AG21" s="0" t="n">
        <v>1.48</v>
      </c>
      <c r="AH21" s="0" t="n">
        <v>12.58</v>
      </c>
      <c r="AI21" s="0" t="n">
        <v>16.18</v>
      </c>
      <c r="AJ21" s="0" t="n">
        <v>7.95</v>
      </c>
      <c r="AK21" s="0" t="n">
        <v>6.84</v>
      </c>
      <c r="AL21" s="0" t="n">
        <v>8.95</v>
      </c>
      <c r="AM21" s="0" t="n">
        <v>9.62</v>
      </c>
      <c r="AN21" s="0" t="n">
        <v>11.05</v>
      </c>
      <c r="AP21" s="0" t="n">
        <v>13.37</v>
      </c>
      <c r="AQ21" s="0" t="n">
        <v>10.24</v>
      </c>
      <c r="AR21" s="0" t="n">
        <v>9.25</v>
      </c>
      <c r="AS21" s="0" t="n">
        <v>10.19</v>
      </c>
      <c r="AT21" s="0" t="n">
        <v>7.72</v>
      </c>
      <c r="AU21" s="0" t="n">
        <v>9.49</v>
      </c>
    </row>
    <row r="22" customFormat="false" ht="14.25" hidden="false" customHeight="false" outlineLevel="0" collapsed="false">
      <c r="A22" s="0" t="n">
        <v>12.16</v>
      </c>
      <c r="B22" s="0" t="n">
        <v>3.85</v>
      </c>
      <c r="C22" s="0" t="n">
        <v>6.33</v>
      </c>
      <c r="D22" s="0" t="n">
        <v>9.56</v>
      </c>
      <c r="E22" s="0" t="n">
        <v>3.97</v>
      </c>
      <c r="F22" s="0" t="n">
        <v>19.96</v>
      </c>
      <c r="G22" s="0" t="n">
        <v>15.99</v>
      </c>
      <c r="H22" s="0" t="n">
        <v>2.95</v>
      </c>
      <c r="I22" s="0" t="n">
        <v>667.54</v>
      </c>
      <c r="J22" s="0" t="n">
        <v>4.28</v>
      </c>
      <c r="K22" s="0" t="n">
        <v>651.03</v>
      </c>
      <c r="L22" s="0" t="n">
        <v>645.8</v>
      </c>
      <c r="M22" s="0" t="n">
        <v>639.43</v>
      </c>
      <c r="N22" s="0" t="n">
        <v>631.37</v>
      </c>
      <c r="O22" s="0" t="n">
        <v>621.02</v>
      </c>
      <c r="P22" s="0" t="n">
        <v>613.13</v>
      </c>
      <c r="Q22" s="0" t="n">
        <v>4.95</v>
      </c>
      <c r="R22" s="0" t="n">
        <v>5.19</v>
      </c>
      <c r="S22" s="0" t="n">
        <v>4.73</v>
      </c>
      <c r="T22" s="0" t="n">
        <v>4.57</v>
      </c>
      <c r="U22" s="0" t="n">
        <v>4.38</v>
      </c>
      <c r="V22" s="0" t="n">
        <v>4.69</v>
      </c>
      <c r="W22" s="0" t="n">
        <v>3.81</v>
      </c>
      <c r="X22" s="0" t="n">
        <v>3.79</v>
      </c>
      <c r="Y22" s="0" t="n">
        <v>1.5</v>
      </c>
      <c r="Z22" s="0" t="n">
        <v>4.44</v>
      </c>
      <c r="AA22" s="0" t="n">
        <v>3.74</v>
      </c>
      <c r="AB22" s="0" t="n">
        <v>3.26</v>
      </c>
      <c r="AC22" s="0" t="n">
        <v>4.41</v>
      </c>
      <c r="AD22" s="0" t="n">
        <v>14.12</v>
      </c>
      <c r="AE22" s="0" t="n">
        <v>14.49</v>
      </c>
      <c r="AF22" s="0" t="n">
        <v>3.89</v>
      </c>
      <c r="AG22" s="0" t="n">
        <v>1.43</v>
      </c>
      <c r="AH22" s="0" t="n">
        <v>12.59</v>
      </c>
      <c r="AI22" s="0" t="n">
        <v>16.17</v>
      </c>
      <c r="AJ22" s="0" t="n">
        <v>7.93</v>
      </c>
      <c r="AK22" s="0" t="n">
        <v>6.85</v>
      </c>
      <c r="AL22" s="0" t="n">
        <v>8.98</v>
      </c>
      <c r="AM22" s="0" t="n">
        <v>9.6</v>
      </c>
      <c r="AN22" s="0" t="n">
        <v>11.03</v>
      </c>
      <c r="AP22" s="0" t="n">
        <v>13.35</v>
      </c>
      <c r="AQ22" s="0" t="n">
        <v>10.22</v>
      </c>
      <c r="AR22" s="0" t="n">
        <v>9.2</v>
      </c>
      <c r="AS22" s="0" t="n">
        <v>10.2</v>
      </c>
      <c r="AT22" s="0" t="n">
        <v>7.68</v>
      </c>
      <c r="AU22" s="0" t="n">
        <v>9.45</v>
      </c>
    </row>
    <row r="23" customFormat="false" ht="14.25" hidden="false" customHeight="false" outlineLevel="0" collapsed="false">
      <c r="A23" s="0" t="n">
        <v>12.15</v>
      </c>
      <c r="B23" s="0" t="n">
        <v>3.84</v>
      </c>
      <c r="C23" s="0" t="n">
        <v>6.33</v>
      </c>
      <c r="D23" s="0" t="n">
        <v>9.6</v>
      </c>
      <c r="E23" s="0" t="n">
        <v>3.97</v>
      </c>
      <c r="F23" s="0" t="n">
        <v>19.96</v>
      </c>
      <c r="G23" s="0" t="n">
        <v>16.01</v>
      </c>
      <c r="H23" s="0" t="n">
        <v>2.94</v>
      </c>
      <c r="I23" s="0" t="n">
        <v>667.55</v>
      </c>
      <c r="J23" s="0" t="n">
        <v>4.28</v>
      </c>
      <c r="K23" s="0" t="n">
        <v>651.03</v>
      </c>
      <c r="L23" s="0" t="n">
        <v>645.82</v>
      </c>
      <c r="M23" s="0" t="n">
        <v>639.43</v>
      </c>
      <c r="N23" s="0" t="n">
        <v>631.36</v>
      </c>
      <c r="O23" s="0" t="n">
        <v>621.02</v>
      </c>
      <c r="P23" s="0" t="n">
        <v>613.13</v>
      </c>
      <c r="Q23" s="0" t="n">
        <v>4.95</v>
      </c>
      <c r="R23" s="0" t="n">
        <v>5.19</v>
      </c>
      <c r="S23" s="0" t="n">
        <v>4.74</v>
      </c>
      <c r="T23" s="0" t="n">
        <v>4.62</v>
      </c>
      <c r="U23" s="0" t="n">
        <v>4.39</v>
      </c>
      <c r="V23" s="0" t="n">
        <v>4.63</v>
      </c>
      <c r="W23" s="0" t="n">
        <v>3.8</v>
      </c>
      <c r="X23" s="0" t="n">
        <v>3.78</v>
      </c>
      <c r="Y23" s="0" t="n">
        <v>1.49</v>
      </c>
      <c r="Z23" s="0" t="n">
        <v>4.26</v>
      </c>
      <c r="AA23" s="0" t="n">
        <v>3.54</v>
      </c>
      <c r="AB23" s="0" t="n">
        <v>3.26</v>
      </c>
      <c r="AC23" s="0" t="n">
        <v>4.44</v>
      </c>
      <c r="AD23" s="0" t="n">
        <v>14.16</v>
      </c>
      <c r="AE23" s="0" t="n">
        <v>14.5</v>
      </c>
      <c r="AF23" s="0" t="n">
        <v>3.92</v>
      </c>
      <c r="AG23" s="0" t="n">
        <v>1.28</v>
      </c>
      <c r="AH23" s="0" t="n">
        <v>12.6</v>
      </c>
      <c r="AI23" s="0" t="n">
        <v>16.17</v>
      </c>
      <c r="AJ23" s="0" t="n">
        <v>7.93</v>
      </c>
      <c r="AK23" s="0" t="n">
        <v>6.85</v>
      </c>
      <c r="AL23" s="0" t="n">
        <v>8.98</v>
      </c>
      <c r="AM23" s="0" t="n">
        <v>9.53</v>
      </c>
      <c r="AN23" s="0" t="n">
        <v>11.05</v>
      </c>
      <c r="AP23" s="0" t="n">
        <v>13.3</v>
      </c>
      <c r="AQ23" s="0" t="n">
        <v>10.21</v>
      </c>
      <c r="AR23" s="0" t="n">
        <v>9.21</v>
      </c>
      <c r="AS23" s="0" t="n">
        <v>10.22</v>
      </c>
      <c r="AT23" s="0" t="n">
        <v>7.61</v>
      </c>
      <c r="AU23" s="0" t="n">
        <v>9.44</v>
      </c>
    </row>
    <row r="24" customFormat="false" ht="14.25" hidden="false" customHeight="false" outlineLevel="0" collapsed="false">
      <c r="A24" s="0" t="n">
        <v>12.15</v>
      </c>
      <c r="B24" s="0" t="n">
        <v>3.85</v>
      </c>
      <c r="C24" s="0" t="n">
        <v>6.33</v>
      </c>
      <c r="D24" s="0" t="n">
        <v>9.57</v>
      </c>
      <c r="E24" s="0" t="n">
        <v>3.95</v>
      </c>
      <c r="F24" s="0" t="n">
        <v>19.95</v>
      </c>
      <c r="G24" s="0" t="n">
        <v>16.01</v>
      </c>
      <c r="H24" s="0" t="n">
        <v>2.95</v>
      </c>
      <c r="I24" s="0" t="n">
        <v>667.56</v>
      </c>
      <c r="J24" s="0" t="n">
        <v>4.28</v>
      </c>
      <c r="K24" s="0" t="n">
        <v>651.03</v>
      </c>
      <c r="L24" s="0" t="n">
        <v>645.81</v>
      </c>
      <c r="M24" s="0" t="n">
        <v>639.43</v>
      </c>
      <c r="N24" s="0" t="n">
        <v>631.37</v>
      </c>
      <c r="O24" s="0" t="n">
        <v>621.03</v>
      </c>
      <c r="P24" s="0" t="n">
        <v>613.13</v>
      </c>
      <c r="Q24" s="0" t="n">
        <v>4.95</v>
      </c>
      <c r="R24" s="0" t="n">
        <v>5.2</v>
      </c>
      <c r="S24" s="0" t="n">
        <v>4.74</v>
      </c>
      <c r="T24" s="0" t="n">
        <v>4.55</v>
      </c>
      <c r="U24" s="0" t="n">
        <v>4.38</v>
      </c>
      <c r="V24" s="0" t="n">
        <v>4.62</v>
      </c>
      <c r="W24" s="0" t="n">
        <v>3.8</v>
      </c>
      <c r="X24" s="0" t="n">
        <v>3.79</v>
      </c>
      <c r="Y24" s="0" t="n">
        <v>1.5</v>
      </c>
      <c r="Z24" s="0" t="n">
        <v>4.16</v>
      </c>
      <c r="AA24" s="0" t="n">
        <v>3.47</v>
      </c>
      <c r="AB24" s="0" t="n">
        <v>3.26</v>
      </c>
      <c r="AC24" s="0" t="n">
        <v>4.42</v>
      </c>
      <c r="AD24" s="0" t="n">
        <v>14.14</v>
      </c>
      <c r="AE24" s="0" t="n">
        <v>14.5</v>
      </c>
      <c r="AF24" s="0" t="n">
        <v>3.98</v>
      </c>
      <c r="AG24" s="0" t="n">
        <v>1.36</v>
      </c>
      <c r="AH24" s="0" t="n">
        <v>12.59</v>
      </c>
      <c r="AI24" s="0" t="n">
        <v>16.16</v>
      </c>
      <c r="AJ24" s="0" t="n">
        <v>7.94</v>
      </c>
      <c r="AK24" s="0" t="n">
        <v>6.85</v>
      </c>
      <c r="AL24" s="0" t="n">
        <v>8.95</v>
      </c>
      <c r="AM24" s="0" t="n">
        <v>9.55</v>
      </c>
      <c r="AN24" s="0" t="n">
        <v>11.09</v>
      </c>
      <c r="AP24" s="0" t="n">
        <v>13.32</v>
      </c>
      <c r="AQ24" s="0" t="n">
        <v>10.24</v>
      </c>
      <c r="AR24" s="0" t="n">
        <v>9.19</v>
      </c>
      <c r="AS24" s="0" t="n">
        <v>10.22</v>
      </c>
      <c r="AT24" s="0" t="n">
        <v>7.57</v>
      </c>
      <c r="AU24" s="0" t="n">
        <v>9.42</v>
      </c>
    </row>
    <row r="25" customFormat="false" ht="14.25" hidden="false" customHeight="false" outlineLevel="0" collapsed="false">
      <c r="A25" s="0" t="n">
        <v>12.15</v>
      </c>
      <c r="B25" s="0" t="n">
        <v>3.85</v>
      </c>
      <c r="C25" s="0" t="n">
        <v>6.33</v>
      </c>
      <c r="D25" s="0" t="n">
        <v>9.59</v>
      </c>
      <c r="E25" s="0" t="n">
        <v>3.98</v>
      </c>
      <c r="F25" s="0" t="n">
        <v>19.96</v>
      </c>
      <c r="G25" s="0" t="n">
        <v>16.01</v>
      </c>
      <c r="H25" s="0" t="n">
        <v>2.94</v>
      </c>
      <c r="I25" s="0" t="n">
        <v>667.53</v>
      </c>
      <c r="J25" s="0" t="n">
        <v>4.28</v>
      </c>
      <c r="K25" s="0" t="n">
        <v>651.03</v>
      </c>
      <c r="L25" s="0" t="n">
        <v>645.81</v>
      </c>
      <c r="M25" s="0" t="n">
        <v>639.43</v>
      </c>
      <c r="N25" s="0" t="n">
        <v>631.36</v>
      </c>
      <c r="O25" s="0" t="n">
        <v>621.03</v>
      </c>
      <c r="P25" s="0" t="n">
        <v>613.13</v>
      </c>
      <c r="Q25" s="0" t="n">
        <v>4.87</v>
      </c>
      <c r="R25" s="0" t="n">
        <v>5.19</v>
      </c>
      <c r="S25" s="0" t="n">
        <v>4.72</v>
      </c>
      <c r="T25" s="0" t="n">
        <v>4.54</v>
      </c>
      <c r="U25" s="0" t="n">
        <v>4.36</v>
      </c>
      <c r="V25" s="0" t="n">
        <v>4.65</v>
      </c>
      <c r="W25" s="0" t="n">
        <v>3.8</v>
      </c>
      <c r="X25" s="0" t="n">
        <v>3.79</v>
      </c>
      <c r="Y25" s="0" t="n">
        <v>1.48</v>
      </c>
      <c r="Z25" s="0" t="n">
        <v>3.95</v>
      </c>
      <c r="AA25" s="0" t="n">
        <v>3.48</v>
      </c>
      <c r="AB25" s="0" t="n">
        <v>3.26</v>
      </c>
      <c r="AC25" s="0" t="n">
        <v>4.43</v>
      </c>
      <c r="AD25" s="0" t="n">
        <v>14.15</v>
      </c>
      <c r="AE25" s="0" t="n">
        <v>14.5</v>
      </c>
      <c r="AF25" s="0" t="n">
        <v>3.95</v>
      </c>
      <c r="AG25" s="0" t="n">
        <v>1.41</v>
      </c>
      <c r="AH25" s="0" t="n">
        <v>12.6</v>
      </c>
      <c r="AI25" s="0" t="n">
        <v>16.15</v>
      </c>
      <c r="AJ25" s="0" t="n">
        <v>7.92</v>
      </c>
      <c r="AK25" s="0" t="n">
        <v>6.86</v>
      </c>
      <c r="AL25" s="0" t="n">
        <v>8.97</v>
      </c>
      <c r="AM25" s="0" t="n">
        <v>9.55</v>
      </c>
      <c r="AN25" s="0" t="n">
        <v>11.09</v>
      </c>
      <c r="AP25" s="0" t="n">
        <v>13.3</v>
      </c>
      <c r="AQ25" s="0" t="n">
        <v>10.22</v>
      </c>
      <c r="AR25" s="0" t="n">
        <v>9.15</v>
      </c>
      <c r="AS25" s="0" t="n">
        <v>10.24</v>
      </c>
      <c r="AT25" s="0" t="n">
        <v>7.51</v>
      </c>
      <c r="AU25" s="0" t="n">
        <v>9.4</v>
      </c>
    </row>
    <row r="26" customFormat="false" ht="14.25" hidden="false" customHeight="false" outlineLevel="0" collapsed="false">
      <c r="A26" s="0" t="n">
        <v>12.15</v>
      </c>
      <c r="B26" s="0" t="n">
        <v>3.87</v>
      </c>
      <c r="C26" s="0" t="n">
        <v>6.34</v>
      </c>
      <c r="D26" s="0" t="n">
        <v>9.59</v>
      </c>
      <c r="E26" s="0" t="n">
        <v>3.98</v>
      </c>
      <c r="F26" s="0" t="n">
        <v>19.96</v>
      </c>
      <c r="G26" s="0" t="n">
        <v>16.02</v>
      </c>
      <c r="H26" s="0" t="n">
        <v>2.94</v>
      </c>
      <c r="I26" s="0" t="n">
        <v>667.53</v>
      </c>
      <c r="J26" s="0" t="n">
        <v>4.28</v>
      </c>
      <c r="K26" s="0" t="n">
        <v>651.04</v>
      </c>
      <c r="L26" s="0" t="n">
        <v>645.8</v>
      </c>
      <c r="M26" s="0" t="n">
        <v>639.43</v>
      </c>
      <c r="N26" s="0" t="n">
        <v>631.24</v>
      </c>
      <c r="O26" s="0" t="n">
        <v>621.03</v>
      </c>
      <c r="P26" s="0" t="n">
        <v>613.13</v>
      </c>
      <c r="Q26" s="0" t="n">
        <v>4.99</v>
      </c>
      <c r="R26" s="0" t="n">
        <v>5.2</v>
      </c>
      <c r="S26" s="0" t="n">
        <v>4.75</v>
      </c>
      <c r="T26" s="0" t="n">
        <v>4.57</v>
      </c>
      <c r="U26" s="0" t="n">
        <v>4.39</v>
      </c>
      <c r="V26" s="0" t="n">
        <v>4.64</v>
      </c>
      <c r="W26" s="0" t="n">
        <v>3.82</v>
      </c>
      <c r="X26" s="0" t="n">
        <v>3.79</v>
      </c>
      <c r="Y26" s="0" t="n">
        <v>1.48</v>
      </c>
      <c r="Z26" s="0" t="n">
        <v>3.39</v>
      </c>
      <c r="AA26" s="0" t="n">
        <v>3.5</v>
      </c>
      <c r="AB26" s="0" t="n">
        <v>3.26</v>
      </c>
      <c r="AC26" s="0" t="n">
        <v>4.39</v>
      </c>
      <c r="AD26" s="0" t="n">
        <v>14.16</v>
      </c>
      <c r="AE26" s="0" t="n">
        <v>14.48</v>
      </c>
      <c r="AF26" s="0" t="n">
        <v>3.92</v>
      </c>
      <c r="AG26" s="0" t="n">
        <v>1.38</v>
      </c>
      <c r="AH26" s="0" t="n">
        <v>12.6</v>
      </c>
      <c r="AI26" s="0" t="n">
        <v>16.14</v>
      </c>
      <c r="AJ26" s="0" t="n">
        <v>7.92</v>
      </c>
      <c r="AK26" s="0" t="n">
        <v>6.85</v>
      </c>
      <c r="AL26" s="0" t="n">
        <v>8.99</v>
      </c>
      <c r="AM26" s="0" t="n">
        <v>9.51</v>
      </c>
      <c r="AN26" s="0" t="n">
        <v>11.04</v>
      </c>
      <c r="AP26" s="0" t="n">
        <v>13.26</v>
      </c>
      <c r="AQ26" s="0" t="n">
        <v>10.23</v>
      </c>
      <c r="AR26" s="0" t="n">
        <v>9.09</v>
      </c>
      <c r="AS26" s="0" t="n">
        <v>10.27</v>
      </c>
      <c r="AT26" s="0" t="n">
        <v>7.45</v>
      </c>
      <c r="AU26" s="0" t="n">
        <v>9.36</v>
      </c>
    </row>
    <row r="27" customFormat="false" ht="14.25" hidden="false" customHeight="false" outlineLevel="0" collapsed="false">
      <c r="A27" s="0" t="n">
        <v>12.14</v>
      </c>
      <c r="B27" s="0" t="n">
        <v>3.83</v>
      </c>
      <c r="C27" s="0" t="n">
        <v>6.34</v>
      </c>
      <c r="D27" s="0" t="n">
        <v>9.58</v>
      </c>
      <c r="E27" s="0" t="n">
        <v>3.99</v>
      </c>
      <c r="F27" s="0" t="n">
        <v>19.98</v>
      </c>
      <c r="G27" s="0" t="n">
        <v>16.01</v>
      </c>
      <c r="H27" s="0" t="n">
        <v>2.94</v>
      </c>
      <c r="I27" s="0" t="n">
        <v>667.54</v>
      </c>
      <c r="J27" s="0" t="n">
        <v>4.28</v>
      </c>
      <c r="K27" s="0" t="n">
        <v>651.04</v>
      </c>
      <c r="L27" s="0" t="n">
        <v>645.89</v>
      </c>
      <c r="M27" s="0" t="n">
        <v>639.43</v>
      </c>
      <c r="N27" s="0" t="n">
        <v>631.35</v>
      </c>
      <c r="O27" s="0" t="n">
        <v>621.03</v>
      </c>
      <c r="P27" s="0" t="n">
        <v>613.14</v>
      </c>
      <c r="Q27" s="0" t="n">
        <v>5.04</v>
      </c>
      <c r="R27" s="0" t="n">
        <v>5.2</v>
      </c>
      <c r="S27" s="0" t="n">
        <v>4.75</v>
      </c>
      <c r="T27" s="0" t="n">
        <v>4.53</v>
      </c>
      <c r="U27" s="0" t="n">
        <v>4.41</v>
      </c>
      <c r="V27" s="0" t="n">
        <v>4.63</v>
      </c>
      <c r="W27" s="0" t="n">
        <v>3.81</v>
      </c>
      <c r="X27" s="0" t="n">
        <v>3.78</v>
      </c>
      <c r="Y27" s="0" t="n">
        <v>1.48</v>
      </c>
      <c r="Z27" s="0" t="n">
        <v>3.23</v>
      </c>
      <c r="AA27" s="0" t="n">
        <v>3.45</v>
      </c>
      <c r="AB27" s="0" t="n">
        <v>3.28</v>
      </c>
      <c r="AC27" s="0" t="n">
        <v>4.42</v>
      </c>
      <c r="AD27" s="0" t="n">
        <v>14.18</v>
      </c>
      <c r="AE27" s="0" t="n">
        <v>14.52</v>
      </c>
      <c r="AF27" s="0" t="n">
        <v>3.87</v>
      </c>
      <c r="AG27" s="0" t="n">
        <v>1.36</v>
      </c>
      <c r="AH27" s="0" t="n">
        <v>12.6</v>
      </c>
      <c r="AI27" s="0" t="n">
        <v>16.14</v>
      </c>
      <c r="AJ27" s="0" t="n">
        <v>7.9</v>
      </c>
      <c r="AK27" s="0" t="n">
        <v>6.86</v>
      </c>
      <c r="AL27" s="0" t="n">
        <v>8.98</v>
      </c>
      <c r="AM27" s="0" t="n">
        <v>9.58</v>
      </c>
      <c r="AN27" s="0" t="n">
        <v>11</v>
      </c>
      <c r="AP27" s="0" t="n">
        <v>13.24</v>
      </c>
      <c r="AQ27" s="0" t="n">
        <v>10.23</v>
      </c>
      <c r="AR27" s="0" t="n">
        <v>9.05</v>
      </c>
      <c r="AS27" s="0" t="n">
        <v>10.29</v>
      </c>
      <c r="AT27" s="0" t="n">
        <v>7.39</v>
      </c>
      <c r="AU27" s="0" t="n">
        <v>9.36</v>
      </c>
    </row>
    <row r="28" customFormat="false" ht="14.25" hidden="false" customHeight="false" outlineLevel="0" collapsed="false">
      <c r="A28" s="0" t="n">
        <v>12.13</v>
      </c>
      <c r="B28" s="0" t="n">
        <v>3.88</v>
      </c>
      <c r="C28" s="0" t="n">
        <v>6.34</v>
      </c>
      <c r="D28" s="0" t="n">
        <v>9.58</v>
      </c>
      <c r="E28" s="0" t="n">
        <v>3.99</v>
      </c>
      <c r="F28" s="0" t="n">
        <v>20</v>
      </c>
      <c r="G28" s="0" t="n">
        <v>16.02</v>
      </c>
      <c r="H28" s="0" t="n">
        <v>2.94</v>
      </c>
      <c r="I28" s="0" t="n">
        <v>667.54</v>
      </c>
      <c r="J28" s="0" t="n">
        <v>4.28</v>
      </c>
      <c r="K28" s="0" t="n">
        <v>651.04</v>
      </c>
      <c r="L28" s="0" t="n">
        <v>645.82</v>
      </c>
      <c r="M28" s="0" t="n">
        <v>639.43</v>
      </c>
      <c r="N28" s="0" t="n">
        <v>631.35</v>
      </c>
      <c r="O28" s="0" t="n">
        <v>621.03</v>
      </c>
      <c r="P28" s="0" t="n">
        <v>613.14</v>
      </c>
      <c r="Q28" s="0" t="n">
        <v>5.04</v>
      </c>
      <c r="R28" s="0" t="n">
        <v>5.21</v>
      </c>
      <c r="S28" s="0" t="n">
        <v>4.74</v>
      </c>
      <c r="T28" s="0" t="n">
        <v>4.56</v>
      </c>
      <c r="U28" s="0" t="n">
        <v>4.38</v>
      </c>
      <c r="V28" s="0" t="n">
        <v>4.62</v>
      </c>
      <c r="W28" s="0" t="n">
        <v>3.8</v>
      </c>
      <c r="X28" s="0" t="n">
        <v>3.79</v>
      </c>
      <c r="Y28" s="0" t="n">
        <v>1.47</v>
      </c>
      <c r="Z28" s="0" t="n">
        <v>3.2</v>
      </c>
      <c r="AA28" s="0" t="n">
        <v>3.56</v>
      </c>
      <c r="AB28" s="0" t="n">
        <v>3.31</v>
      </c>
      <c r="AC28" s="0" t="n">
        <v>4.43</v>
      </c>
      <c r="AD28" s="0" t="n">
        <v>14.18</v>
      </c>
      <c r="AE28" s="0" t="n">
        <v>14.51</v>
      </c>
      <c r="AF28" s="0" t="n">
        <v>3.91</v>
      </c>
      <c r="AG28" s="0" t="n">
        <v>1.3</v>
      </c>
      <c r="AH28" s="0" t="n">
        <v>12.6</v>
      </c>
      <c r="AI28" s="0" t="n">
        <v>16.13</v>
      </c>
      <c r="AJ28" s="0" t="n">
        <v>7.9</v>
      </c>
      <c r="AK28" s="0" t="n">
        <v>6.88</v>
      </c>
      <c r="AL28" s="0" t="n">
        <v>8.99</v>
      </c>
      <c r="AM28" s="0" t="n">
        <v>9.52</v>
      </c>
      <c r="AN28" s="0" t="n">
        <v>11.08</v>
      </c>
      <c r="AP28" s="0" t="n">
        <v>13.24</v>
      </c>
      <c r="AQ28" s="0" t="n">
        <v>10.23</v>
      </c>
      <c r="AR28" s="0" t="n">
        <v>9.01</v>
      </c>
      <c r="AS28" s="0" t="n">
        <v>10.31</v>
      </c>
      <c r="AT28" s="0" t="n">
        <v>7.3</v>
      </c>
      <c r="AU28" s="0" t="n">
        <v>9.33</v>
      </c>
    </row>
    <row r="29" customFormat="false" ht="14.25" hidden="false" customHeight="false" outlineLevel="0" collapsed="false">
      <c r="A29" s="0" t="n">
        <v>12.13</v>
      </c>
      <c r="B29" s="0" t="n">
        <v>3.86</v>
      </c>
      <c r="C29" s="0" t="n">
        <v>6.35</v>
      </c>
      <c r="D29" s="0" t="n">
        <v>9.59</v>
      </c>
      <c r="E29" s="0" t="n">
        <v>3.99</v>
      </c>
      <c r="F29" s="0" t="n">
        <v>20</v>
      </c>
      <c r="G29" s="0" t="n">
        <v>16.02</v>
      </c>
      <c r="H29" s="0" t="n">
        <v>2.94</v>
      </c>
      <c r="I29" s="0" t="n">
        <v>667.54</v>
      </c>
      <c r="J29" s="0" t="n">
        <v>4.28</v>
      </c>
      <c r="K29" s="0" t="n">
        <v>651.04</v>
      </c>
      <c r="L29" s="0" t="n">
        <v>645.82</v>
      </c>
      <c r="M29" s="0" t="n">
        <v>639.43</v>
      </c>
      <c r="N29" s="0" t="n">
        <v>631.36</v>
      </c>
      <c r="O29" s="0" t="n">
        <v>621.05</v>
      </c>
      <c r="P29" s="0" t="n">
        <v>613.14</v>
      </c>
      <c r="Q29" s="0" t="n">
        <v>5.1</v>
      </c>
      <c r="R29" s="0" t="n">
        <v>5.2</v>
      </c>
      <c r="S29" s="0" t="n">
        <v>4.73</v>
      </c>
      <c r="T29" s="0" t="n">
        <v>4.56</v>
      </c>
      <c r="U29" s="0" t="n">
        <v>4.56</v>
      </c>
      <c r="V29" s="0" t="n">
        <v>4.62</v>
      </c>
      <c r="W29" s="0" t="n">
        <v>3.81</v>
      </c>
      <c r="X29" s="0" t="n">
        <v>3.79</v>
      </c>
      <c r="Y29" s="0" t="n">
        <v>1.47</v>
      </c>
      <c r="Z29" s="0" t="n">
        <v>3.4</v>
      </c>
      <c r="AA29" s="0" t="n">
        <v>3.64</v>
      </c>
      <c r="AB29" s="0" t="n">
        <v>2.99</v>
      </c>
      <c r="AC29" s="0" t="n">
        <v>4.41</v>
      </c>
      <c r="AD29" s="0" t="n">
        <v>14.19</v>
      </c>
      <c r="AE29" s="0" t="n">
        <v>14.51</v>
      </c>
      <c r="AF29" s="0" t="n">
        <v>3.94</v>
      </c>
      <c r="AG29" s="0" t="n">
        <v>1.29</v>
      </c>
      <c r="AH29" s="0" t="n">
        <v>12.59</v>
      </c>
      <c r="AI29" s="0" t="n">
        <v>16.12</v>
      </c>
      <c r="AJ29" s="0" t="n">
        <v>7.89</v>
      </c>
      <c r="AK29" s="0" t="n">
        <v>6.87</v>
      </c>
      <c r="AL29" s="0" t="n">
        <v>8.99</v>
      </c>
      <c r="AM29" s="0" t="n">
        <v>9.53</v>
      </c>
      <c r="AN29" s="0" t="n">
        <v>11.06</v>
      </c>
      <c r="AP29" s="0" t="n">
        <v>13.2</v>
      </c>
      <c r="AQ29" s="0" t="n">
        <v>10.22</v>
      </c>
      <c r="AR29" s="0" t="n">
        <v>9</v>
      </c>
      <c r="AS29" s="0" t="n">
        <v>10.31</v>
      </c>
      <c r="AT29" s="0" t="n">
        <v>7.23</v>
      </c>
      <c r="AU29" s="0" t="n">
        <v>9.34</v>
      </c>
    </row>
    <row r="30" customFormat="false" ht="14.25" hidden="false" customHeight="false" outlineLevel="0" collapsed="false">
      <c r="A30" s="0" t="n">
        <v>12.13</v>
      </c>
      <c r="B30" s="0" t="n">
        <v>3.86</v>
      </c>
      <c r="C30" s="0" t="n">
        <v>6.35</v>
      </c>
      <c r="D30" s="0" t="n">
        <v>9.58</v>
      </c>
      <c r="E30" s="0" t="n">
        <v>3.98</v>
      </c>
      <c r="F30" s="0" t="n">
        <v>20</v>
      </c>
      <c r="G30" s="0" t="n">
        <v>16.03</v>
      </c>
      <c r="H30" s="0" t="n">
        <v>2.94</v>
      </c>
      <c r="I30" s="0" t="n">
        <v>667.55</v>
      </c>
      <c r="J30" s="0" t="n">
        <v>4.28</v>
      </c>
      <c r="K30" s="0" t="n">
        <v>651.04</v>
      </c>
      <c r="L30" s="0" t="n">
        <v>645.82</v>
      </c>
      <c r="M30" s="0" t="n">
        <v>639.43</v>
      </c>
      <c r="N30" s="0" t="n">
        <v>631.37</v>
      </c>
      <c r="O30" s="0" t="n">
        <v>621.02</v>
      </c>
      <c r="P30" s="0" t="n">
        <v>613.14</v>
      </c>
      <c r="Q30" s="0" t="n">
        <v>5.04</v>
      </c>
      <c r="R30" s="0" t="n">
        <v>5.2</v>
      </c>
      <c r="S30" s="0" t="n">
        <v>4.75</v>
      </c>
      <c r="T30" s="0" t="n">
        <v>4.56</v>
      </c>
      <c r="U30" s="0" t="n">
        <v>4.44</v>
      </c>
      <c r="V30" s="0" t="n">
        <v>4.63</v>
      </c>
      <c r="W30" s="0" t="n">
        <v>3.82</v>
      </c>
      <c r="X30" s="0" t="n">
        <v>3.8</v>
      </c>
      <c r="Y30" s="0" t="n">
        <v>1.46</v>
      </c>
      <c r="Z30" s="0" t="n">
        <v>3.62</v>
      </c>
      <c r="AA30" s="0" t="n">
        <v>3.7</v>
      </c>
      <c r="AB30" s="0" t="n">
        <v>3.29</v>
      </c>
      <c r="AC30" s="0" t="n">
        <v>4.46</v>
      </c>
      <c r="AD30" s="0" t="n">
        <v>14.27</v>
      </c>
      <c r="AE30" s="0" t="n">
        <v>14.52</v>
      </c>
      <c r="AF30" s="0" t="n">
        <v>3.91</v>
      </c>
      <c r="AG30" s="0" t="n">
        <v>1.31</v>
      </c>
      <c r="AH30" s="0" t="n">
        <v>12.62</v>
      </c>
      <c r="AI30" s="0" t="n">
        <v>16.1</v>
      </c>
      <c r="AJ30" s="0" t="n">
        <v>7.89</v>
      </c>
      <c r="AK30" s="0" t="n">
        <v>6.88</v>
      </c>
      <c r="AL30" s="0" t="n">
        <v>8.99</v>
      </c>
      <c r="AM30" s="0" t="n">
        <v>9.55</v>
      </c>
      <c r="AN30" s="0" t="n">
        <v>11.03</v>
      </c>
      <c r="AP30" s="0" t="n">
        <v>13.17</v>
      </c>
      <c r="AQ30" s="0" t="n">
        <v>10.21</v>
      </c>
      <c r="AR30" s="0" t="n">
        <v>8.97</v>
      </c>
      <c r="AS30" s="0" t="n">
        <v>10.36</v>
      </c>
      <c r="AT30" s="0" t="n">
        <v>7.16</v>
      </c>
      <c r="AU30" s="0" t="n">
        <v>9.35</v>
      </c>
    </row>
    <row r="31" customFormat="false" ht="14.25" hidden="false" customHeight="false" outlineLevel="0" collapsed="false">
      <c r="A31" s="0" t="n">
        <v>12.13</v>
      </c>
      <c r="B31" s="0" t="n">
        <v>3.87</v>
      </c>
      <c r="C31" s="0" t="n">
        <v>6.35</v>
      </c>
      <c r="D31" s="0" t="n">
        <v>9.58</v>
      </c>
      <c r="E31" s="0" t="n">
        <v>3.98</v>
      </c>
      <c r="F31" s="0" t="n">
        <v>20.02</v>
      </c>
      <c r="G31" s="0" t="n">
        <v>16.03</v>
      </c>
      <c r="H31" s="0" t="n">
        <v>2.94</v>
      </c>
      <c r="I31" s="0" t="n">
        <v>667.55</v>
      </c>
      <c r="J31" s="0" t="n">
        <v>4.28</v>
      </c>
      <c r="K31" s="0" t="n">
        <v>651.05</v>
      </c>
      <c r="L31" s="0" t="n">
        <v>645.82</v>
      </c>
      <c r="M31" s="0" t="n">
        <v>639.43</v>
      </c>
      <c r="N31" s="0" t="n">
        <v>631.38</v>
      </c>
      <c r="O31" s="0" t="n">
        <v>621.01</v>
      </c>
      <c r="P31" s="0" t="n">
        <v>613.14</v>
      </c>
      <c r="Q31" s="0" t="n">
        <v>5.03</v>
      </c>
      <c r="R31" s="0" t="n">
        <v>5.2</v>
      </c>
      <c r="S31" s="0" t="n">
        <v>4.74</v>
      </c>
      <c r="T31" s="0" t="n">
        <v>4.55</v>
      </c>
      <c r="U31" s="0" t="n">
        <v>4.36</v>
      </c>
      <c r="V31" s="0" t="n">
        <v>4.64</v>
      </c>
      <c r="W31" s="0" t="n">
        <v>3.81</v>
      </c>
      <c r="X31" s="0" t="n">
        <v>3.79</v>
      </c>
      <c r="Y31" s="0" t="n">
        <v>1.46</v>
      </c>
      <c r="Z31" s="0" t="n">
        <v>4.01</v>
      </c>
      <c r="AA31" s="0" t="n">
        <v>3.71</v>
      </c>
      <c r="AB31" s="0" t="n">
        <v>3.3</v>
      </c>
      <c r="AC31" s="0" t="n">
        <v>4.43</v>
      </c>
      <c r="AD31" s="0" t="n">
        <v>14.28</v>
      </c>
      <c r="AE31" s="0" t="n">
        <v>14.47</v>
      </c>
      <c r="AF31" s="0" t="n">
        <v>3.89</v>
      </c>
      <c r="AG31" s="0" t="n">
        <v>1.27</v>
      </c>
      <c r="AH31" s="0" t="n">
        <v>12.61</v>
      </c>
      <c r="AI31" s="0" t="n">
        <v>16.09</v>
      </c>
      <c r="AJ31" s="0" t="n">
        <v>7.88</v>
      </c>
      <c r="AK31" s="0" t="n">
        <v>6.89</v>
      </c>
      <c r="AL31" s="0" t="n">
        <v>9</v>
      </c>
      <c r="AM31" s="0" t="n">
        <v>9.45</v>
      </c>
      <c r="AN31" s="0" t="n">
        <v>11.06</v>
      </c>
      <c r="AP31" s="0" t="n">
        <v>13.16</v>
      </c>
      <c r="AQ31" s="0" t="n">
        <v>10.2</v>
      </c>
      <c r="AR31" s="0" t="n">
        <v>8.94</v>
      </c>
      <c r="AS31" s="0" t="n">
        <v>10.36</v>
      </c>
      <c r="AT31" s="0" t="n">
        <v>7.05</v>
      </c>
      <c r="AU31" s="0" t="n">
        <v>9.33</v>
      </c>
    </row>
    <row r="32" customFormat="false" ht="14.25" hidden="false" customHeight="false" outlineLevel="0" collapsed="false">
      <c r="A32" s="0" t="n">
        <v>12.13</v>
      </c>
      <c r="B32" s="0" t="n">
        <v>3.88</v>
      </c>
      <c r="C32" s="0" t="n">
        <v>6.35</v>
      </c>
      <c r="D32" s="0" t="n">
        <v>9.58</v>
      </c>
      <c r="E32" s="0" t="n">
        <v>3.97</v>
      </c>
      <c r="F32" s="0" t="n">
        <v>20.02</v>
      </c>
      <c r="G32" s="0" t="n">
        <v>16.06</v>
      </c>
      <c r="H32" s="0" t="n">
        <v>2.94</v>
      </c>
      <c r="I32" s="0" t="n">
        <v>667.55</v>
      </c>
      <c r="J32" s="0" t="n">
        <v>4.28</v>
      </c>
      <c r="K32" s="0" t="n">
        <v>651.05</v>
      </c>
      <c r="L32" s="0" t="n">
        <v>645.82</v>
      </c>
      <c r="M32" s="0" t="n">
        <v>639.43</v>
      </c>
      <c r="N32" s="0" t="n">
        <v>631.41</v>
      </c>
      <c r="O32" s="0" t="n">
        <v>621.02</v>
      </c>
      <c r="P32" s="0" t="n">
        <v>613.14</v>
      </c>
      <c r="Q32" s="0" t="n">
        <v>5.04</v>
      </c>
      <c r="R32" s="0" t="n">
        <v>5.21</v>
      </c>
      <c r="S32" s="0" t="n">
        <v>4.74</v>
      </c>
      <c r="T32" s="0" t="n">
        <v>4.56</v>
      </c>
      <c r="U32" s="0" t="n">
        <v>4.36</v>
      </c>
      <c r="V32" s="0" t="n">
        <v>4.67</v>
      </c>
      <c r="W32" s="0" t="n">
        <v>3.79</v>
      </c>
      <c r="X32" s="0" t="n">
        <v>3.79</v>
      </c>
      <c r="Y32" s="0" t="n">
        <v>1.46</v>
      </c>
      <c r="Z32" s="0" t="n">
        <v>4.5</v>
      </c>
      <c r="AA32" s="0" t="n">
        <v>3.72</v>
      </c>
      <c r="AB32" s="0" t="n">
        <v>3.29</v>
      </c>
      <c r="AC32" s="0" t="n">
        <v>4.42</v>
      </c>
      <c r="AD32" s="0" t="n">
        <v>14.26</v>
      </c>
      <c r="AE32" s="0" t="n">
        <v>14.55</v>
      </c>
      <c r="AF32" s="0" t="n">
        <v>3.92</v>
      </c>
      <c r="AG32" s="0" t="n">
        <v>1.28</v>
      </c>
      <c r="AH32" s="0" t="n">
        <v>12.6</v>
      </c>
      <c r="AI32" s="0" t="n">
        <v>16.08</v>
      </c>
      <c r="AJ32" s="0" t="n">
        <v>7.87</v>
      </c>
      <c r="AK32" s="0" t="n">
        <v>6.89</v>
      </c>
      <c r="AL32" s="0" t="n">
        <v>9</v>
      </c>
      <c r="AM32" s="0" t="n">
        <v>9.56</v>
      </c>
      <c r="AN32" s="0" t="n">
        <v>11.05</v>
      </c>
      <c r="AP32" s="0" t="n">
        <v>13.1</v>
      </c>
      <c r="AQ32" s="0" t="n">
        <v>10.17</v>
      </c>
      <c r="AR32" s="0" t="n">
        <v>8.92</v>
      </c>
      <c r="AS32" s="0" t="n">
        <v>10.38</v>
      </c>
      <c r="AT32" s="0" t="n">
        <v>6.97</v>
      </c>
      <c r="AU32" s="0" t="n">
        <v>9.3</v>
      </c>
    </row>
    <row r="33" customFormat="false" ht="14.25" hidden="false" customHeight="false" outlineLevel="0" collapsed="false">
      <c r="A33" s="0" t="n">
        <v>12.13</v>
      </c>
      <c r="B33" s="0" t="n">
        <v>3.87</v>
      </c>
      <c r="C33" s="0" t="n">
        <v>6.35</v>
      </c>
      <c r="D33" s="0" t="n">
        <v>9.61</v>
      </c>
      <c r="E33" s="0" t="n">
        <v>3.97</v>
      </c>
      <c r="F33" s="0" t="n">
        <v>20.02</v>
      </c>
      <c r="G33" s="0" t="n">
        <v>16.02</v>
      </c>
      <c r="H33" s="0" t="n">
        <v>2.93</v>
      </c>
      <c r="I33" s="0" t="n">
        <v>667.54</v>
      </c>
      <c r="J33" s="0" t="n">
        <v>4.28</v>
      </c>
      <c r="K33" s="0" t="n">
        <v>651.06</v>
      </c>
      <c r="L33" s="0" t="n">
        <v>645.82</v>
      </c>
      <c r="M33" s="0" t="n">
        <v>639.43</v>
      </c>
      <c r="N33" s="0" t="n">
        <v>631.37</v>
      </c>
      <c r="O33" s="0" t="n">
        <v>621.01</v>
      </c>
      <c r="P33" s="0" t="n">
        <v>613.14</v>
      </c>
      <c r="Q33" s="0" t="n">
        <v>5.03</v>
      </c>
      <c r="R33" s="0" t="n">
        <v>5.2</v>
      </c>
      <c r="S33" s="0" t="n">
        <v>4.74</v>
      </c>
      <c r="T33" s="0" t="n">
        <v>4.55</v>
      </c>
      <c r="U33" s="0" t="n">
        <v>4.38</v>
      </c>
      <c r="V33" s="0" t="n">
        <v>4.64</v>
      </c>
      <c r="W33" s="0" t="n">
        <v>3.8</v>
      </c>
      <c r="X33" s="0" t="n">
        <v>3.79</v>
      </c>
      <c r="Y33" s="0" t="n">
        <v>1.46</v>
      </c>
      <c r="Z33" s="0" t="n">
        <v>4.64</v>
      </c>
      <c r="AA33" s="0" t="n">
        <v>3.66</v>
      </c>
      <c r="AB33" s="0" t="n">
        <v>3.44</v>
      </c>
      <c r="AC33" s="0" t="n">
        <v>4.45</v>
      </c>
      <c r="AD33" s="0" t="n">
        <v>14.27</v>
      </c>
      <c r="AE33" s="0" t="n">
        <v>14.52</v>
      </c>
      <c r="AF33" s="0" t="n">
        <v>3.9</v>
      </c>
      <c r="AG33" s="0" t="n">
        <v>1.18</v>
      </c>
      <c r="AH33" s="0" t="n">
        <v>12.61</v>
      </c>
      <c r="AI33" s="0" t="n">
        <v>16.06</v>
      </c>
      <c r="AJ33" s="0" t="n">
        <v>7.86</v>
      </c>
      <c r="AK33" s="0" t="n">
        <v>6.9</v>
      </c>
      <c r="AL33" s="0" t="n">
        <v>9.02</v>
      </c>
      <c r="AM33" s="0" t="n">
        <v>9.51</v>
      </c>
      <c r="AN33" s="0" t="n">
        <v>10.99</v>
      </c>
      <c r="AP33" s="0" t="n">
        <v>13.1</v>
      </c>
      <c r="AQ33" s="0" t="n">
        <v>10.19</v>
      </c>
      <c r="AR33" s="0" t="n">
        <v>8.87</v>
      </c>
      <c r="AS33" s="0" t="n">
        <v>10.4</v>
      </c>
      <c r="AT33" s="0" t="n">
        <v>6.89</v>
      </c>
      <c r="AU33" s="0" t="n">
        <v>9.31</v>
      </c>
    </row>
    <row r="34" customFormat="false" ht="14.25" hidden="false" customHeight="false" outlineLevel="0" collapsed="false">
      <c r="A34" s="0" t="n">
        <v>12.13</v>
      </c>
      <c r="B34" s="0" t="n">
        <v>3.89</v>
      </c>
      <c r="C34" s="0" t="n">
        <v>6.36</v>
      </c>
      <c r="D34" s="0" t="n">
        <v>9.61</v>
      </c>
      <c r="E34" s="0" t="n">
        <v>3.97</v>
      </c>
      <c r="F34" s="0" t="n">
        <v>20.01</v>
      </c>
      <c r="G34" s="0" t="n">
        <v>16.06</v>
      </c>
      <c r="H34" s="0" t="n">
        <v>2.93</v>
      </c>
      <c r="I34" s="0" t="n">
        <v>667.54</v>
      </c>
      <c r="J34" s="0" t="n">
        <v>4.28</v>
      </c>
      <c r="K34" s="0" t="n">
        <v>651.05</v>
      </c>
      <c r="L34" s="0" t="n">
        <v>645.82</v>
      </c>
      <c r="M34" s="0" t="n">
        <v>639.43</v>
      </c>
      <c r="N34" s="0" t="n">
        <v>631.37</v>
      </c>
      <c r="O34" s="0" t="n">
        <v>621.02</v>
      </c>
      <c r="P34" s="0" t="n">
        <v>613.14</v>
      </c>
      <c r="Q34" s="0" t="n">
        <v>5.03</v>
      </c>
      <c r="R34" s="0" t="n">
        <v>5.19</v>
      </c>
      <c r="S34" s="0" t="n">
        <v>4.73</v>
      </c>
      <c r="T34" s="0" t="n">
        <v>4.56</v>
      </c>
      <c r="U34" s="0" t="n">
        <v>4.38</v>
      </c>
      <c r="V34" s="0" t="n">
        <v>4.65</v>
      </c>
      <c r="W34" s="0" t="n">
        <v>3.82</v>
      </c>
      <c r="X34" s="0" t="n">
        <v>3.8</v>
      </c>
      <c r="Y34" s="0" t="n">
        <v>1.47</v>
      </c>
      <c r="Z34" s="0" t="n">
        <v>4.47</v>
      </c>
      <c r="AA34" s="0" t="n">
        <v>3.61</v>
      </c>
      <c r="AB34" s="0" t="n">
        <v>3.3</v>
      </c>
      <c r="AC34" s="0" t="n">
        <v>4.43</v>
      </c>
      <c r="AD34" s="0" t="n">
        <v>14.28</v>
      </c>
      <c r="AE34" s="0" t="n">
        <v>14.49</v>
      </c>
      <c r="AF34" s="0" t="n">
        <v>3.92</v>
      </c>
      <c r="AG34" s="0" t="n">
        <v>1.15</v>
      </c>
      <c r="AH34" s="0" t="n">
        <v>12.62</v>
      </c>
      <c r="AI34" s="0" t="n">
        <v>16.05</v>
      </c>
      <c r="AJ34" s="0" t="n">
        <v>7.86</v>
      </c>
      <c r="AK34" s="0" t="n">
        <v>6.89</v>
      </c>
      <c r="AL34" s="0" t="n">
        <v>9</v>
      </c>
      <c r="AM34" s="0" t="n">
        <v>9.55</v>
      </c>
      <c r="AN34" s="0" t="n">
        <v>10.98</v>
      </c>
      <c r="AP34" s="0" t="n">
        <v>13.06</v>
      </c>
      <c r="AQ34" s="0" t="n">
        <v>10.17</v>
      </c>
      <c r="AR34" s="0" t="n">
        <v>8.83</v>
      </c>
      <c r="AS34" s="0" t="n">
        <v>10.42</v>
      </c>
      <c r="AT34" s="0" t="n">
        <v>6.78</v>
      </c>
      <c r="AU34" s="0" t="n">
        <v>9.31</v>
      </c>
    </row>
    <row r="35" customFormat="false" ht="14.25" hidden="false" customHeight="false" outlineLevel="0" collapsed="false">
      <c r="A35" s="0" t="n">
        <v>12.13</v>
      </c>
      <c r="B35" s="0" t="n">
        <v>3.88</v>
      </c>
      <c r="C35" s="0" t="n">
        <v>6.36</v>
      </c>
      <c r="D35" s="0" t="n">
        <v>9.6</v>
      </c>
      <c r="E35" s="0" t="n">
        <v>3.97</v>
      </c>
      <c r="F35" s="0" t="n">
        <v>20.06</v>
      </c>
      <c r="G35" s="0" t="n">
        <v>16.06</v>
      </c>
      <c r="H35" s="0" t="n">
        <v>2.94</v>
      </c>
      <c r="I35" s="0" t="n">
        <v>667.55</v>
      </c>
      <c r="J35" s="0" t="n">
        <v>4.28</v>
      </c>
      <c r="K35" s="0" t="n">
        <v>651.06</v>
      </c>
      <c r="L35" s="0" t="n">
        <v>645.82</v>
      </c>
      <c r="M35" s="0" t="n">
        <v>639.43</v>
      </c>
      <c r="N35" s="0" t="n">
        <v>631.37</v>
      </c>
      <c r="O35" s="0" t="n">
        <v>621.04</v>
      </c>
      <c r="P35" s="0" t="n">
        <v>613.14</v>
      </c>
      <c r="Q35" s="0" t="n">
        <v>5.06</v>
      </c>
      <c r="R35" s="0" t="n">
        <v>5.21</v>
      </c>
      <c r="S35" s="0" t="n">
        <v>4.72</v>
      </c>
      <c r="T35" s="0" t="n">
        <v>4.56</v>
      </c>
      <c r="U35" s="0" t="n">
        <v>4.35</v>
      </c>
      <c r="V35" s="0" t="n">
        <v>4.66</v>
      </c>
      <c r="W35" s="0" t="n">
        <v>3.83</v>
      </c>
      <c r="X35" s="0" t="n">
        <v>3.77</v>
      </c>
      <c r="Y35" s="0" t="n">
        <v>1.46</v>
      </c>
      <c r="Z35" s="0" t="n">
        <v>4.32</v>
      </c>
      <c r="AA35" s="0" t="n">
        <v>3.58</v>
      </c>
      <c r="AB35" s="0" t="n">
        <v>3.28</v>
      </c>
      <c r="AC35" s="0" t="n">
        <v>4.43</v>
      </c>
      <c r="AD35" s="0" t="n">
        <v>14.29</v>
      </c>
      <c r="AE35" s="0" t="n">
        <v>14.54</v>
      </c>
      <c r="AF35" s="0" t="n">
        <v>3.98</v>
      </c>
      <c r="AG35" s="0" t="n">
        <v>1.13</v>
      </c>
      <c r="AH35" s="0" t="n">
        <v>12.61</v>
      </c>
      <c r="AI35" s="0" t="n">
        <v>16.04</v>
      </c>
      <c r="AJ35" s="0" t="n">
        <v>7.84</v>
      </c>
      <c r="AK35" s="0" t="n">
        <v>6.89</v>
      </c>
      <c r="AL35" s="0" t="n">
        <v>9.02</v>
      </c>
      <c r="AM35" s="0" t="n">
        <v>9.53</v>
      </c>
      <c r="AN35" s="0" t="n">
        <v>11.03</v>
      </c>
      <c r="AP35" s="0" t="n">
        <v>13.02</v>
      </c>
      <c r="AQ35" s="0" t="n">
        <v>10.17</v>
      </c>
      <c r="AR35" s="0" t="n">
        <v>8.77</v>
      </c>
      <c r="AS35" s="0" t="n">
        <v>10.43</v>
      </c>
      <c r="AT35" s="0" t="n">
        <v>6.69</v>
      </c>
      <c r="AU35" s="0" t="n">
        <v>9.29</v>
      </c>
    </row>
    <row r="36" customFormat="false" ht="14.25" hidden="false" customHeight="false" outlineLevel="0" collapsed="false">
      <c r="A36" s="0" t="n">
        <v>12.13</v>
      </c>
      <c r="B36" s="0" t="n">
        <v>3.88</v>
      </c>
      <c r="C36" s="0" t="n">
        <v>6.37</v>
      </c>
      <c r="D36" s="0" t="n">
        <v>9.62</v>
      </c>
      <c r="E36" s="0" t="n">
        <v>3.96</v>
      </c>
      <c r="F36" s="0" t="n">
        <v>20.06</v>
      </c>
      <c r="G36" s="0" t="n">
        <v>16.08</v>
      </c>
      <c r="H36" s="0" t="n">
        <v>2.93</v>
      </c>
      <c r="I36" s="0" t="n">
        <v>667.55</v>
      </c>
      <c r="J36" s="0" t="n">
        <v>4.28</v>
      </c>
      <c r="K36" s="0" t="n">
        <v>651.06</v>
      </c>
      <c r="L36" s="0" t="n">
        <v>645.82</v>
      </c>
      <c r="M36" s="0" t="n">
        <v>639.43</v>
      </c>
      <c r="N36" s="0" t="n">
        <v>631.37</v>
      </c>
      <c r="O36" s="0" t="n">
        <v>621.07</v>
      </c>
      <c r="P36" s="0" t="n">
        <v>613.14</v>
      </c>
      <c r="Q36" s="0" t="n">
        <v>5.05</v>
      </c>
      <c r="R36" s="0" t="n">
        <v>5.21</v>
      </c>
      <c r="S36" s="0" t="n">
        <v>4.74</v>
      </c>
      <c r="T36" s="0" t="n">
        <v>4.59</v>
      </c>
      <c r="U36" s="0" t="n">
        <v>4.36</v>
      </c>
      <c r="V36" s="0" t="n">
        <v>4.66</v>
      </c>
      <c r="W36" s="0" t="n">
        <v>3.82</v>
      </c>
      <c r="X36" s="0" t="n">
        <v>3.79</v>
      </c>
      <c r="Y36" s="0" t="n">
        <v>1.45</v>
      </c>
      <c r="Z36" s="0" t="n">
        <v>4.17</v>
      </c>
      <c r="AA36" s="0" t="n">
        <v>3.51</v>
      </c>
      <c r="AB36" s="0" t="n">
        <v>3.47</v>
      </c>
      <c r="AC36" s="0" t="n">
        <v>4.43</v>
      </c>
      <c r="AD36" s="0" t="n">
        <v>14.27</v>
      </c>
      <c r="AE36" s="0" t="n">
        <v>14.56</v>
      </c>
      <c r="AF36" s="0" t="n">
        <v>3.88</v>
      </c>
      <c r="AG36" s="0" t="n">
        <v>1.03</v>
      </c>
      <c r="AH36" s="0" t="n">
        <v>12.62</v>
      </c>
      <c r="AI36" s="0" t="n">
        <v>16.02</v>
      </c>
      <c r="AJ36" s="0" t="n">
        <v>7.85</v>
      </c>
      <c r="AK36" s="0" t="n">
        <v>6.94</v>
      </c>
      <c r="AL36" s="0" t="n">
        <v>9.03</v>
      </c>
      <c r="AM36" s="0" t="n">
        <v>9.54</v>
      </c>
      <c r="AN36" s="0" t="n">
        <v>10.99</v>
      </c>
      <c r="AP36" s="0" t="n">
        <v>12.99</v>
      </c>
      <c r="AQ36" s="0" t="n">
        <v>10.18</v>
      </c>
      <c r="AR36" s="0" t="n">
        <v>8.74</v>
      </c>
      <c r="AS36" s="0" t="n">
        <v>10.45</v>
      </c>
      <c r="AT36" s="0" t="n">
        <v>6.59</v>
      </c>
      <c r="AU36" s="0" t="n">
        <v>9.28</v>
      </c>
    </row>
    <row r="37" customFormat="false" ht="14.25" hidden="false" customHeight="false" outlineLevel="0" collapsed="false">
      <c r="A37" s="0" t="n">
        <v>12.12</v>
      </c>
      <c r="B37" s="0" t="n">
        <v>3.89</v>
      </c>
      <c r="C37" s="0" t="n">
        <v>6.37</v>
      </c>
      <c r="D37" s="0" t="n">
        <v>9.62</v>
      </c>
      <c r="E37" s="0" t="n">
        <v>3.96</v>
      </c>
      <c r="F37" s="0" t="n">
        <v>20.05</v>
      </c>
      <c r="G37" s="0" t="n">
        <v>16.08</v>
      </c>
      <c r="H37" s="0" t="n">
        <v>2.94</v>
      </c>
      <c r="I37" s="0" t="n">
        <v>667.55</v>
      </c>
      <c r="J37" s="0" t="n">
        <v>4.29</v>
      </c>
      <c r="K37" s="0" t="n">
        <v>651.06</v>
      </c>
      <c r="L37" s="0" t="n">
        <v>645.82</v>
      </c>
      <c r="M37" s="0" t="n">
        <v>639.43</v>
      </c>
      <c r="N37" s="0" t="n">
        <v>631.37</v>
      </c>
      <c r="O37" s="0" t="n">
        <v>621.06</v>
      </c>
      <c r="P37" s="0" t="n">
        <v>613.15</v>
      </c>
      <c r="Q37" s="0" t="n">
        <v>5.04</v>
      </c>
      <c r="R37" s="0" t="n">
        <v>5.19</v>
      </c>
      <c r="S37" s="0" t="n">
        <v>4.74</v>
      </c>
      <c r="T37" s="0" t="n">
        <v>4.58</v>
      </c>
      <c r="U37" s="0" t="n">
        <v>4.34</v>
      </c>
      <c r="V37" s="0" t="n">
        <v>4.66</v>
      </c>
      <c r="W37" s="0" t="n">
        <v>3.82</v>
      </c>
      <c r="X37" s="0" t="n">
        <v>3.79</v>
      </c>
      <c r="Y37" s="0" t="n">
        <v>1.46</v>
      </c>
      <c r="Z37" s="0" t="n">
        <v>4.05</v>
      </c>
      <c r="AA37" s="0" t="n">
        <v>3.37</v>
      </c>
      <c r="AB37" s="0" t="n">
        <v>3.27</v>
      </c>
      <c r="AC37" s="0" t="n">
        <v>4.46</v>
      </c>
      <c r="AD37" s="0" t="n">
        <v>14.27</v>
      </c>
      <c r="AE37" s="0" t="n">
        <v>14.57</v>
      </c>
      <c r="AF37" s="0" t="n">
        <v>3.89</v>
      </c>
      <c r="AG37" s="0" t="n">
        <v>1.06</v>
      </c>
      <c r="AH37" s="0" t="n">
        <v>12.6</v>
      </c>
      <c r="AI37" s="0" t="n">
        <v>16</v>
      </c>
      <c r="AJ37" s="0" t="n">
        <v>7.84</v>
      </c>
      <c r="AK37" s="0" t="n">
        <v>6.93</v>
      </c>
      <c r="AL37" s="0" t="n">
        <v>9.04</v>
      </c>
      <c r="AM37" s="0" t="n">
        <v>9.47</v>
      </c>
      <c r="AN37" s="0" t="n">
        <v>10.98</v>
      </c>
      <c r="AP37" s="0" t="n">
        <v>12.96</v>
      </c>
      <c r="AQ37" s="0" t="n">
        <v>10.13</v>
      </c>
      <c r="AR37" s="0" t="n">
        <v>8.68</v>
      </c>
      <c r="AS37" s="0" t="n">
        <v>10.47</v>
      </c>
      <c r="AT37" s="0" t="n">
        <v>6.47</v>
      </c>
      <c r="AU37" s="0" t="n">
        <v>9.31</v>
      </c>
    </row>
    <row r="38" customFormat="false" ht="14.25" hidden="false" customHeight="false" outlineLevel="0" collapsed="false">
      <c r="A38" s="0" t="n">
        <v>12.11</v>
      </c>
      <c r="B38" s="0" t="n">
        <v>3.89</v>
      </c>
      <c r="C38" s="0" t="n">
        <v>6.37</v>
      </c>
      <c r="D38" s="0" t="n">
        <v>9.62</v>
      </c>
      <c r="E38" s="0" t="n">
        <v>3.96</v>
      </c>
      <c r="F38" s="0" t="n">
        <v>20.04</v>
      </c>
      <c r="G38" s="0" t="n">
        <v>16.1</v>
      </c>
      <c r="H38" s="0" t="n">
        <v>2.94</v>
      </c>
      <c r="I38" s="0" t="n">
        <v>667.56</v>
      </c>
      <c r="J38" s="0" t="n">
        <v>4.29</v>
      </c>
      <c r="K38" s="0" t="n">
        <v>651.06</v>
      </c>
      <c r="L38" s="0" t="n">
        <v>645.83</v>
      </c>
      <c r="M38" s="0" t="n">
        <v>639.45</v>
      </c>
      <c r="N38" s="0" t="n">
        <v>631.37</v>
      </c>
      <c r="O38" s="0" t="n">
        <v>621.06</v>
      </c>
      <c r="P38" s="0" t="n">
        <v>613.15</v>
      </c>
      <c r="Q38" s="0" t="n">
        <v>5.05</v>
      </c>
      <c r="R38" s="0" t="n">
        <v>5.21</v>
      </c>
      <c r="S38" s="0" t="n">
        <v>4.72</v>
      </c>
      <c r="T38" s="0" t="n">
        <v>4.57</v>
      </c>
      <c r="U38" s="0" t="n">
        <v>4.31</v>
      </c>
      <c r="V38" s="0" t="n">
        <v>4.68</v>
      </c>
      <c r="W38" s="0" t="n">
        <v>3.82</v>
      </c>
      <c r="X38" s="0" t="n">
        <v>3.79</v>
      </c>
      <c r="Y38" s="0" t="n">
        <v>1.45</v>
      </c>
      <c r="Z38" s="0" t="n">
        <v>3.22</v>
      </c>
      <c r="AA38" s="0" t="n">
        <v>3.3</v>
      </c>
      <c r="AB38" s="0" t="n">
        <v>3.32</v>
      </c>
      <c r="AC38" s="0" t="n">
        <v>4.42</v>
      </c>
      <c r="AD38" s="0" t="n">
        <v>14.27</v>
      </c>
      <c r="AE38" s="0" t="n">
        <v>14.56</v>
      </c>
      <c r="AF38" s="0" t="n">
        <v>3.9</v>
      </c>
      <c r="AG38" s="0" t="n">
        <v>1.04</v>
      </c>
      <c r="AH38" s="0" t="n">
        <v>12.62</v>
      </c>
      <c r="AI38" s="0" t="n">
        <v>16</v>
      </c>
      <c r="AJ38" s="0" t="n">
        <v>7.83</v>
      </c>
      <c r="AK38" s="0" t="n">
        <v>6.93</v>
      </c>
      <c r="AL38" s="0" t="n">
        <v>9</v>
      </c>
      <c r="AM38" s="0" t="n">
        <v>9.51</v>
      </c>
      <c r="AN38" s="0" t="n">
        <v>11.02</v>
      </c>
      <c r="AP38" s="0" t="n">
        <v>12.91</v>
      </c>
      <c r="AQ38" s="0" t="n">
        <v>10.15</v>
      </c>
      <c r="AR38" s="0" t="n">
        <v>8.57</v>
      </c>
      <c r="AS38" s="0" t="n">
        <v>10.47</v>
      </c>
      <c r="AT38" s="0" t="n">
        <v>6.33</v>
      </c>
      <c r="AU38" s="0" t="n">
        <v>9.28</v>
      </c>
    </row>
    <row r="39" customFormat="false" ht="14.25" hidden="false" customHeight="false" outlineLevel="0" collapsed="false">
      <c r="A39" s="0" t="n">
        <v>12.12</v>
      </c>
      <c r="B39" s="0" t="n">
        <v>3.89</v>
      </c>
      <c r="C39" s="0" t="n">
        <v>6.37</v>
      </c>
      <c r="D39" s="0" t="n">
        <v>9.64</v>
      </c>
      <c r="E39" s="0" t="n">
        <v>3.98</v>
      </c>
      <c r="F39" s="0" t="n">
        <v>20.05</v>
      </c>
      <c r="G39" s="0" t="n">
        <v>16.14</v>
      </c>
      <c r="H39" s="0" t="n">
        <v>2.94</v>
      </c>
      <c r="I39" s="0" t="n">
        <v>667.56</v>
      </c>
      <c r="J39" s="0" t="n">
        <v>4.29</v>
      </c>
      <c r="K39" s="0" t="n">
        <v>651.06</v>
      </c>
      <c r="L39" s="0" t="n">
        <v>645.83</v>
      </c>
      <c r="M39" s="0" t="n">
        <v>639.48</v>
      </c>
      <c r="N39" s="0" t="n">
        <v>631.37</v>
      </c>
      <c r="O39" s="0" t="n">
        <v>621.07</v>
      </c>
      <c r="P39" s="0" t="n">
        <v>613.15</v>
      </c>
      <c r="Q39" s="0" t="n">
        <v>5.05</v>
      </c>
      <c r="R39" s="0" t="n">
        <v>5.2</v>
      </c>
      <c r="S39" s="0" t="n">
        <v>4.74</v>
      </c>
      <c r="T39" s="0" t="n">
        <v>4.58</v>
      </c>
      <c r="U39" s="0" t="n">
        <v>4.37</v>
      </c>
      <c r="V39" s="0" t="n">
        <v>4.78</v>
      </c>
      <c r="W39" s="0" t="n">
        <v>3.83</v>
      </c>
      <c r="X39" s="0" t="n">
        <v>3.83</v>
      </c>
      <c r="Y39" s="0" t="n">
        <v>1.45</v>
      </c>
      <c r="Z39" s="0" t="n">
        <v>2.81</v>
      </c>
      <c r="AA39" s="0" t="n">
        <v>3.33</v>
      </c>
      <c r="AB39" s="0" t="n">
        <v>3.3</v>
      </c>
      <c r="AC39" s="0" t="n">
        <v>4.55</v>
      </c>
      <c r="AD39" s="0" t="n">
        <v>14.25</v>
      </c>
      <c r="AE39" s="0" t="n">
        <v>14.57</v>
      </c>
      <c r="AF39" s="0" t="n">
        <v>3.82</v>
      </c>
      <c r="AG39" s="0" t="n">
        <v>0.98</v>
      </c>
      <c r="AH39" s="0" t="n">
        <v>12.62</v>
      </c>
      <c r="AI39" s="0" t="n">
        <v>15.98</v>
      </c>
      <c r="AJ39" s="0" t="n">
        <v>7.82</v>
      </c>
      <c r="AK39" s="0" t="n">
        <v>6.92</v>
      </c>
      <c r="AL39" s="0" t="n">
        <v>9.03</v>
      </c>
      <c r="AM39" s="0" t="n">
        <v>9.54</v>
      </c>
      <c r="AN39" s="0" t="n">
        <v>10.94</v>
      </c>
      <c r="AP39" s="0" t="n">
        <v>12.89</v>
      </c>
      <c r="AQ39" s="0" t="n">
        <v>10.15</v>
      </c>
      <c r="AR39" s="0" t="n">
        <v>8.5</v>
      </c>
      <c r="AS39" s="0" t="n">
        <v>10.45</v>
      </c>
      <c r="AT39" s="0" t="n">
        <v>6.22</v>
      </c>
      <c r="AU39" s="0" t="n">
        <v>9.27</v>
      </c>
    </row>
    <row r="40" customFormat="false" ht="14.25" hidden="false" customHeight="false" outlineLevel="0" collapsed="false">
      <c r="A40" s="0" t="n">
        <v>12.12</v>
      </c>
      <c r="B40" s="0" t="n">
        <v>3.92</v>
      </c>
      <c r="C40" s="0" t="n">
        <v>6.37</v>
      </c>
      <c r="D40" s="0" t="n">
        <v>9.62</v>
      </c>
      <c r="E40" s="0" t="n">
        <v>3.96</v>
      </c>
      <c r="F40" s="0" t="n">
        <v>20.01</v>
      </c>
      <c r="G40" s="0" t="n">
        <v>16.12</v>
      </c>
      <c r="H40" s="0" t="n">
        <v>2.93</v>
      </c>
      <c r="I40" s="0" t="n">
        <v>667.56</v>
      </c>
      <c r="J40" s="0" t="n">
        <v>4.29</v>
      </c>
      <c r="K40" s="0" t="n">
        <v>651.07</v>
      </c>
      <c r="L40" s="0" t="n">
        <v>645.84</v>
      </c>
      <c r="M40" s="0" t="n">
        <v>639.47</v>
      </c>
      <c r="N40" s="0" t="n">
        <v>631.37</v>
      </c>
      <c r="O40" s="0" t="n">
        <v>621.04</v>
      </c>
      <c r="P40" s="0" t="n">
        <v>613.15</v>
      </c>
      <c r="Q40" s="0" t="n">
        <v>5.02</v>
      </c>
      <c r="R40" s="0" t="n">
        <v>5.21</v>
      </c>
      <c r="S40" s="0" t="n">
        <v>4.73</v>
      </c>
      <c r="T40" s="0" t="n">
        <v>4.57</v>
      </c>
      <c r="U40" s="0" t="n">
        <v>4.37</v>
      </c>
      <c r="V40" s="0" t="n">
        <v>4.79</v>
      </c>
      <c r="W40" s="0" t="n">
        <v>3.82</v>
      </c>
      <c r="X40" s="0" t="n">
        <v>3.77</v>
      </c>
      <c r="Y40" s="0" t="n">
        <v>1.46</v>
      </c>
      <c r="AA40" s="0" t="n">
        <v>3.35</v>
      </c>
      <c r="AB40" s="0" t="n">
        <v>3.3</v>
      </c>
      <c r="AC40" s="0" t="n">
        <v>4.52</v>
      </c>
      <c r="AD40" s="0" t="n">
        <v>14.27</v>
      </c>
      <c r="AE40" s="0" t="n">
        <v>14.55</v>
      </c>
      <c r="AF40" s="0" t="n">
        <v>3.82</v>
      </c>
      <c r="AG40" s="0" t="n">
        <v>1</v>
      </c>
      <c r="AH40" s="0" t="n">
        <v>12.61</v>
      </c>
      <c r="AI40" s="0" t="n">
        <v>15.96</v>
      </c>
      <c r="AJ40" s="0" t="n">
        <v>7.81</v>
      </c>
      <c r="AK40" s="0" t="n">
        <v>6.93</v>
      </c>
      <c r="AL40" s="0" t="n">
        <v>9.01</v>
      </c>
      <c r="AM40" s="0" t="n">
        <v>9.56</v>
      </c>
      <c r="AN40" s="0" t="n">
        <v>10.95</v>
      </c>
      <c r="AP40" s="0" t="n">
        <v>12.85</v>
      </c>
      <c r="AQ40" s="0" t="n">
        <v>10.13</v>
      </c>
      <c r="AR40" s="0" t="n">
        <v>8.38</v>
      </c>
      <c r="AS40" s="0" t="n">
        <v>10.43</v>
      </c>
      <c r="AT40" s="0" t="n">
        <v>6.1</v>
      </c>
      <c r="AU40" s="0" t="n">
        <v>9.26</v>
      </c>
    </row>
    <row r="41" customFormat="false" ht="14.25" hidden="false" customHeight="false" outlineLevel="0" collapsed="false">
      <c r="A41" s="0" t="n">
        <v>12.13</v>
      </c>
      <c r="B41" s="0" t="n">
        <v>3.9</v>
      </c>
      <c r="C41" s="0" t="n">
        <v>6.37</v>
      </c>
      <c r="D41" s="0" t="n">
        <v>9.64</v>
      </c>
      <c r="E41" s="0" t="n">
        <v>3.9</v>
      </c>
      <c r="F41" s="0" t="n">
        <v>20.04</v>
      </c>
      <c r="G41" s="0" t="n">
        <v>16.13</v>
      </c>
      <c r="H41" s="0" t="n">
        <v>2.94</v>
      </c>
      <c r="I41" s="0" t="n">
        <v>667.57</v>
      </c>
      <c r="J41" s="0" t="n">
        <v>4.29</v>
      </c>
      <c r="K41" s="0" t="n">
        <v>651.07</v>
      </c>
      <c r="L41" s="0" t="n">
        <v>645.84</v>
      </c>
      <c r="M41" s="0" t="n">
        <v>639.52</v>
      </c>
      <c r="N41" s="0" t="n">
        <v>631.37</v>
      </c>
      <c r="O41" s="0" t="n">
        <v>621.04</v>
      </c>
      <c r="P41" s="0" t="n">
        <v>613.15</v>
      </c>
      <c r="Q41" s="0" t="n">
        <v>5.04</v>
      </c>
      <c r="R41" s="0" t="n">
        <v>5.21</v>
      </c>
      <c r="S41" s="0" t="n">
        <v>4.73</v>
      </c>
      <c r="T41" s="0" t="n">
        <v>4.57</v>
      </c>
      <c r="U41" s="0" t="n">
        <v>4.38</v>
      </c>
      <c r="V41" s="0" t="n">
        <v>4.75</v>
      </c>
      <c r="W41" s="0" t="n">
        <v>3.82</v>
      </c>
      <c r="X41" s="0" t="n">
        <v>3.77</v>
      </c>
      <c r="Y41" s="0" t="n">
        <v>1.46</v>
      </c>
      <c r="AA41" s="0" t="n">
        <v>3.3</v>
      </c>
      <c r="AB41" s="0" t="n">
        <v>3.31</v>
      </c>
      <c r="AC41" s="0" t="n">
        <v>4.49</v>
      </c>
      <c r="AD41" s="0" t="n">
        <v>14.27</v>
      </c>
      <c r="AE41" s="0" t="n">
        <v>14.55</v>
      </c>
      <c r="AF41" s="0" t="n">
        <v>3.76</v>
      </c>
      <c r="AG41" s="0" t="n">
        <v>1.01</v>
      </c>
      <c r="AH41" s="0" t="n">
        <v>12.62</v>
      </c>
      <c r="AI41" s="0" t="n">
        <v>15.95</v>
      </c>
      <c r="AJ41" s="0" t="n">
        <v>7.82</v>
      </c>
      <c r="AK41" s="0" t="n">
        <v>6.96</v>
      </c>
      <c r="AL41" s="0" t="n">
        <v>9.03</v>
      </c>
      <c r="AM41" s="0" t="n">
        <v>9.6</v>
      </c>
      <c r="AN41" s="0" t="n">
        <v>10.97</v>
      </c>
      <c r="AP41" s="0" t="n">
        <v>12.81</v>
      </c>
      <c r="AQ41" s="0" t="n">
        <v>10.12</v>
      </c>
      <c r="AR41" s="0" t="n">
        <v>8.3</v>
      </c>
      <c r="AS41" s="0" t="n">
        <v>10.43</v>
      </c>
      <c r="AT41" s="0" t="n">
        <v>5.99</v>
      </c>
      <c r="AU41" s="0" t="n">
        <v>9.26</v>
      </c>
    </row>
    <row r="42" customFormat="false" ht="14.25" hidden="false" customHeight="false" outlineLevel="0" collapsed="false">
      <c r="A42" s="0" t="n">
        <v>12.12</v>
      </c>
      <c r="B42" s="0" t="n">
        <v>3.9</v>
      </c>
      <c r="C42" s="0" t="n">
        <v>6.38</v>
      </c>
      <c r="D42" s="0" t="n">
        <v>9.64</v>
      </c>
      <c r="E42" s="0" t="n">
        <v>3.95</v>
      </c>
      <c r="F42" s="0" t="n">
        <v>20.05</v>
      </c>
      <c r="G42" s="0" t="n">
        <v>16.15</v>
      </c>
      <c r="H42" s="0" t="n">
        <v>2.94</v>
      </c>
      <c r="I42" s="0" t="n">
        <v>667.57</v>
      </c>
      <c r="J42" s="0" t="n">
        <v>4.29</v>
      </c>
      <c r="K42" s="0" t="n">
        <v>651.07</v>
      </c>
      <c r="L42" s="0" t="n">
        <v>645.84</v>
      </c>
      <c r="M42" s="0" t="n">
        <v>639.43</v>
      </c>
      <c r="N42" s="0" t="n">
        <v>631.37</v>
      </c>
      <c r="O42" s="0" t="n">
        <v>621.05</v>
      </c>
      <c r="P42" s="0" t="n">
        <v>613.15</v>
      </c>
      <c r="Q42" s="0" t="n">
        <v>5.04</v>
      </c>
      <c r="R42" s="0" t="n">
        <v>5.21</v>
      </c>
      <c r="S42" s="0" t="n">
        <v>4.75</v>
      </c>
      <c r="T42" s="0" t="n">
        <v>4.58</v>
      </c>
      <c r="U42" s="0" t="n">
        <v>4.35</v>
      </c>
      <c r="V42" s="0" t="n">
        <v>4.74</v>
      </c>
      <c r="W42" s="0" t="n">
        <v>3.8</v>
      </c>
      <c r="X42" s="0" t="n">
        <v>3.77</v>
      </c>
      <c r="Y42" s="0" t="n">
        <v>1.42</v>
      </c>
      <c r="AA42" s="0" t="n">
        <v>3.42</v>
      </c>
      <c r="AB42" s="0" t="n">
        <v>3.3</v>
      </c>
      <c r="AC42" s="0" t="n">
        <v>4.51</v>
      </c>
      <c r="AD42" s="0" t="n">
        <v>14.28</v>
      </c>
      <c r="AE42" s="0" t="n">
        <v>14.55</v>
      </c>
      <c r="AF42" s="0" t="n">
        <v>3.76</v>
      </c>
      <c r="AG42" s="0" t="n">
        <v>1</v>
      </c>
      <c r="AH42" s="0" t="n">
        <v>12.62</v>
      </c>
      <c r="AI42" s="0" t="n">
        <v>15.93</v>
      </c>
      <c r="AJ42" s="0" t="n">
        <v>7.81</v>
      </c>
      <c r="AK42" s="0" t="n">
        <v>6.95</v>
      </c>
      <c r="AL42" s="0" t="n">
        <v>9.04</v>
      </c>
      <c r="AM42" s="0" t="n">
        <v>9.57</v>
      </c>
      <c r="AN42" s="0" t="n">
        <v>10.99</v>
      </c>
      <c r="AP42" s="0" t="n">
        <v>12.8</v>
      </c>
      <c r="AQ42" s="0" t="n">
        <v>10.11</v>
      </c>
      <c r="AR42" s="0" t="n">
        <v>8.27</v>
      </c>
      <c r="AS42" s="0" t="n">
        <v>10.41</v>
      </c>
      <c r="AT42" s="0" t="n">
        <v>5.86</v>
      </c>
      <c r="AU42" s="0" t="n">
        <v>9.26</v>
      </c>
    </row>
    <row r="43" customFormat="false" ht="14.25" hidden="false" customHeight="false" outlineLevel="0" collapsed="false">
      <c r="A43" s="0" t="n">
        <v>12.12</v>
      </c>
      <c r="B43" s="0" t="n">
        <v>3.93</v>
      </c>
      <c r="C43" s="0" t="n">
        <v>6.39</v>
      </c>
      <c r="D43" s="0" t="n">
        <v>9.65</v>
      </c>
      <c r="E43" s="0" t="n">
        <v>3.92</v>
      </c>
      <c r="F43" s="0" t="n">
        <v>20.04</v>
      </c>
      <c r="G43" s="0" t="n">
        <v>16.16</v>
      </c>
      <c r="H43" s="0" t="n">
        <v>2.93</v>
      </c>
      <c r="I43" s="0" t="n">
        <v>667.57</v>
      </c>
      <c r="J43" s="0" t="n">
        <v>4.29</v>
      </c>
      <c r="K43" s="0" t="n">
        <v>651.07</v>
      </c>
      <c r="L43" s="0" t="n">
        <v>645.84</v>
      </c>
      <c r="M43" s="0" t="n">
        <v>639.49</v>
      </c>
      <c r="N43" s="0" t="n">
        <v>631.37</v>
      </c>
      <c r="O43" s="0" t="n">
        <v>621</v>
      </c>
      <c r="P43" s="0" t="n">
        <v>613.15</v>
      </c>
      <c r="Q43" s="0" t="n">
        <v>5.03</v>
      </c>
      <c r="R43" s="0" t="n">
        <v>5.2</v>
      </c>
      <c r="S43" s="0" t="n">
        <v>4.74</v>
      </c>
      <c r="T43" s="0" t="n">
        <v>4.57</v>
      </c>
      <c r="U43" s="0" t="n">
        <v>4.35</v>
      </c>
      <c r="V43" s="0" t="n">
        <v>4.7</v>
      </c>
      <c r="W43" s="0" t="n">
        <v>3.83</v>
      </c>
      <c r="X43" s="0" t="n">
        <v>3.76</v>
      </c>
      <c r="Y43" s="0" t="n">
        <v>1.5</v>
      </c>
      <c r="AA43" s="0" t="n">
        <v>3.43</v>
      </c>
      <c r="AB43" s="0" t="n">
        <v>3.32</v>
      </c>
      <c r="AC43" s="0" t="n">
        <v>4.43</v>
      </c>
      <c r="AD43" s="0" t="n">
        <v>14.21</v>
      </c>
      <c r="AE43" s="0" t="n">
        <v>14.54</v>
      </c>
      <c r="AF43" s="0" t="n">
        <v>3.72</v>
      </c>
      <c r="AG43" s="0" t="n">
        <v>0.93</v>
      </c>
      <c r="AH43" s="0" t="n">
        <v>12.62</v>
      </c>
      <c r="AI43" s="0" t="n">
        <v>15.93</v>
      </c>
      <c r="AJ43" s="0" t="n">
        <v>7.8</v>
      </c>
      <c r="AK43" s="0" t="n">
        <v>6.94</v>
      </c>
      <c r="AL43" s="0" t="n">
        <v>9.04</v>
      </c>
      <c r="AM43" s="0" t="n">
        <v>9.62</v>
      </c>
      <c r="AN43" s="0" t="n">
        <v>11.04</v>
      </c>
      <c r="AP43" s="0" t="n">
        <v>12.75</v>
      </c>
      <c r="AQ43" s="0" t="n">
        <v>10.11</v>
      </c>
      <c r="AR43" s="0" t="n">
        <v>8.22</v>
      </c>
      <c r="AS43" s="0" t="n">
        <v>10.39</v>
      </c>
      <c r="AT43" s="0" t="n">
        <v>5.74</v>
      </c>
      <c r="AU43" s="0" t="n">
        <v>9.24</v>
      </c>
    </row>
    <row r="44" customFormat="false" ht="14.25" hidden="false" customHeight="false" outlineLevel="0" collapsed="false">
      <c r="A44" s="0" t="n">
        <v>12.13</v>
      </c>
      <c r="B44" s="0" t="n">
        <v>3.9</v>
      </c>
      <c r="C44" s="0" t="n">
        <v>6.39</v>
      </c>
      <c r="D44" s="0" t="n">
        <v>9.62</v>
      </c>
      <c r="E44" s="0" t="n">
        <v>3.91</v>
      </c>
      <c r="F44" s="0" t="n">
        <v>20.03</v>
      </c>
      <c r="G44" s="0" t="n">
        <v>16.16</v>
      </c>
      <c r="H44" s="0" t="n">
        <v>2.93</v>
      </c>
      <c r="I44" s="0" t="n">
        <v>667.57</v>
      </c>
      <c r="J44" s="0" t="n">
        <v>4.29</v>
      </c>
      <c r="K44" s="0" t="n">
        <v>651.08</v>
      </c>
      <c r="L44" s="0" t="n">
        <v>645.85</v>
      </c>
      <c r="M44" s="0" t="n">
        <v>639.46</v>
      </c>
      <c r="N44" s="0" t="n">
        <v>631.37</v>
      </c>
      <c r="O44" s="0" t="n">
        <v>621.11</v>
      </c>
      <c r="P44" s="0" t="n">
        <v>613.15</v>
      </c>
      <c r="Q44" s="0" t="n">
        <v>5.03</v>
      </c>
      <c r="R44" s="0" t="n">
        <v>5.22</v>
      </c>
      <c r="S44" s="0" t="n">
        <v>4.75</v>
      </c>
      <c r="T44" s="0" t="n">
        <v>4.59</v>
      </c>
      <c r="U44" s="0" t="n">
        <v>4.35</v>
      </c>
      <c r="V44" s="0" t="n">
        <v>4.66</v>
      </c>
      <c r="W44" s="0" t="n">
        <v>3.84</v>
      </c>
      <c r="X44" s="0" t="n">
        <v>3.77</v>
      </c>
      <c r="Y44" s="0" t="n">
        <v>1.45</v>
      </c>
      <c r="AA44" s="0" t="n">
        <v>3.43</v>
      </c>
      <c r="AB44" s="0" t="n">
        <v>3.31</v>
      </c>
      <c r="AC44" s="0" t="n">
        <v>4.43</v>
      </c>
      <c r="AD44" s="0" t="n">
        <v>14.23</v>
      </c>
      <c r="AE44" s="0" t="n">
        <v>14.55</v>
      </c>
      <c r="AF44" s="0" t="n">
        <v>3.64</v>
      </c>
      <c r="AG44" s="0" t="n">
        <v>0.9</v>
      </c>
      <c r="AH44" s="0" t="n">
        <v>12.62</v>
      </c>
      <c r="AI44" s="0" t="n">
        <v>15.91</v>
      </c>
      <c r="AJ44" s="0" t="n">
        <v>7.8</v>
      </c>
      <c r="AK44" s="0" t="n">
        <v>6.96</v>
      </c>
      <c r="AL44" s="0" t="n">
        <v>9.05</v>
      </c>
      <c r="AM44" s="0" t="n">
        <v>9.57</v>
      </c>
      <c r="AN44" s="0" t="n">
        <v>11.11</v>
      </c>
      <c r="AP44" s="0" t="n">
        <v>12.72</v>
      </c>
      <c r="AQ44" s="0" t="n">
        <v>10.08</v>
      </c>
      <c r="AR44" s="0" t="n">
        <v>8.09</v>
      </c>
      <c r="AS44" s="0" t="n">
        <v>10.41</v>
      </c>
      <c r="AT44" s="0" t="n">
        <v>5.63</v>
      </c>
      <c r="AU44" s="0" t="n">
        <v>9.25</v>
      </c>
    </row>
    <row r="45" customFormat="false" ht="14.25" hidden="false" customHeight="false" outlineLevel="0" collapsed="false">
      <c r="A45" s="0" t="n">
        <v>12.14</v>
      </c>
      <c r="B45" s="0" t="n">
        <v>3.9</v>
      </c>
      <c r="C45" s="0" t="n">
        <v>6.39</v>
      </c>
      <c r="D45" s="0" t="n">
        <v>9.64</v>
      </c>
      <c r="E45" s="0" t="n">
        <v>3.9</v>
      </c>
      <c r="F45" s="0" t="n">
        <v>20.04</v>
      </c>
      <c r="G45" s="0" t="n">
        <v>16.14</v>
      </c>
      <c r="H45" s="0" t="n">
        <v>2.94</v>
      </c>
      <c r="I45" s="0" t="n">
        <v>667.56</v>
      </c>
      <c r="J45" s="0" t="n">
        <v>4.29</v>
      </c>
      <c r="K45" s="0" t="n">
        <v>651.08</v>
      </c>
      <c r="L45" s="0" t="n">
        <v>645.84</v>
      </c>
      <c r="M45" s="0" t="n">
        <v>639.38</v>
      </c>
      <c r="N45" s="0" t="n">
        <v>631.37</v>
      </c>
      <c r="O45" s="0" t="n">
        <v>621.1</v>
      </c>
      <c r="P45" s="0" t="n">
        <v>613.15</v>
      </c>
      <c r="Q45" s="0" t="n">
        <v>5.02</v>
      </c>
      <c r="R45" s="0" t="n">
        <v>5.2</v>
      </c>
      <c r="S45" s="0" t="n">
        <v>4.75</v>
      </c>
      <c r="T45" s="0" t="n">
        <v>4.56</v>
      </c>
      <c r="U45" s="0" t="n">
        <v>4.34</v>
      </c>
      <c r="V45" s="0" t="n">
        <v>4.66</v>
      </c>
      <c r="W45" s="0" t="n">
        <v>3.81</v>
      </c>
      <c r="X45" s="0" t="n">
        <v>3.77</v>
      </c>
      <c r="Y45" s="0" t="n">
        <v>1.5</v>
      </c>
      <c r="AA45" s="0" t="n">
        <v>3.4</v>
      </c>
      <c r="AB45" s="0" t="n">
        <v>3.32</v>
      </c>
      <c r="AC45" s="0" t="n">
        <v>4.54</v>
      </c>
      <c r="AD45" s="0" t="n">
        <v>14.29</v>
      </c>
      <c r="AE45" s="0" t="n">
        <v>14.52</v>
      </c>
      <c r="AF45" s="0" t="n">
        <v>3.62</v>
      </c>
      <c r="AG45" s="0" t="n">
        <v>0.84</v>
      </c>
      <c r="AH45" s="0" t="n">
        <v>12.63</v>
      </c>
      <c r="AI45" s="0" t="n">
        <v>15.9</v>
      </c>
      <c r="AJ45" s="0" t="n">
        <v>7.79</v>
      </c>
      <c r="AK45" s="0" t="n">
        <v>6.97</v>
      </c>
      <c r="AL45" s="0" t="n">
        <v>9.02</v>
      </c>
      <c r="AM45" s="0" t="n">
        <v>9.59</v>
      </c>
      <c r="AN45" s="0" t="n">
        <v>11.14</v>
      </c>
      <c r="AP45" s="0" t="n">
        <v>12.68</v>
      </c>
      <c r="AQ45" s="0" t="n">
        <v>10.07</v>
      </c>
      <c r="AR45" s="0" t="n">
        <v>8.01</v>
      </c>
      <c r="AS45" s="0" t="n">
        <v>10.41</v>
      </c>
      <c r="AT45" s="0" t="n">
        <v>5.48</v>
      </c>
      <c r="AU45" s="0" t="n">
        <v>9.23</v>
      </c>
    </row>
    <row r="46" customFormat="false" ht="14.25" hidden="false" customHeight="false" outlineLevel="0" collapsed="false">
      <c r="A46" s="0" t="n">
        <v>12.13</v>
      </c>
      <c r="B46" s="0" t="n">
        <v>3.91</v>
      </c>
      <c r="C46" s="0" t="n">
        <v>6.41</v>
      </c>
      <c r="D46" s="0" t="n">
        <v>9.64</v>
      </c>
      <c r="E46" s="0" t="n">
        <v>3.86</v>
      </c>
      <c r="F46" s="0" t="n">
        <v>20.06</v>
      </c>
      <c r="G46" s="0" t="n">
        <v>16.15</v>
      </c>
      <c r="H46" s="0" t="n">
        <v>2.93</v>
      </c>
      <c r="I46" s="0" t="n">
        <v>667.56</v>
      </c>
      <c r="J46" s="0" t="n">
        <v>4.29</v>
      </c>
      <c r="K46" s="0" t="n">
        <v>651.08</v>
      </c>
      <c r="L46" s="0" t="n">
        <v>645.84</v>
      </c>
      <c r="M46" s="0" t="n">
        <v>639.46</v>
      </c>
      <c r="N46" s="0" t="n">
        <v>631.37</v>
      </c>
      <c r="O46" s="0" t="n">
        <v>621.09</v>
      </c>
      <c r="P46" s="0" t="n">
        <v>613.16</v>
      </c>
      <c r="Q46" s="0" t="n">
        <v>5.02</v>
      </c>
      <c r="R46" s="0" t="n">
        <v>5.21</v>
      </c>
      <c r="S46" s="0" t="n">
        <v>4.74</v>
      </c>
      <c r="T46" s="0" t="n">
        <v>4.56</v>
      </c>
      <c r="U46" s="0" t="n">
        <v>4.34</v>
      </c>
      <c r="V46" s="0" t="n">
        <v>4.69</v>
      </c>
      <c r="W46" s="0" t="n">
        <v>3.84</v>
      </c>
      <c r="X46" s="0" t="n">
        <v>3.77</v>
      </c>
      <c r="Y46" s="0" t="n">
        <v>1.55</v>
      </c>
      <c r="AA46" s="0" t="n">
        <v>3.35</v>
      </c>
      <c r="AB46" s="0" t="n">
        <v>3.32</v>
      </c>
      <c r="AC46" s="0" t="n">
        <v>4.58</v>
      </c>
      <c r="AD46" s="0" t="n">
        <v>14.27</v>
      </c>
      <c r="AE46" s="0" t="n">
        <v>14.53</v>
      </c>
      <c r="AF46" s="0" t="n">
        <v>3.63</v>
      </c>
      <c r="AG46" s="0" t="n">
        <v>0.84</v>
      </c>
      <c r="AH46" s="0" t="n">
        <v>12.63</v>
      </c>
      <c r="AI46" s="0" t="n">
        <v>15.88</v>
      </c>
      <c r="AJ46" s="0" t="n">
        <v>7.78</v>
      </c>
      <c r="AK46" s="0" t="n">
        <v>6.97</v>
      </c>
      <c r="AL46" s="0" t="n">
        <v>9.02</v>
      </c>
      <c r="AM46" s="0" t="n">
        <v>9.54</v>
      </c>
      <c r="AN46" s="0" t="n">
        <v>11.11</v>
      </c>
      <c r="AP46" s="0" t="n">
        <v>12.64</v>
      </c>
      <c r="AQ46" s="0" t="n">
        <v>10.08</v>
      </c>
      <c r="AR46" s="0" t="n">
        <v>7.85</v>
      </c>
      <c r="AS46" s="0" t="n">
        <v>10.43</v>
      </c>
      <c r="AT46" s="0" t="n">
        <v>5.35</v>
      </c>
      <c r="AU46" s="0" t="n">
        <v>9.23</v>
      </c>
    </row>
    <row r="47" customFormat="false" ht="14.25" hidden="false" customHeight="false" outlineLevel="0" collapsed="false">
      <c r="A47" s="0" t="n">
        <v>12.13</v>
      </c>
      <c r="B47" s="0" t="n">
        <v>3.92</v>
      </c>
      <c r="C47" s="0" t="n">
        <v>6.4</v>
      </c>
      <c r="D47" s="0" t="n">
        <v>9.64</v>
      </c>
      <c r="E47" s="0" t="n">
        <v>3.87</v>
      </c>
      <c r="F47" s="0" t="n">
        <v>20.05</v>
      </c>
      <c r="G47" s="0" t="n">
        <v>16.13</v>
      </c>
      <c r="H47" s="0" t="n">
        <v>2.94</v>
      </c>
      <c r="I47" s="0" t="n">
        <v>667.57</v>
      </c>
      <c r="J47" s="0" t="n">
        <v>4.28</v>
      </c>
      <c r="K47" s="0" t="n">
        <v>651.08</v>
      </c>
      <c r="L47" s="0" t="n">
        <v>645.86</v>
      </c>
      <c r="M47" s="0" t="n">
        <v>639.46</v>
      </c>
      <c r="N47" s="0" t="n">
        <v>631.37</v>
      </c>
      <c r="O47" s="0" t="n">
        <v>621.09</v>
      </c>
      <c r="P47" s="0" t="n">
        <v>613.16</v>
      </c>
      <c r="Q47" s="0" t="n">
        <v>5.02</v>
      </c>
      <c r="R47" s="0" t="n">
        <v>5.21</v>
      </c>
      <c r="S47" s="0" t="n">
        <v>4.73</v>
      </c>
      <c r="T47" s="0" t="n">
        <v>4.56</v>
      </c>
      <c r="U47" s="0" t="n">
        <v>4.34</v>
      </c>
      <c r="V47" s="0" t="n">
        <v>4.67</v>
      </c>
      <c r="W47" s="0" t="n">
        <v>3.85</v>
      </c>
      <c r="X47" s="0" t="n">
        <v>3.77</v>
      </c>
      <c r="Y47" s="0" t="n">
        <v>1.43</v>
      </c>
      <c r="AA47" s="0" t="n">
        <v>3.46</v>
      </c>
      <c r="AB47" s="0" t="n">
        <v>3.32</v>
      </c>
      <c r="AC47" s="0" t="n">
        <v>4.5</v>
      </c>
      <c r="AD47" s="0" t="n">
        <v>14.27</v>
      </c>
      <c r="AE47" s="0" t="n">
        <v>14.53</v>
      </c>
      <c r="AF47" s="0" t="n">
        <v>3.62</v>
      </c>
      <c r="AG47" s="0" t="n">
        <v>0.86</v>
      </c>
      <c r="AH47" s="0" t="n">
        <v>12.63</v>
      </c>
      <c r="AI47" s="0" t="n">
        <v>15.84</v>
      </c>
      <c r="AJ47" s="0" t="n">
        <v>7.78</v>
      </c>
      <c r="AK47" s="0" t="n">
        <v>6.98</v>
      </c>
      <c r="AL47" s="0" t="n">
        <v>9.04</v>
      </c>
      <c r="AM47" s="0" t="n">
        <v>9.59</v>
      </c>
      <c r="AN47" s="0" t="n">
        <v>11.14</v>
      </c>
      <c r="AP47" s="0" t="n">
        <v>12.64</v>
      </c>
      <c r="AQ47" s="0" t="n">
        <v>10.07</v>
      </c>
      <c r="AR47" s="0" t="n">
        <v>7.79</v>
      </c>
      <c r="AS47" s="0" t="n">
        <v>10.44</v>
      </c>
      <c r="AT47" s="0" t="n">
        <v>5.21</v>
      </c>
      <c r="AU47" s="0" t="n">
        <v>9.21</v>
      </c>
    </row>
    <row r="48" customFormat="false" ht="14.25" hidden="false" customHeight="false" outlineLevel="0" collapsed="false">
      <c r="A48" s="0" t="n">
        <v>12.1</v>
      </c>
      <c r="B48" s="0" t="n">
        <v>3.94</v>
      </c>
      <c r="C48" s="0" t="n">
        <v>6.42</v>
      </c>
      <c r="D48" s="0" t="n">
        <v>9.66</v>
      </c>
      <c r="E48" s="0" t="n">
        <v>3.88</v>
      </c>
      <c r="F48" s="0" t="n">
        <v>20.05</v>
      </c>
      <c r="G48" s="0" t="n">
        <v>16.13</v>
      </c>
      <c r="H48" s="0" t="n">
        <v>2.94</v>
      </c>
      <c r="I48" s="0" t="n">
        <v>667.57</v>
      </c>
      <c r="J48" s="0" t="n">
        <v>4.28</v>
      </c>
      <c r="K48" s="0" t="n">
        <v>651.08</v>
      </c>
      <c r="L48" s="0" t="n">
        <v>645.85</v>
      </c>
      <c r="M48" s="0" t="n">
        <v>639.49</v>
      </c>
      <c r="N48" s="0" t="n">
        <v>631.38</v>
      </c>
      <c r="O48" s="0" t="n">
        <v>621.08</v>
      </c>
      <c r="P48" s="0" t="n">
        <v>613.16</v>
      </c>
      <c r="Q48" s="0" t="n">
        <v>5.02</v>
      </c>
      <c r="R48" s="0" t="n">
        <v>5.23</v>
      </c>
      <c r="S48" s="0" t="n">
        <v>4.72</v>
      </c>
      <c r="T48" s="0" t="n">
        <v>4.56</v>
      </c>
      <c r="U48" s="0" t="n">
        <v>4.36</v>
      </c>
      <c r="V48" s="0" t="n">
        <v>4.67</v>
      </c>
      <c r="W48" s="0" t="n">
        <v>3.81</v>
      </c>
      <c r="X48" s="0" t="n">
        <v>3.77</v>
      </c>
      <c r="Y48" s="0" t="n">
        <v>1.4</v>
      </c>
      <c r="AA48" s="0" t="n">
        <v>3.15</v>
      </c>
      <c r="AB48" s="0" t="n">
        <v>3.33</v>
      </c>
      <c r="AC48" s="0" t="n">
        <v>4.47</v>
      </c>
      <c r="AD48" s="0" t="n">
        <v>14.25</v>
      </c>
      <c r="AE48" s="0" t="n">
        <v>14.55</v>
      </c>
      <c r="AF48" s="0" t="n">
        <v>3.71</v>
      </c>
      <c r="AG48" s="0" t="n">
        <v>0.84</v>
      </c>
      <c r="AH48" s="0" t="n">
        <v>12.63</v>
      </c>
      <c r="AI48" s="0" t="n">
        <v>15.8</v>
      </c>
      <c r="AJ48" s="0" t="n">
        <v>7.78</v>
      </c>
      <c r="AK48" s="0" t="n">
        <v>6.99</v>
      </c>
      <c r="AL48" s="0" t="n">
        <v>9.04</v>
      </c>
      <c r="AM48" s="0" t="n">
        <v>9.55</v>
      </c>
      <c r="AN48" s="0" t="n">
        <v>11.09</v>
      </c>
      <c r="AP48" s="0" t="n">
        <v>12.58</v>
      </c>
      <c r="AQ48" s="0" t="n">
        <v>10.07</v>
      </c>
      <c r="AR48" s="0" t="n">
        <v>7.75</v>
      </c>
      <c r="AS48" s="0" t="n">
        <v>10.45</v>
      </c>
      <c r="AT48" s="0" t="n">
        <v>5.07</v>
      </c>
      <c r="AU48" s="0" t="n">
        <v>9.21</v>
      </c>
    </row>
    <row r="49" customFormat="false" ht="14.25" hidden="false" customHeight="false" outlineLevel="0" collapsed="false">
      <c r="A49" s="0" t="n">
        <v>12.09</v>
      </c>
      <c r="B49" s="0" t="n">
        <v>3.94</v>
      </c>
      <c r="C49" s="0" t="n">
        <v>6.42</v>
      </c>
      <c r="D49" s="0" t="n">
        <v>9.63</v>
      </c>
      <c r="E49" s="0" t="n">
        <v>3.88</v>
      </c>
      <c r="F49" s="0" t="n">
        <v>20.06</v>
      </c>
      <c r="G49" s="0" t="n">
        <v>16.14</v>
      </c>
      <c r="H49" s="0" t="n">
        <v>2.94</v>
      </c>
      <c r="I49" s="0" t="n">
        <v>667.56</v>
      </c>
      <c r="J49" s="0" t="n">
        <v>4.28</v>
      </c>
      <c r="K49" s="0" t="n">
        <v>651.09</v>
      </c>
      <c r="L49" s="0" t="n">
        <v>645.86</v>
      </c>
      <c r="M49" s="0" t="n">
        <v>639.46</v>
      </c>
      <c r="N49" s="0" t="n">
        <v>631.37</v>
      </c>
      <c r="O49" s="0" t="n">
        <v>621.09</v>
      </c>
      <c r="P49" s="0" t="n">
        <v>613.15</v>
      </c>
      <c r="Q49" s="0" t="n">
        <v>5.02</v>
      </c>
      <c r="R49" s="0" t="n">
        <v>5.21</v>
      </c>
      <c r="S49" s="0" t="n">
        <v>4.74</v>
      </c>
      <c r="T49" s="0" t="n">
        <v>4.54</v>
      </c>
      <c r="U49" s="0" t="n">
        <v>4.4</v>
      </c>
      <c r="V49" s="0" t="n">
        <v>4.7</v>
      </c>
      <c r="W49" s="0" t="n">
        <v>3.8</v>
      </c>
      <c r="X49" s="0" t="n">
        <v>3.77</v>
      </c>
      <c r="Y49" s="0" t="n">
        <v>1.48</v>
      </c>
      <c r="AA49" s="0" t="n">
        <v>3.09</v>
      </c>
      <c r="AB49" s="0" t="n">
        <v>3.34</v>
      </c>
      <c r="AC49" s="0" t="n">
        <v>4.49</v>
      </c>
      <c r="AD49" s="0" t="n">
        <v>14.29</v>
      </c>
      <c r="AE49" s="0" t="n">
        <v>14.53</v>
      </c>
      <c r="AF49" s="0" t="n">
        <v>3.63</v>
      </c>
      <c r="AG49" s="0" t="n">
        <v>0.77</v>
      </c>
      <c r="AH49" s="0" t="n">
        <v>12.63</v>
      </c>
      <c r="AI49" s="0" t="n">
        <v>15.85</v>
      </c>
      <c r="AJ49" s="0" t="n">
        <v>7.77</v>
      </c>
      <c r="AK49" s="0" t="n">
        <v>7</v>
      </c>
      <c r="AL49" s="0" t="n">
        <v>9.05</v>
      </c>
      <c r="AM49" s="0" t="n">
        <v>9.56</v>
      </c>
      <c r="AN49" s="0" t="n">
        <v>11.06</v>
      </c>
      <c r="AP49" s="0" t="n">
        <v>12.55</v>
      </c>
      <c r="AQ49" s="0" t="n">
        <v>10.06</v>
      </c>
      <c r="AR49" s="0" t="n">
        <v>7.67</v>
      </c>
      <c r="AS49" s="0" t="n">
        <v>10.43</v>
      </c>
      <c r="AT49" s="0" t="n">
        <v>4.95</v>
      </c>
      <c r="AU49" s="0" t="n">
        <v>9.22</v>
      </c>
    </row>
    <row r="50" customFormat="false" ht="14.25" hidden="false" customHeight="false" outlineLevel="0" collapsed="false">
      <c r="A50" s="0" t="n">
        <v>12.08</v>
      </c>
      <c r="B50" s="0" t="n">
        <v>3.95</v>
      </c>
      <c r="C50" s="0" t="n">
        <v>6.43</v>
      </c>
      <c r="D50" s="0" t="n">
        <v>9.64</v>
      </c>
      <c r="E50" s="0" t="n">
        <v>3.84</v>
      </c>
      <c r="F50" s="0" t="n">
        <v>20.05</v>
      </c>
      <c r="G50" s="0" t="n">
        <v>16.13</v>
      </c>
      <c r="H50" s="0" t="n">
        <v>2.93</v>
      </c>
      <c r="I50" s="0" t="n">
        <v>667.56</v>
      </c>
      <c r="J50" s="0" t="n">
        <v>4.28</v>
      </c>
      <c r="K50" s="0" t="n">
        <v>651.09</v>
      </c>
      <c r="L50" s="0" t="n">
        <v>645.86</v>
      </c>
      <c r="M50" s="0" t="n">
        <v>639.48</v>
      </c>
      <c r="N50" s="0" t="n">
        <v>631.38</v>
      </c>
      <c r="O50" s="0" t="n">
        <v>621.08</v>
      </c>
      <c r="P50" s="0" t="n">
        <v>613.16</v>
      </c>
      <c r="Q50" s="0" t="n">
        <v>5.01</v>
      </c>
      <c r="R50" s="0" t="n">
        <v>5.19</v>
      </c>
      <c r="S50" s="0" t="n">
        <v>4.73</v>
      </c>
      <c r="T50" s="0" t="n">
        <v>4.6</v>
      </c>
      <c r="U50" s="0" t="n">
        <v>4.33</v>
      </c>
      <c r="V50" s="0" t="n">
        <v>4.68</v>
      </c>
      <c r="W50" s="0" t="n">
        <v>3.8</v>
      </c>
      <c r="X50" s="0" t="n">
        <v>3.77</v>
      </c>
      <c r="Y50" s="0" t="n">
        <v>1.46</v>
      </c>
      <c r="AA50" s="0" t="n">
        <v>2.92</v>
      </c>
      <c r="AB50" s="0" t="n">
        <v>3.35</v>
      </c>
      <c r="AC50" s="0" t="n">
        <v>4.48</v>
      </c>
      <c r="AD50" s="0" t="n">
        <v>14.29</v>
      </c>
      <c r="AE50" s="0" t="n">
        <v>14.56</v>
      </c>
      <c r="AF50" s="0" t="n">
        <v>3.58</v>
      </c>
      <c r="AG50" s="0" t="n">
        <v>0.81</v>
      </c>
      <c r="AH50" s="0" t="n">
        <v>12.63</v>
      </c>
      <c r="AI50" s="0" t="n">
        <v>15.84</v>
      </c>
      <c r="AJ50" s="0" t="n">
        <v>7.77</v>
      </c>
      <c r="AK50" s="0" t="n">
        <v>6.99</v>
      </c>
      <c r="AL50" s="0" t="n">
        <v>9.02</v>
      </c>
      <c r="AM50" s="0" t="n">
        <v>9.51</v>
      </c>
      <c r="AN50" s="0" t="n">
        <v>11.12</v>
      </c>
      <c r="AP50" s="0" t="n">
        <v>12.53</v>
      </c>
      <c r="AQ50" s="0" t="n">
        <v>10.06</v>
      </c>
      <c r="AR50" s="0" t="n">
        <v>7.62</v>
      </c>
      <c r="AS50" s="0" t="n">
        <v>10.35</v>
      </c>
      <c r="AT50" s="0" t="n">
        <v>4.81</v>
      </c>
      <c r="AU50" s="0" t="n">
        <v>9.18</v>
      </c>
    </row>
    <row r="51" customFormat="false" ht="14.25" hidden="false" customHeight="false" outlineLevel="0" collapsed="false">
      <c r="A51" s="0" t="n">
        <v>12.1</v>
      </c>
      <c r="B51" s="0" t="n">
        <v>3.97</v>
      </c>
      <c r="C51" s="0" t="n">
        <v>6.44</v>
      </c>
      <c r="D51" s="0" t="n">
        <v>9.67</v>
      </c>
      <c r="E51" s="0" t="n">
        <v>3.81</v>
      </c>
      <c r="F51" s="0" t="n">
        <v>20.06</v>
      </c>
      <c r="G51" s="0" t="n">
        <v>16.14</v>
      </c>
      <c r="H51" s="0" t="n">
        <v>2.95</v>
      </c>
      <c r="I51" s="0" t="n">
        <v>667.56</v>
      </c>
      <c r="J51" s="0" t="n">
        <v>4.28</v>
      </c>
      <c r="K51" s="0" t="n">
        <v>651.1</v>
      </c>
      <c r="L51" s="0" t="n">
        <v>645.86</v>
      </c>
      <c r="M51" s="0" t="n">
        <v>639.45</v>
      </c>
      <c r="N51" s="0" t="n">
        <v>631.39</v>
      </c>
      <c r="O51" s="0" t="n">
        <v>621.09</v>
      </c>
      <c r="P51" s="0" t="n">
        <v>613.16</v>
      </c>
      <c r="Q51" s="0" t="n">
        <v>5.02</v>
      </c>
      <c r="R51" s="0" t="n">
        <v>5.19</v>
      </c>
      <c r="S51" s="0" t="n">
        <v>4.74</v>
      </c>
      <c r="T51" s="0" t="n">
        <v>4.57</v>
      </c>
      <c r="U51" s="0" t="n">
        <v>4.33</v>
      </c>
      <c r="V51" s="0" t="n">
        <v>4.67</v>
      </c>
      <c r="W51" s="0" t="n">
        <v>3.82</v>
      </c>
      <c r="X51" s="0" t="n">
        <v>3.77</v>
      </c>
      <c r="Y51" s="0" t="n">
        <v>1.46</v>
      </c>
      <c r="AA51" s="0" t="n">
        <v>2.97</v>
      </c>
      <c r="AB51" s="0" t="n">
        <v>3.34</v>
      </c>
      <c r="AC51" s="0" t="n">
        <v>4.47</v>
      </c>
      <c r="AD51" s="0" t="n">
        <v>14.28</v>
      </c>
      <c r="AE51" s="0" t="n">
        <v>14.58</v>
      </c>
      <c r="AF51" s="0" t="n">
        <v>3.58</v>
      </c>
      <c r="AG51" s="0" t="n">
        <v>0.76</v>
      </c>
      <c r="AH51" s="0" t="n">
        <v>12.62</v>
      </c>
      <c r="AI51" s="0" t="n">
        <v>15.83</v>
      </c>
      <c r="AJ51" s="0" t="n">
        <v>7.75</v>
      </c>
      <c r="AK51" s="0" t="n">
        <v>7</v>
      </c>
      <c r="AL51" s="0" t="n">
        <v>9.05</v>
      </c>
      <c r="AM51" s="0" t="n">
        <v>9.55</v>
      </c>
      <c r="AN51" s="0" t="n">
        <v>11.12</v>
      </c>
      <c r="AP51" s="0" t="n">
        <v>12.51</v>
      </c>
      <c r="AQ51" s="0" t="n">
        <v>10.06</v>
      </c>
      <c r="AR51" s="0" t="n">
        <v>7.48</v>
      </c>
      <c r="AS51" s="0" t="n">
        <v>10.38</v>
      </c>
      <c r="AT51" s="0" t="n">
        <v>4.67</v>
      </c>
      <c r="AU51" s="0" t="n">
        <v>9.18</v>
      </c>
    </row>
    <row r="52" customFormat="false" ht="14.25" hidden="false" customHeight="false" outlineLevel="0" collapsed="false">
      <c r="A52" s="0" t="n">
        <v>12.09</v>
      </c>
      <c r="B52" s="0" t="n">
        <v>3.96</v>
      </c>
      <c r="C52" s="0" t="n">
        <v>6.44</v>
      </c>
      <c r="D52" s="0" t="n">
        <v>9.66</v>
      </c>
      <c r="E52" s="0" t="n">
        <v>3.81</v>
      </c>
      <c r="F52" s="0" t="n">
        <v>20.04</v>
      </c>
      <c r="G52" s="0" t="n">
        <v>16.12</v>
      </c>
      <c r="H52" s="0" t="n">
        <v>2.94</v>
      </c>
      <c r="I52" s="0" t="n">
        <v>667.57</v>
      </c>
      <c r="J52" s="0" t="n">
        <v>4.28</v>
      </c>
      <c r="K52" s="0" t="n">
        <v>651.09</v>
      </c>
      <c r="L52" s="0" t="n">
        <v>645.86</v>
      </c>
      <c r="M52" s="0" t="n">
        <v>639.45</v>
      </c>
      <c r="N52" s="0" t="n">
        <v>631.38</v>
      </c>
      <c r="O52" s="0" t="n">
        <v>621.09</v>
      </c>
      <c r="P52" s="0" t="n">
        <v>613.16</v>
      </c>
      <c r="Q52" s="0" t="n">
        <v>5.01</v>
      </c>
      <c r="R52" s="0" t="n">
        <v>5.08</v>
      </c>
      <c r="S52" s="0" t="n">
        <v>4.74</v>
      </c>
      <c r="T52" s="0" t="n">
        <v>4.54</v>
      </c>
      <c r="U52" s="0" t="n">
        <v>4.33</v>
      </c>
      <c r="V52" s="0" t="n">
        <v>4.66</v>
      </c>
      <c r="W52" s="0" t="n">
        <v>3.83</v>
      </c>
      <c r="X52" s="0" t="n">
        <v>3.77</v>
      </c>
      <c r="Y52" s="0" t="n">
        <v>1.46</v>
      </c>
      <c r="AA52" s="0" t="n">
        <v>3.03</v>
      </c>
      <c r="AB52" s="0" t="n">
        <v>3.34</v>
      </c>
      <c r="AC52" s="0" t="n">
        <v>4.49</v>
      </c>
      <c r="AD52" s="0" t="n">
        <v>14.27</v>
      </c>
      <c r="AE52" s="0" t="n">
        <v>14.57</v>
      </c>
      <c r="AF52" s="0" t="n">
        <v>3.6</v>
      </c>
      <c r="AG52" s="0" t="n">
        <v>0.74</v>
      </c>
      <c r="AH52" s="0" t="n">
        <v>12.64</v>
      </c>
      <c r="AI52" s="0" t="n">
        <v>15.81</v>
      </c>
      <c r="AJ52" s="0" t="n">
        <v>7.78</v>
      </c>
      <c r="AK52" s="0" t="n">
        <v>7.01</v>
      </c>
      <c r="AL52" s="0" t="n">
        <v>9.03</v>
      </c>
      <c r="AM52" s="0" t="n">
        <v>9.54</v>
      </c>
      <c r="AN52" s="0" t="n">
        <v>11.07</v>
      </c>
      <c r="AP52" s="0" t="n">
        <v>12.5</v>
      </c>
      <c r="AQ52" s="0" t="n">
        <v>10.06</v>
      </c>
      <c r="AR52" s="0" t="n">
        <v>7.47</v>
      </c>
      <c r="AS52" s="0" t="n">
        <v>10.35</v>
      </c>
      <c r="AT52" s="0" t="n">
        <v>4.01</v>
      </c>
      <c r="AU52" s="0" t="n">
        <v>9.16</v>
      </c>
    </row>
    <row r="53" customFormat="false" ht="14.25" hidden="false" customHeight="false" outlineLevel="0" collapsed="false">
      <c r="A53" s="0" t="n">
        <v>12.08</v>
      </c>
      <c r="B53" s="0" t="n">
        <v>3.97</v>
      </c>
      <c r="C53" s="0" t="n">
        <v>6.44</v>
      </c>
      <c r="D53" s="0" t="n">
        <v>9.65</v>
      </c>
      <c r="E53" s="0" t="n">
        <v>3.82</v>
      </c>
      <c r="F53" s="0" t="n">
        <v>20.02</v>
      </c>
      <c r="G53" s="0" t="n">
        <v>16.13</v>
      </c>
      <c r="H53" s="0" t="n">
        <v>2.95</v>
      </c>
      <c r="I53" s="0" t="n">
        <v>667.58</v>
      </c>
      <c r="J53" s="0" t="n">
        <v>4.3</v>
      </c>
      <c r="K53" s="0" t="n">
        <v>651.1</v>
      </c>
      <c r="L53" s="0" t="n">
        <v>645.88</v>
      </c>
      <c r="M53" s="0" t="n">
        <v>639.47</v>
      </c>
      <c r="N53" s="0" t="n">
        <v>631.39</v>
      </c>
      <c r="O53" s="0" t="n">
        <v>621.09</v>
      </c>
      <c r="P53" s="0" t="n">
        <v>613.17</v>
      </c>
      <c r="Q53" s="0" t="n">
        <v>5.01</v>
      </c>
      <c r="R53" s="0" t="n">
        <v>5.22</v>
      </c>
      <c r="S53" s="0" t="n">
        <v>4.72</v>
      </c>
      <c r="T53" s="0" t="n">
        <v>4.56</v>
      </c>
      <c r="U53" s="0" t="n">
        <v>4.33</v>
      </c>
      <c r="V53" s="0" t="n">
        <v>4.67</v>
      </c>
      <c r="W53" s="0" t="n">
        <v>3.84</v>
      </c>
      <c r="X53" s="0" t="n">
        <v>3.77</v>
      </c>
      <c r="Y53" s="0" t="n">
        <v>1.46</v>
      </c>
      <c r="AA53" s="0" t="n">
        <v>3.07</v>
      </c>
      <c r="AB53" s="0" t="n">
        <v>3.35</v>
      </c>
      <c r="AC53" s="0" t="n">
        <v>4.49</v>
      </c>
      <c r="AD53" s="0" t="n">
        <v>14.26</v>
      </c>
      <c r="AE53" s="0" t="n">
        <v>14.54</v>
      </c>
      <c r="AF53" s="0" t="n">
        <v>3.56</v>
      </c>
      <c r="AG53" s="0" t="n">
        <v>0.77</v>
      </c>
      <c r="AH53" s="0" t="n">
        <v>12.63</v>
      </c>
      <c r="AI53" s="0" t="n">
        <v>15.8</v>
      </c>
      <c r="AJ53" s="0" t="n">
        <v>7.78</v>
      </c>
      <c r="AK53" s="0" t="n">
        <v>7.02</v>
      </c>
      <c r="AL53" s="0" t="n">
        <v>9.05</v>
      </c>
      <c r="AM53" s="0" t="n">
        <v>9.57</v>
      </c>
      <c r="AN53" s="0" t="n">
        <v>11.16</v>
      </c>
      <c r="AP53" s="0" t="n">
        <v>12.48</v>
      </c>
      <c r="AQ53" s="0" t="n">
        <v>10.05</v>
      </c>
      <c r="AR53" s="0" t="n">
        <v>7.42</v>
      </c>
      <c r="AS53" s="0" t="n">
        <v>10.3</v>
      </c>
      <c r="AT53" s="0" t="n">
        <v>3.89</v>
      </c>
      <c r="AU53" s="0" t="n">
        <v>9.16</v>
      </c>
    </row>
    <row r="54" customFormat="false" ht="14.25" hidden="false" customHeight="false" outlineLevel="0" collapsed="false">
      <c r="A54" s="0" t="n">
        <v>12.07</v>
      </c>
      <c r="B54" s="0" t="n">
        <v>3.98</v>
      </c>
      <c r="C54" s="0" t="n">
        <v>6.45</v>
      </c>
      <c r="D54" s="0" t="n">
        <v>9.67</v>
      </c>
      <c r="E54" s="0" t="n">
        <v>3.8</v>
      </c>
      <c r="F54" s="0" t="n">
        <v>19.99</v>
      </c>
      <c r="G54" s="0" t="n">
        <v>16.13</v>
      </c>
      <c r="H54" s="0" t="n">
        <v>2.92</v>
      </c>
      <c r="I54" s="0" t="n">
        <v>667.57</v>
      </c>
      <c r="J54" s="0" t="n">
        <v>4.28</v>
      </c>
      <c r="K54" s="0" t="n">
        <v>651.09</v>
      </c>
      <c r="L54" s="0" t="n">
        <v>645.87</v>
      </c>
      <c r="M54" s="0" t="n">
        <v>639.47</v>
      </c>
      <c r="N54" s="0" t="n">
        <v>631.39</v>
      </c>
      <c r="O54" s="0" t="n">
        <v>621.09</v>
      </c>
      <c r="P54" s="0" t="n">
        <v>613.16</v>
      </c>
      <c r="Q54" s="0" t="n">
        <v>5</v>
      </c>
      <c r="R54" s="0" t="n">
        <v>5.2</v>
      </c>
      <c r="S54" s="0" t="n">
        <v>4.73</v>
      </c>
      <c r="T54" s="0" t="n">
        <v>4.56</v>
      </c>
      <c r="U54" s="0" t="n">
        <v>4.32</v>
      </c>
      <c r="V54" s="0" t="n">
        <v>4.67</v>
      </c>
      <c r="W54" s="0" t="n">
        <v>3.82</v>
      </c>
      <c r="X54" s="0" t="n">
        <v>3.77</v>
      </c>
      <c r="Y54" s="0" t="n">
        <v>1.47</v>
      </c>
      <c r="AA54" s="0" t="n">
        <v>3.1</v>
      </c>
      <c r="AB54" s="0" t="n">
        <v>3.35</v>
      </c>
      <c r="AC54" s="0" t="n">
        <v>4.57</v>
      </c>
      <c r="AD54" s="0" t="n">
        <v>14.27</v>
      </c>
      <c r="AE54" s="0" t="n">
        <v>14.52</v>
      </c>
      <c r="AF54" s="0" t="n">
        <v>3.54</v>
      </c>
      <c r="AG54" s="0" t="n">
        <v>0.72</v>
      </c>
      <c r="AH54" s="0" t="n">
        <v>12.64</v>
      </c>
      <c r="AI54" s="0" t="n">
        <v>15.79</v>
      </c>
      <c r="AJ54" s="0" t="n">
        <v>7.78</v>
      </c>
      <c r="AK54" s="0" t="n">
        <v>7.01</v>
      </c>
      <c r="AL54" s="0" t="n">
        <v>9.06</v>
      </c>
      <c r="AM54" s="0" t="n">
        <v>9.5</v>
      </c>
      <c r="AN54" s="0" t="n">
        <v>11.15</v>
      </c>
      <c r="AP54" s="0" t="n">
        <v>12.44</v>
      </c>
      <c r="AQ54" s="0" t="n">
        <v>10.06</v>
      </c>
      <c r="AR54" s="0" t="n">
        <v>7.36</v>
      </c>
      <c r="AS54" s="0" t="n">
        <v>10.26</v>
      </c>
      <c r="AT54" s="0" t="n">
        <v>3.76</v>
      </c>
      <c r="AU54" s="0" t="n">
        <v>9.17</v>
      </c>
    </row>
    <row r="55" customFormat="false" ht="14.25" hidden="false" customHeight="false" outlineLevel="0" collapsed="false">
      <c r="A55" s="0" t="n">
        <v>12.06</v>
      </c>
      <c r="B55" s="0" t="n">
        <v>3.99</v>
      </c>
      <c r="C55" s="0" t="n">
        <v>6.46</v>
      </c>
      <c r="D55" s="0" t="n">
        <v>9.64</v>
      </c>
      <c r="E55" s="0" t="n">
        <v>3.8</v>
      </c>
      <c r="F55" s="0" t="n">
        <v>19.98</v>
      </c>
      <c r="G55" s="0" t="n">
        <v>16.12</v>
      </c>
      <c r="H55" s="0" t="n">
        <v>2.94</v>
      </c>
      <c r="I55" s="0" t="n">
        <v>667.57</v>
      </c>
      <c r="J55" s="0" t="n">
        <v>4.28</v>
      </c>
      <c r="K55" s="0" t="n">
        <v>651.1</v>
      </c>
      <c r="L55" s="0" t="n">
        <v>645.88</v>
      </c>
      <c r="M55" s="0" t="n">
        <v>639.43</v>
      </c>
      <c r="N55" s="0" t="n">
        <v>631.39</v>
      </c>
      <c r="O55" s="0" t="n">
        <v>621.09</v>
      </c>
      <c r="P55" s="0" t="n">
        <v>613.16</v>
      </c>
      <c r="Q55" s="0" t="n">
        <v>5</v>
      </c>
      <c r="R55" s="0" t="n">
        <v>5.26</v>
      </c>
      <c r="S55" s="0" t="n">
        <v>4.74</v>
      </c>
      <c r="T55" s="0" t="n">
        <v>4.56</v>
      </c>
      <c r="U55" s="0" t="n">
        <v>4.32</v>
      </c>
      <c r="V55" s="0" t="n">
        <v>4.67</v>
      </c>
      <c r="W55" s="0" t="n">
        <v>3.81</v>
      </c>
      <c r="X55" s="0" t="n">
        <v>3.77</v>
      </c>
      <c r="Y55" s="0" t="n">
        <v>1.45</v>
      </c>
      <c r="AA55" s="0" t="n">
        <v>3.15</v>
      </c>
      <c r="AB55" s="0" t="n">
        <v>3.33</v>
      </c>
      <c r="AC55" s="0" t="n">
        <v>4.54</v>
      </c>
      <c r="AD55" s="0" t="n">
        <v>14.27</v>
      </c>
      <c r="AE55" s="0" t="n">
        <v>14.5</v>
      </c>
      <c r="AF55" s="0" t="n">
        <v>3.48</v>
      </c>
      <c r="AG55" s="0" t="n">
        <v>0.71</v>
      </c>
      <c r="AH55" s="0" t="n">
        <v>12.63</v>
      </c>
      <c r="AI55" s="0" t="n">
        <v>15.77</v>
      </c>
      <c r="AJ55" s="0" t="n">
        <v>7.79</v>
      </c>
      <c r="AK55" s="0" t="n">
        <v>7.02</v>
      </c>
      <c r="AL55" s="0" t="n">
        <v>9.05</v>
      </c>
      <c r="AM55" s="0" t="n">
        <v>9.59</v>
      </c>
      <c r="AN55" s="0" t="n">
        <v>11.09</v>
      </c>
      <c r="AP55" s="0" t="n">
        <v>12.45</v>
      </c>
      <c r="AQ55" s="0" t="n">
        <v>10.06</v>
      </c>
      <c r="AR55" s="0" t="n">
        <v>7.3</v>
      </c>
      <c r="AS55" s="0" t="n">
        <v>10.17</v>
      </c>
      <c r="AT55" s="0" t="n">
        <v>3.64</v>
      </c>
      <c r="AU55" s="0" t="n">
        <v>9.16</v>
      </c>
    </row>
    <row r="56" customFormat="false" ht="14.25" hidden="false" customHeight="false" outlineLevel="0" collapsed="false">
      <c r="A56" s="0" t="n">
        <v>12.06</v>
      </c>
      <c r="B56" s="0" t="n">
        <v>4</v>
      </c>
      <c r="C56" s="0" t="n">
        <v>6.46</v>
      </c>
      <c r="D56" s="0" t="n">
        <v>9.64</v>
      </c>
      <c r="E56" s="0" t="n">
        <v>3.78</v>
      </c>
      <c r="F56" s="0" t="n">
        <v>19.98</v>
      </c>
      <c r="G56" s="0" t="n">
        <v>16.11</v>
      </c>
      <c r="H56" s="0" t="n">
        <v>2.93</v>
      </c>
      <c r="I56" s="0" t="n">
        <v>667.57</v>
      </c>
      <c r="J56" s="0" t="n">
        <v>4.28</v>
      </c>
      <c r="K56" s="0" t="n">
        <v>651.1</v>
      </c>
      <c r="L56" s="0" t="n">
        <v>645.88</v>
      </c>
      <c r="M56" s="0" t="n">
        <v>639.46</v>
      </c>
      <c r="N56" s="0" t="n">
        <v>631.39</v>
      </c>
      <c r="O56" s="0" t="n">
        <v>621.08</v>
      </c>
      <c r="P56" s="0" t="n">
        <v>613.16</v>
      </c>
      <c r="Q56" s="0" t="n">
        <v>5</v>
      </c>
      <c r="R56" s="0" t="n">
        <v>5.22</v>
      </c>
      <c r="S56" s="0" t="n">
        <v>4.74</v>
      </c>
      <c r="T56" s="0" t="n">
        <v>4.57</v>
      </c>
      <c r="U56" s="0" t="n">
        <v>4.32</v>
      </c>
      <c r="V56" s="0" t="n">
        <v>4.66</v>
      </c>
      <c r="W56" s="0" t="n">
        <v>3.79</v>
      </c>
      <c r="X56" s="0" t="n">
        <v>3.78</v>
      </c>
      <c r="Y56" s="0" t="n">
        <v>1.47</v>
      </c>
      <c r="AA56" s="0" t="n">
        <v>3.14</v>
      </c>
      <c r="AB56" s="0" t="n">
        <v>3.37</v>
      </c>
      <c r="AC56" s="0" t="n">
        <v>4.53</v>
      </c>
      <c r="AD56" s="0" t="n">
        <v>14.26</v>
      </c>
      <c r="AE56" s="0" t="n">
        <v>14.49</v>
      </c>
      <c r="AF56" s="0" t="n">
        <v>3.51</v>
      </c>
      <c r="AG56" s="0" t="n">
        <v>0.75</v>
      </c>
      <c r="AH56" s="0" t="n">
        <v>12.63</v>
      </c>
      <c r="AI56" s="0" t="n">
        <v>15.77</v>
      </c>
      <c r="AJ56" s="0" t="n">
        <v>7.79</v>
      </c>
      <c r="AK56" s="0" t="n">
        <v>7.02</v>
      </c>
      <c r="AL56" s="0" t="n">
        <v>9.03</v>
      </c>
      <c r="AM56" s="0" t="n">
        <v>9.51</v>
      </c>
      <c r="AN56" s="0" t="n">
        <v>11.19</v>
      </c>
      <c r="AP56" s="0" t="n">
        <v>12.41</v>
      </c>
      <c r="AQ56" s="0" t="n">
        <v>10.05</v>
      </c>
      <c r="AR56" s="0" t="n">
        <v>7.21</v>
      </c>
      <c r="AS56" s="0" t="n">
        <v>10.13</v>
      </c>
      <c r="AT56" s="0" t="n">
        <v>3.53</v>
      </c>
      <c r="AU56" s="0" t="n">
        <v>9.15</v>
      </c>
    </row>
    <row r="57" customFormat="false" ht="14.25" hidden="false" customHeight="false" outlineLevel="0" collapsed="false">
      <c r="A57" s="0" t="n">
        <v>12.07</v>
      </c>
      <c r="B57" s="0" t="n">
        <v>3.99</v>
      </c>
      <c r="C57" s="0" t="n">
        <v>6.47</v>
      </c>
      <c r="D57" s="0" t="n">
        <v>9.67</v>
      </c>
      <c r="E57" s="0" t="n">
        <v>3.79</v>
      </c>
      <c r="F57" s="0" t="n">
        <v>19.98</v>
      </c>
      <c r="G57" s="0" t="n">
        <v>16.08</v>
      </c>
      <c r="H57" s="0" t="n">
        <v>2.94</v>
      </c>
      <c r="I57" s="0" t="n">
        <v>667.57</v>
      </c>
      <c r="J57" s="0" t="n">
        <v>4.27</v>
      </c>
      <c r="K57" s="0" t="n">
        <v>651.16</v>
      </c>
      <c r="L57" s="0" t="n">
        <v>645.88</v>
      </c>
      <c r="M57" s="0" t="n">
        <v>639.45</v>
      </c>
      <c r="N57" s="0" t="n">
        <v>631.4</v>
      </c>
      <c r="O57" s="0" t="n">
        <v>621.09</v>
      </c>
      <c r="P57" s="0" t="n">
        <v>613.16</v>
      </c>
      <c r="Q57" s="0" t="n">
        <v>5</v>
      </c>
      <c r="R57" s="0" t="n">
        <v>5.21</v>
      </c>
      <c r="S57" s="0" t="n">
        <v>4.75</v>
      </c>
      <c r="T57" s="0" t="n">
        <v>4.56</v>
      </c>
      <c r="U57" s="0" t="n">
        <v>4.32</v>
      </c>
      <c r="V57" s="0" t="n">
        <v>4.65</v>
      </c>
      <c r="W57" s="0" t="n">
        <v>3.81</v>
      </c>
      <c r="X57" s="0" t="n">
        <v>3.77</v>
      </c>
      <c r="Y57" s="0" t="n">
        <v>1.5</v>
      </c>
      <c r="AA57" s="0" t="n">
        <v>3.1</v>
      </c>
      <c r="AB57" s="0" t="n">
        <v>3.38</v>
      </c>
      <c r="AC57" s="0" t="n">
        <v>4.55</v>
      </c>
      <c r="AD57" s="0" t="n">
        <v>14.22</v>
      </c>
      <c r="AE57" s="0" t="n">
        <v>14.49</v>
      </c>
      <c r="AF57" s="0" t="n">
        <v>3.48</v>
      </c>
      <c r="AG57" s="0" t="n">
        <v>0.71</v>
      </c>
      <c r="AH57" s="0" t="n">
        <v>12.63</v>
      </c>
      <c r="AI57" s="0" t="n">
        <v>15.77</v>
      </c>
      <c r="AJ57" s="0" t="n">
        <v>7.79</v>
      </c>
      <c r="AK57" s="0" t="n">
        <v>7.03</v>
      </c>
      <c r="AL57" s="0" t="n">
        <v>9.04</v>
      </c>
      <c r="AM57" s="0" t="n">
        <v>9.54</v>
      </c>
      <c r="AN57" s="0" t="n">
        <v>11.19</v>
      </c>
      <c r="AP57" s="0" t="n">
        <v>12.37</v>
      </c>
      <c r="AQ57" s="0" t="n">
        <v>10.03</v>
      </c>
      <c r="AR57" s="0" t="n">
        <v>7.13</v>
      </c>
      <c r="AS57" s="0" t="n">
        <v>10.08</v>
      </c>
      <c r="AT57" s="0" t="n">
        <v>3.43</v>
      </c>
      <c r="AU57" s="0" t="n">
        <v>9.16</v>
      </c>
    </row>
    <row r="58" customFormat="false" ht="14.25" hidden="false" customHeight="false" outlineLevel="0" collapsed="false">
      <c r="A58" s="0" t="n">
        <v>12.04</v>
      </c>
      <c r="B58" s="0" t="n">
        <v>4</v>
      </c>
      <c r="C58" s="0" t="n">
        <v>6.48</v>
      </c>
      <c r="D58" s="0" t="n">
        <v>9.67</v>
      </c>
      <c r="E58" s="0" t="n">
        <v>3.78</v>
      </c>
      <c r="F58" s="0" t="n">
        <v>19.99</v>
      </c>
      <c r="G58" s="0" t="n">
        <v>16.07</v>
      </c>
      <c r="H58" s="0" t="n">
        <v>2.93</v>
      </c>
      <c r="I58" s="0" t="n">
        <v>667.58</v>
      </c>
      <c r="J58" s="0" t="n">
        <v>4.28</v>
      </c>
      <c r="K58" s="0" t="n">
        <v>651.1</v>
      </c>
      <c r="L58" s="0" t="n">
        <v>645.89</v>
      </c>
      <c r="M58" s="0" t="n">
        <v>639.47</v>
      </c>
      <c r="N58" s="0" t="n">
        <v>631.39</v>
      </c>
      <c r="O58" s="0" t="n">
        <v>621.09</v>
      </c>
      <c r="P58" s="0" t="n">
        <v>613.15</v>
      </c>
      <c r="Q58" s="0" t="n">
        <v>4.98</v>
      </c>
      <c r="R58" s="0" t="n">
        <v>5.26</v>
      </c>
      <c r="S58" s="0" t="n">
        <v>4.74</v>
      </c>
      <c r="T58" s="0" t="n">
        <v>4.56</v>
      </c>
      <c r="U58" s="0" t="n">
        <v>4.31</v>
      </c>
      <c r="V58" s="0" t="n">
        <v>4.65</v>
      </c>
      <c r="W58" s="0" t="n">
        <v>3.8</v>
      </c>
      <c r="X58" s="0" t="n">
        <v>3.77</v>
      </c>
      <c r="Y58" s="0" t="n">
        <v>1.52</v>
      </c>
      <c r="AA58" s="0" t="n">
        <v>3.09</v>
      </c>
      <c r="AB58" s="0" t="n">
        <v>3.22</v>
      </c>
      <c r="AC58" s="0" t="n">
        <v>4.53</v>
      </c>
      <c r="AD58" s="0" t="n">
        <v>14.21</v>
      </c>
      <c r="AE58" s="0" t="n">
        <v>14.5</v>
      </c>
      <c r="AF58" s="0" t="n">
        <v>3.5</v>
      </c>
      <c r="AG58" s="0" t="n">
        <v>0.7</v>
      </c>
      <c r="AH58" s="0" t="n">
        <v>12.63</v>
      </c>
      <c r="AI58" s="0" t="n">
        <v>15.76</v>
      </c>
      <c r="AJ58" s="0" t="n">
        <v>7.78</v>
      </c>
      <c r="AK58" s="0" t="n">
        <v>7.03</v>
      </c>
      <c r="AL58" s="0" t="n">
        <v>9.04</v>
      </c>
      <c r="AM58" s="0" t="n">
        <v>9.61</v>
      </c>
      <c r="AN58" s="0" t="n">
        <v>11.2</v>
      </c>
      <c r="AP58" s="0" t="n">
        <v>12.33</v>
      </c>
      <c r="AQ58" s="0" t="n">
        <v>10.03</v>
      </c>
      <c r="AR58" s="0" t="n">
        <v>7.09</v>
      </c>
      <c r="AS58" s="0" t="n">
        <v>10.03</v>
      </c>
      <c r="AT58" s="0" t="n">
        <v>3.32</v>
      </c>
      <c r="AU58" s="0" t="n">
        <v>9.16</v>
      </c>
    </row>
    <row r="59" customFormat="false" ht="14.25" hidden="false" customHeight="false" outlineLevel="0" collapsed="false">
      <c r="A59" s="0" t="n">
        <v>12.04</v>
      </c>
      <c r="B59" s="0" t="n">
        <v>3.99</v>
      </c>
      <c r="C59" s="0" t="n">
        <v>6.48</v>
      </c>
      <c r="D59" s="0" t="n">
        <v>9.66</v>
      </c>
      <c r="E59" s="0" t="n">
        <v>3.79</v>
      </c>
      <c r="F59" s="0" t="n">
        <v>19.99</v>
      </c>
      <c r="G59" s="0" t="n">
        <v>16.07</v>
      </c>
      <c r="H59" s="0" t="n">
        <v>2.93</v>
      </c>
      <c r="I59" s="0" t="n">
        <v>667.58</v>
      </c>
      <c r="J59" s="0" t="n">
        <v>4.28</v>
      </c>
      <c r="K59" s="0" t="n">
        <v>651.11</v>
      </c>
      <c r="L59" s="0" t="n">
        <v>645.89</v>
      </c>
      <c r="M59" s="0" t="n">
        <v>639.48</v>
      </c>
      <c r="N59" s="0" t="n">
        <v>631.4</v>
      </c>
      <c r="O59" s="0" t="n">
        <v>621.1</v>
      </c>
      <c r="P59" s="0" t="n">
        <v>613.16</v>
      </c>
      <c r="Q59" s="0" t="n">
        <v>4.98</v>
      </c>
      <c r="R59" s="0" t="n">
        <v>5.22</v>
      </c>
      <c r="S59" s="0" t="n">
        <v>4.74</v>
      </c>
      <c r="T59" s="0" t="n">
        <v>4.55</v>
      </c>
      <c r="U59" s="0" t="n">
        <v>4.32</v>
      </c>
      <c r="V59" s="0" t="n">
        <v>4.65</v>
      </c>
      <c r="W59" s="0" t="n">
        <v>3.85</v>
      </c>
      <c r="X59" s="0" t="n">
        <v>3.78</v>
      </c>
      <c r="Y59" s="0" t="n">
        <v>1.49</v>
      </c>
      <c r="AA59" s="0" t="n">
        <v>3.06</v>
      </c>
      <c r="AB59" s="0" t="n">
        <v>3.37</v>
      </c>
      <c r="AC59" s="0" t="n">
        <v>4.51</v>
      </c>
      <c r="AD59" s="0" t="n">
        <v>14.21</v>
      </c>
      <c r="AE59" s="0" t="n">
        <v>14.51</v>
      </c>
      <c r="AF59" s="0" t="n">
        <v>3.52</v>
      </c>
      <c r="AG59" s="0" t="n">
        <v>0.72</v>
      </c>
      <c r="AH59" s="0" t="n">
        <v>12.63</v>
      </c>
      <c r="AI59" s="0" t="n">
        <v>15.75</v>
      </c>
      <c r="AJ59" s="0" t="n">
        <v>7.75</v>
      </c>
      <c r="AK59" s="0" t="n">
        <v>7.03</v>
      </c>
      <c r="AL59" s="0" t="n">
        <v>9.04</v>
      </c>
      <c r="AM59" s="0" t="n">
        <v>9.52</v>
      </c>
      <c r="AN59" s="0" t="n">
        <v>11.18</v>
      </c>
      <c r="AP59" s="0" t="n">
        <v>12.31</v>
      </c>
      <c r="AQ59" s="0" t="n">
        <v>10.03</v>
      </c>
      <c r="AR59" s="0" t="n">
        <v>7.04</v>
      </c>
      <c r="AS59" s="0" t="n">
        <v>9.97</v>
      </c>
      <c r="AT59" s="0" t="n">
        <v>3.22</v>
      </c>
      <c r="AU59" s="0" t="n">
        <v>9.17</v>
      </c>
    </row>
    <row r="60" customFormat="false" ht="14.25" hidden="false" customHeight="false" outlineLevel="0" collapsed="false">
      <c r="A60" s="0" t="n">
        <v>12.05</v>
      </c>
      <c r="B60" s="0" t="n">
        <v>4.02</v>
      </c>
      <c r="C60" s="0" t="n">
        <v>6.49</v>
      </c>
      <c r="D60" s="0" t="n">
        <v>9.65</v>
      </c>
      <c r="E60" s="0" t="n">
        <v>3.77</v>
      </c>
      <c r="F60" s="0" t="n">
        <v>19.97</v>
      </c>
      <c r="G60" s="0" t="n">
        <v>16.07</v>
      </c>
      <c r="H60" s="0" t="n">
        <v>2.93</v>
      </c>
      <c r="I60" s="0" t="n">
        <v>667.58</v>
      </c>
      <c r="J60" s="0" t="n">
        <v>4.27</v>
      </c>
      <c r="K60" s="0" t="n">
        <v>651.14</v>
      </c>
      <c r="L60" s="0" t="n">
        <v>645.94</v>
      </c>
      <c r="M60" s="0" t="n">
        <v>639.47</v>
      </c>
      <c r="N60" s="0" t="n">
        <v>631.39</v>
      </c>
      <c r="O60" s="0" t="n">
        <v>621.1</v>
      </c>
      <c r="P60" s="0" t="n">
        <v>613.12</v>
      </c>
      <c r="Q60" s="0" t="n">
        <v>4.98</v>
      </c>
      <c r="R60" s="0" t="n">
        <v>5.21</v>
      </c>
      <c r="S60" s="0" t="n">
        <v>4.74</v>
      </c>
      <c r="T60" s="0" t="n">
        <v>4.58</v>
      </c>
      <c r="U60" s="0" t="n">
        <v>4.31</v>
      </c>
      <c r="V60" s="0" t="n">
        <v>4.65</v>
      </c>
      <c r="W60" s="0" t="n">
        <v>3.82</v>
      </c>
      <c r="X60" s="0" t="n">
        <v>3.77</v>
      </c>
      <c r="Y60" s="0" t="n">
        <v>1.49</v>
      </c>
      <c r="AA60" s="0" t="n">
        <v>3.03</v>
      </c>
      <c r="AB60" s="0" t="n">
        <v>3.37</v>
      </c>
      <c r="AC60" s="0" t="n">
        <v>4.56</v>
      </c>
      <c r="AD60" s="0" t="n">
        <v>14.2</v>
      </c>
      <c r="AE60" s="0" t="n">
        <v>14.49</v>
      </c>
      <c r="AF60" s="0" t="n">
        <v>3.52</v>
      </c>
      <c r="AG60" s="0" t="n">
        <v>0.74</v>
      </c>
      <c r="AH60" s="0" t="n">
        <v>12.62</v>
      </c>
      <c r="AI60" s="0" t="n">
        <v>15.75</v>
      </c>
      <c r="AJ60" s="0" t="n">
        <v>7.78</v>
      </c>
      <c r="AK60" s="0" t="n">
        <v>7.03</v>
      </c>
      <c r="AL60" s="0" t="n">
        <v>9.02</v>
      </c>
      <c r="AM60" s="0" t="n">
        <v>9.57</v>
      </c>
      <c r="AN60" s="0" t="n">
        <v>11.2</v>
      </c>
      <c r="AP60" s="0" t="n">
        <v>12.32</v>
      </c>
      <c r="AQ60" s="0" t="n">
        <v>10.02</v>
      </c>
      <c r="AR60" s="0" t="n">
        <v>6.95</v>
      </c>
      <c r="AS60" s="0" t="n">
        <v>9.89</v>
      </c>
      <c r="AT60" s="0" t="n">
        <v>3.12</v>
      </c>
      <c r="AU60" s="0" t="n">
        <v>9.17</v>
      </c>
    </row>
    <row r="61" customFormat="false" ht="14.25" hidden="false" customHeight="false" outlineLevel="0" collapsed="false">
      <c r="A61" s="0" t="n">
        <v>12.11</v>
      </c>
      <c r="B61" s="0" t="n">
        <v>4.03</v>
      </c>
      <c r="C61" s="0" t="n">
        <v>6.49</v>
      </c>
      <c r="D61" s="0" t="n">
        <v>9.68</v>
      </c>
      <c r="E61" s="0" t="n">
        <v>3.74</v>
      </c>
      <c r="F61" s="0" t="n">
        <v>19.96</v>
      </c>
      <c r="G61" s="0" t="n">
        <v>16.09</v>
      </c>
      <c r="H61" s="0" t="n">
        <v>2.92</v>
      </c>
      <c r="I61" s="0" t="n">
        <v>667.58</v>
      </c>
      <c r="J61" s="0" t="n">
        <v>4.27</v>
      </c>
      <c r="K61" s="0" t="n">
        <v>651.12</v>
      </c>
      <c r="L61" s="0" t="n">
        <v>645.89</v>
      </c>
      <c r="M61" s="0" t="n">
        <v>639.47</v>
      </c>
      <c r="N61" s="0" t="n">
        <v>631.38</v>
      </c>
      <c r="O61" s="0" t="n">
        <v>621.1</v>
      </c>
      <c r="P61" s="0" t="n">
        <v>613.11</v>
      </c>
      <c r="Q61" s="0" t="n">
        <v>4.98</v>
      </c>
      <c r="R61" s="0" t="n">
        <v>5.21</v>
      </c>
      <c r="S61" s="0" t="n">
        <v>4.74</v>
      </c>
      <c r="T61" s="0" t="n">
        <v>4.63</v>
      </c>
      <c r="U61" s="0" t="n">
        <v>4.32</v>
      </c>
      <c r="V61" s="0" t="n">
        <v>4.66</v>
      </c>
      <c r="W61" s="0" t="n">
        <v>3.82</v>
      </c>
      <c r="X61" s="0" t="n">
        <v>3.78</v>
      </c>
      <c r="Y61" s="0" t="n">
        <v>1.49</v>
      </c>
      <c r="AA61" s="0" t="n">
        <v>2.91</v>
      </c>
      <c r="AB61" s="0" t="n">
        <v>3.38</v>
      </c>
      <c r="AC61" s="0" t="n">
        <v>4.53</v>
      </c>
      <c r="AD61" s="0" t="n">
        <v>14.22</v>
      </c>
      <c r="AE61" s="0" t="n">
        <v>14.48</v>
      </c>
      <c r="AF61" s="0" t="n">
        <v>3.53</v>
      </c>
      <c r="AG61" s="0" t="n">
        <v>0.7</v>
      </c>
      <c r="AH61" s="0" t="n">
        <v>12.64</v>
      </c>
      <c r="AI61" s="0" t="n">
        <v>15.76</v>
      </c>
      <c r="AJ61" s="0" t="n">
        <v>7.8</v>
      </c>
      <c r="AK61" s="0" t="n">
        <v>7.05</v>
      </c>
      <c r="AL61" s="0" t="n">
        <v>9.03</v>
      </c>
      <c r="AM61" s="0" t="n">
        <v>9.58</v>
      </c>
      <c r="AN61" s="0" t="n">
        <v>11.17</v>
      </c>
      <c r="AP61" s="0" t="n">
        <v>12.28</v>
      </c>
      <c r="AQ61" s="0" t="n">
        <v>9.99</v>
      </c>
      <c r="AR61" s="0" t="n">
        <v>6.89</v>
      </c>
      <c r="AS61" s="0" t="n">
        <v>9.84</v>
      </c>
      <c r="AT61" s="0" t="n">
        <v>3.03</v>
      </c>
      <c r="AU61" s="0" t="n">
        <v>9.14</v>
      </c>
    </row>
    <row r="62" customFormat="false" ht="14.25" hidden="false" customHeight="false" outlineLevel="0" collapsed="false">
      <c r="A62" s="0" t="n">
        <v>12.15</v>
      </c>
      <c r="B62" s="0" t="n">
        <v>4.04</v>
      </c>
      <c r="C62" s="0" t="n">
        <v>6.5</v>
      </c>
      <c r="D62" s="0" t="n">
        <v>9.66</v>
      </c>
      <c r="E62" s="0" t="n">
        <v>3.74</v>
      </c>
      <c r="F62" s="0" t="n">
        <v>19.94</v>
      </c>
      <c r="G62" s="0" t="n">
        <v>16.07</v>
      </c>
      <c r="H62" s="0" t="n">
        <v>2.93</v>
      </c>
      <c r="I62" s="0" t="n">
        <v>667.58</v>
      </c>
      <c r="J62" s="0" t="n">
        <v>4.28</v>
      </c>
      <c r="K62" s="0" t="n">
        <v>651.12</v>
      </c>
      <c r="L62" s="0" t="n">
        <v>645.88</v>
      </c>
      <c r="M62" s="0" t="n">
        <v>639.5</v>
      </c>
      <c r="N62" s="0" t="n">
        <v>631.38</v>
      </c>
      <c r="O62" s="0" t="n">
        <v>621.1</v>
      </c>
      <c r="P62" s="0" t="n">
        <v>613.12</v>
      </c>
      <c r="Q62" s="0" t="n">
        <v>4.98</v>
      </c>
      <c r="R62" s="0" t="n">
        <v>5.21</v>
      </c>
      <c r="S62" s="0" t="n">
        <v>4.75</v>
      </c>
      <c r="T62" s="0" t="n">
        <v>4.59</v>
      </c>
      <c r="U62" s="0" t="n">
        <v>4.31</v>
      </c>
      <c r="V62" s="0" t="n">
        <v>4.65</v>
      </c>
      <c r="W62" s="0" t="n">
        <v>3.84</v>
      </c>
      <c r="X62" s="0" t="n">
        <v>3.77</v>
      </c>
      <c r="Y62" s="0" t="n">
        <v>1.48</v>
      </c>
      <c r="AA62" s="0" t="n">
        <v>2.72</v>
      </c>
      <c r="AB62" s="0" t="n">
        <v>3.38</v>
      </c>
      <c r="AC62" s="0" t="n">
        <v>4.55</v>
      </c>
      <c r="AD62" s="0" t="n">
        <v>14.21</v>
      </c>
      <c r="AE62" s="0" t="n">
        <v>14.46</v>
      </c>
      <c r="AF62" s="0" t="n">
        <v>3.52</v>
      </c>
      <c r="AG62" s="0" t="n">
        <v>0.73</v>
      </c>
      <c r="AH62" s="0" t="n">
        <v>12.64</v>
      </c>
      <c r="AI62" s="0" t="n">
        <v>15.75</v>
      </c>
      <c r="AJ62" s="0" t="n">
        <v>7.77</v>
      </c>
      <c r="AK62" s="0" t="n">
        <v>7.05</v>
      </c>
      <c r="AL62" s="0" t="n">
        <v>9.03</v>
      </c>
      <c r="AM62" s="0" t="n">
        <v>9.5</v>
      </c>
      <c r="AN62" s="0" t="n">
        <v>11.25</v>
      </c>
      <c r="AP62" s="0" t="n">
        <v>12.28</v>
      </c>
      <c r="AQ62" s="0" t="n">
        <v>9.99</v>
      </c>
      <c r="AR62" s="0" t="n">
        <v>6.82</v>
      </c>
      <c r="AS62" s="0" t="n">
        <v>9.74</v>
      </c>
      <c r="AT62" s="0" t="n">
        <v>2.95</v>
      </c>
      <c r="AU62" s="0" t="n">
        <v>9.16</v>
      </c>
    </row>
    <row r="63" customFormat="false" ht="14.25" hidden="false" customHeight="false" outlineLevel="0" collapsed="false">
      <c r="A63" s="0" t="n">
        <v>12.08</v>
      </c>
      <c r="B63" s="0" t="n">
        <v>4.06</v>
      </c>
      <c r="C63" s="0" t="n">
        <v>6.5</v>
      </c>
      <c r="D63" s="0" t="n">
        <v>9.65</v>
      </c>
      <c r="E63" s="0" t="n">
        <v>3.71</v>
      </c>
      <c r="F63" s="0" t="n">
        <v>19.93</v>
      </c>
      <c r="G63" s="0" t="n">
        <v>16.09</v>
      </c>
      <c r="H63" s="0" t="n">
        <v>2.92</v>
      </c>
      <c r="I63" s="0" t="n">
        <v>667.6</v>
      </c>
      <c r="J63" s="0" t="n">
        <v>4.28</v>
      </c>
      <c r="K63" s="0" t="n">
        <v>651.12</v>
      </c>
      <c r="L63" s="0" t="n">
        <v>645.96</v>
      </c>
      <c r="M63" s="0" t="n">
        <v>639.47</v>
      </c>
      <c r="N63" s="0" t="n">
        <v>631.38</v>
      </c>
      <c r="O63" s="0" t="n">
        <v>621.12</v>
      </c>
      <c r="P63" s="0" t="n">
        <v>613.14</v>
      </c>
      <c r="Q63" s="0" t="n">
        <v>4.98</v>
      </c>
      <c r="R63" s="0" t="n">
        <v>5.22</v>
      </c>
      <c r="S63" s="0" t="n">
        <v>4.75</v>
      </c>
      <c r="T63" s="0" t="n">
        <v>4.6</v>
      </c>
      <c r="U63" s="0" t="n">
        <v>4.31</v>
      </c>
      <c r="V63" s="0" t="n">
        <v>4.66</v>
      </c>
      <c r="W63" s="0" t="n">
        <v>3.83</v>
      </c>
      <c r="X63" s="0" t="n">
        <v>3.78</v>
      </c>
      <c r="Y63" s="0" t="n">
        <v>1.48</v>
      </c>
      <c r="AA63" s="0" t="n">
        <v>2.77</v>
      </c>
      <c r="AB63" s="0" t="n">
        <v>3.37</v>
      </c>
      <c r="AC63" s="0" t="n">
        <v>4.55</v>
      </c>
      <c r="AD63" s="0" t="n">
        <v>14.2</v>
      </c>
      <c r="AE63" s="0" t="n">
        <v>14.45</v>
      </c>
      <c r="AF63" s="0" t="n">
        <v>3.49</v>
      </c>
      <c r="AG63" s="0" t="n">
        <v>0.79</v>
      </c>
      <c r="AH63" s="0" t="n">
        <v>12.63</v>
      </c>
      <c r="AI63" s="0" t="n">
        <v>15.75</v>
      </c>
      <c r="AJ63" s="0" t="n">
        <v>7.76</v>
      </c>
      <c r="AK63" s="0" t="n">
        <v>7.06</v>
      </c>
      <c r="AL63" s="0" t="n">
        <v>9.04</v>
      </c>
      <c r="AM63" s="0" t="n">
        <v>9.6</v>
      </c>
      <c r="AN63" s="0" t="n">
        <v>11.24</v>
      </c>
      <c r="AP63" s="0" t="n">
        <v>12.26</v>
      </c>
      <c r="AQ63" s="0" t="n">
        <v>9.97</v>
      </c>
      <c r="AR63" s="0" t="n">
        <v>6.75</v>
      </c>
      <c r="AS63" s="0" t="n">
        <v>9.63</v>
      </c>
      <c r="AT63" s="0" t="n">
        <v>2.86</v>
      </c>
      <c r="AU63" s="0" t="n">
        <v>9.17</v>
      </c>
    </row>
    <row r="64" customFormat="false" ht="14.25" hidden="false" customHeight="false" outlineLevel="0" collapsed="false">
      <c r="A64" s="0" t="n">
        <v>12.05</v>
      </c>
      <c r="B64" s="0" t="n">
        <v>4.06</v>
      </c>
      <c r="C64" s="0" t="n">
        <v>6.5</v>
      </c>
      <c r="D64" s="0" t="n">
        <v>9.66</v>
      </c>
      <c r="E64" s="0" t="n">
        <v>3.77</v>
      </c>
      <c r="F64" s="0" t="n">
        <v>19.94</v>
      </c>
      <c r="G64" s="0" t="n">
        <v>16.07</v>
      </c>
      <c r="H64" s="0" t="n">
        <v>2.93</v>
      </c>
      <c r="I64" s="0" t="n">
        <v>667.62</v>
      </c>
      <c r="J64" s="0" t="n">
        <v>4.29</v>
      </c>
      <c r="K64" s="0" t="n">
        <v>651.13</v>
      </c>
      <c r="L64" s="0" t="n">
        <v>645.9</v>
      </c>
      <c r="M64" s="0" t="n">
        <v>639.46</v>
      </c>
      <c r="N64" s="0" t="n">
        <v>631.38</v>
      </c>
      <c r="O64" s="0" t="n">
        <v>621.13</v>
      </c>
      <c r="P64" s="0" t="n">
        <v>613.13</v>
      </c>
      <c r="Q64" s="0" t="n">
        <v>4.97</v>
      </c>
      <c r="R64" s="0" t="n">
        <v>5.21</v>
      </c>
      <c r="S64" s="0" t="n">
        <v>4.53</v>
      </c>
      <c r="T64" s="0" t="n">
        <v>4.59</v>
      </c>
      <c r="U64" s="0" t="n">
        <v>4.31</v>
      </c>
      <c r="V64" s="0" t="n">
        <v>4.66</v>
      </c>
      <c r="W64" s="0" t="n">
        <v>3.82</v>
      </c>
      <c r="X64" s="0" t="n">
        <v>3.77</v>
      </c>
      <c r="Y64" s="0" t="n">
        <v>1.49</v>
      </c>
      <c r="AB64" s="0" t="n">
        <v>3.39</v>
      </c>
      <c r="AC64" s="0" t="n">
        <v>4.55</v>
      </c>
      <c r="AD64" s="0" t="n">
        <v>14.2</v>
      </c>
      <c r="AE64" s="0" t="n">
        <v>14.45</v>
      </c>
      <c r="AF64" s="0" t="n">
        <v>3.46</v>
      </c>
      <c r="AG64" s="0" t="n">
        <v>0.76</v>
      </c>
      <c r="AH64" s="0" t="n">
        <v>12.63</v>
      </c>
      <c r="AI64" s="0" t="n">
        <v>15.74</v>
      </c>
      <c r="AJ64" s="0" t="n">
        <v>7.73</v>
      </c>
      <c r="AK64" s="0" t="n">
        <v>7.07</v>
      </c>
      <c r="AL64" s="0" t="n">
        <v>9.01</v>
      </c>
      <c r="AM64" s="0" t="n">
        <v>9.66</v>
      </c>
      <c r="AN64" s="0" t="n">
        <v>11.22</v>
      </c>
      <c r="AP64" s="0" t="n">
        <v>12.23</v>
      </c>
      <c r="AQ64" s="0" t="n">
        <v>9.95</v>
      </c>
      <c r="AR64" s="0" t="n">
        <v>6.65</v>
      </c>
      <c r="AS64" s="0" t="n">
        <v>9.55</v>
      </c>
      <c r="AT64" s="0" t="n">
        <v>2.79</v>
      </c>
      <c r="AU64" s="0" t="n">
        <v>9.19</v>
      </c>
    </row>
    <row r="65" customFormat="false" ht="14.25" hidden="false" customHeight="false" outlineLevel="0" collapsed="false">
      <c r="A65" s="0" t="n">
        <v>12.04</v>
      </c>
      <c r="B65" s="0" t="n">
        <v>4.07</v>
      </c>
      <c r="C65" s="0" t="n">
        <v>6.5</v>
      </c>
      <c r="D65" s="0" t="n">
        <v>9.64</v>
      </c>
      <c r="E65" s="0" t="n">
        <v>3.73</v>
      </c>
      <c r="F65" s="0" t="n">
        <v>19.93</v>
      </c>
      <c r="G65" s="0" t="n">
        <v>16.06</v>
      </c>
      <c r="H65" s="0" t="n">
        <v>2.92</v>
      </c>
      <c r="I65" s="0" t="n">
        <v>667.6</v>
      </c>
      <c r="J65" s="0" t="n">
        <v>4.27</v>
      </c>
      <c r="K65" s="0" t="n">
        <v>651.11</v>
      </c>
      <c r="L65" s="0" t="n">
        <v>645.96</v>
      </c>
      <c r="M65" s="0" t="n">
        <v>639.45</v>
      </c>
      <c r="N65" s="0" t="n">
        <v>631.39</v>
      </c>
      <c r="O65" s="0" t="n">
        <v>621.12</v>
      </c>
      <c r="P65" s="0" t="n">
        <v>613.16</v>
      </c>
      <c r="Q65" s="0" t="n">
        <v>5</v>
      </c>
      <c r="R65" s="0" t="n">
        <v>5.21</v>
      </c>
      <c r="S65" s="0" t="n">
        <v>4.75</v>
      </c>
      <c r="T65" s="0" t="n">
        <v>4.58</v>
      </c>
      <c r="U65" s="0" t="n">
        <v>4.31</v>
      </c>
      <c r="V65" s="0" t="n">
        <v>4.66</v>
      </c>
      <c r="W65" s="0" t="n">
        <v>3.83</v>
      </c>
      <c r="X65" s="0" t="n">
        <v>3.78</v>
      </c>
      <c r="Y65" s="0" t="n">
        <v>1.5</v>
      </c>
      <c r="AB65" s="0" t="n">
        <v>3.37</v>
      </c>
      <c r="AC65" s="0" t="n">
        <v>4.52</v>
      </c>
      <c r="AD65" s="0" t="n">
        <v>14.2</v>
      </c>
      <c r="AE65" s="0" t="n">
        <v>14.46</v>
      </c>
      <c r="AF65" s="0" t="n">
        <v>3.43</v>
      </c>
      <c r="AG65" s="0" t="n">
        <v>0.77</v>
      </c>
      <c r="AH65" s="0" t="n">
        <v>12.63</v>
      </c>
      <c r="AI65" s="0" t="n">
        <v>15.73</v>
      </c>
      <c r="AJ65" s="0" t="n">
        <v>7.74</v>
      </c>
      <c r="AK65" s="0" t="n">
        <v>7.06</v>
      </c>
      <c r="AL65" s="0" t="n">
        <v>9.04</v>
      </c>
      <c r="AM65" s="0" t="n">
        <v>9.59</v>
      </c>
      <c r="AN65" s="0" t="n">
        <v>11.21</v>
      </c>
      <c r="AP65" s="0" t="n">
        <v>12.23</v>
      </c>
      <c r="AQ65" s="0" t="n">
        <v>9.95</v>
      </c>
      <c r="AR65" s="0" t="n">
        <v>6.6</v>
      </c>
      <c r="AS65" s="0" t="n">
        <v>9.52</v>
      </c>
      <c r="AT65" s="0" t="n">
        <v>2.73</v>
      </c>
      <c r="AU65" s="0" t="n">
        <v>9.18</v>
      </c>
    </row>
    <row r="66" customFormat="false" ht="14.25" hidden="false" customHeight="false" outlineLevel="0" collapsed="false">
      <c r="A66" s="0" t="n">
        <v>12.02</v>
      </c>
      <c r="B66" s="0" t="n">
        <v>4.1</v>
      </c>
      <c r="C66" s="0" t="n">
        <v>6.51</v>
      </c>
      <c r="D66" s="0" t="n">
        <v>9.65</v>
      </c>
      <c r="E66" s="0" t="n">
        <v>3.73</v>
      </c>
      <c r="F66" s="0" t="n">
        <v>19.94</v>
      </c>
      <c r="G66" s="0" t="n">
        <v>16.06</v>
      </c>
      <c r="H66" s="0" t="n">
        <v>2.92</v>
      </c>
      <c r="I66" s="0" t="n">
        <v>667.62</v>
      </c>
      <c r="J66" s="0" t="n">
        <v>4.29</v>
      </c>
      <c r="K66" s="0" t="n">
        <v>651.14</v>
      </c>
      <c r="L66" s="0" t="n">
        <v>645.91</v>
      </c>
      <c r="M66" s="0" t="n">
        <v>639.47</v>
      </c>
      <c r="N66" s="0" t="n">
        <v>631.38</v>
      </c>
      <c r="O66" s="0" t="n">
        <v>621.14</v>
      </c>
      <c r="P66" s="0" t="n">
        <v>613.16</v>
      </c>
      <c r="Q66" s="0" t="n">
        <v>4.97</v>
      </c>
      <c r="R66" s="0" t="n">
        <v>5.2</v>
      </c>
      <c r="S66" s="0" t="n">
        <v>4.75</v>
      </c>
      <c r="T66" s="0" t="n">
        <v>4.59</v>
      </c>
      <c r="U66" s="0" t="n">
        <v>4.3</v>
      </c>
      <c r="V66" s="0" t="n">
        <v>4.66</v>
      </c>
      <c r="W66" s="0" t="n">
        <v>3.87</v>
      </c>
      <c r="X66" s="0" t="n">
        <v>3.78</v>
      </c>
      <c r="Y66" s="0" t="n">
        <v>1.52</v>
      </c>
      <c r="AB66" s="0" t="n">
        <v>3.42</v>
      </c>
      <c r="AC66" s="0" t="n">
        <v>4.52</v>
      </c>
      <c r="AD66" s="0" t="n">
        <v>14.2</v>
      </c>
      <c r="AE66" s="0" t="n">
        <v>14.45</v>
      </c>
      <c r="AF66" s="0" t="n">
        <v>3.48</v>
      </c>
      <c r="AG66" s="0" t="n">
        <v>0.76</v>
      </c>
      <c r="AH66" s="0" t="n">
        <v>12.63</v>
      </c>
      <c r="AI66" s="0" t="n">
        <v>15.73</v>
      </c>
      <c r="AJ66" s="0" t="n">
        <v>7.71</v>
      </c>
      <c r="AK66" s="0" t="n">
        <v>7.06</v>
      </c>
      <c r="AL66" s="0" t="n">
        <v>9.02</v>
      </c>
      <c r="AM66" s="0" t="n">
        <v>9.63</v>
      </c>
      <c r="AN66" s="0" t="n">
        <v>11.19</v>
      </c>
      <c r="AP66" s="0" t="n">
        <v>12.21</v>
      </c>
      <c r="AQ66" s="0" t="n">
        <v>9.94</v>
      </c>
      <c r="AR66" s="0" t="n">
        <v>6.53</v>
      </c>
      <c r="AS66" s="0" t="n">
        <v>9.37</v>
      </c>
      <c r="AT66" s="0" t="n">
        <v>2.68</v>
      </c>
      <c r="AU66" s="0" t="n">
        <v>9.19</v>
      </c>
    </row>
    <row r="67" customFormat="false" ht="14.25" hidden="false" customHeight="false" outlineLevel="0" collapsed="false">
      <c r="A67" s="0" t="n">
        <v>12.02</v>
      </c>
      <c r="B67" s="0" t="n">
        <v>4.09</v>
      </c>
      <c r="C67" s="0" t="n">
        <v>6.51</v>
      </c>
      <c r="D67" s="0" t="n">
        <v>9.66</v>
      </c>
      <c r="E67" s="0" t="n">
        <v>3.73</v>
      </c>
      <c r="F67" s="0" t="n">
        <v>19.92</v>
      </c>
      <c r="G67" s="0" t="n">
        <v>16.06</v>
      </c>
      <c r="H67" s="0" t="n">
        <v>2.92</v>
      </c>
      <c r="I67" s="0" t="n">
        <v>667.61</v>
      </c>
      <c r="J67" s="0" t="n">
        <v>4.28</v>
      </c>
      <c r="K67" s="0" t="n">
        <v>651.15</v>
      </c>
      <c r="L67" s="0" t="n">
        <v>645.89</v>
      </c>
      <c r="M67" s="0" t="n">
        <v>639.46</v>
      </c>
      <c r="N67" s="0" t="n">
        <v>631.38</v>
      </c>
      <c r="O67" s="0" t="n">
        <v>621.12</v>
      </c>
      <c r="P67" s="0" t="n">
        <v>613.16</v>
      </c>
      <c r="Q67" s="0" t="n">
        <v>4.97</v>
      </c>
      <c r="R67" s="0" t="n">
        <v>5.21</v>
      </c>
      <c r="S67" s="0" t="n">
        <v>4.74</v>
      </c>
      <c r="T67" s="0" t="n">
        <v>4.59</v>
      </c>
      <c r="U67" s="0" t="n">
        <v>4.29</v>
      </c>
      <c r="V67" s="0" t="n">
        <v>4.66</v>
      </c>
      <c r="W67" s="0" t="n">
        <v>3.84</v>
      </c>
      <c r="X67" s="0" t="n">
        <v>3.78</v>
      </c>
      <c r="Y67" s="0" t="n">
        <v>1.54</v>
      </c>
      <c r="AB67" s="0" t="n">
        <v>3.36</v>
      </c>
      <c r="AC67" s="0" t="n">
        <v>4.53</v>
      </c>
      <c r="AD67" s="0" t="n">
        <v>14.2</v>
      </c>
      <c r="AE67" s="0" t="n">
        <v>14.46</v>
      </c>
      <c r="AF67" s="0" t="n">
        <v>3.52</v>
      </c>
      <c r="AG67" s="0" t="n">
        <v>0.74</v>
      </c>
      <c r="AH67" s="0" t="n">
        <v>12.62</v>
      </c>
      <c r="AI67" s="0" t="n">
        <v>15.73</v>
      </c>
      <c r="AJ67" s="0" t="n">
        <v>7.79</v>
      </c>
      <c r="AK67" s="0" t="n">
        <v>7.06</v>
      </c>
      <c r="AL67" s="0" t="n">
        <v>9.01</v>
      </c>
      <c r="AM67" s="0" t="n">
        <v>9.61</v>
      </c>
      <c r="AN67" s="0" t="n">
        <v>11.24</v>
      </c>
      <c r="AP67" s="0" t="n">
        <v>12.2</v>
      </c>
      <c r="AQ67" s="0" t="n">
        <v>9.92</v>
      </c>
      <c r="AR67" s="0" t="n">
        <v>6.47</v>
      </c>
      <c r="AS67" s="0" t="n">
        <v>9.32</v>
      </c>
      <c r="AT67" s="0" t="n">
        <v>2.61</v>
      </c>
      <c r="AU67" s="0" t="n">
        <v>9.19</v>
      </c>
    </row>
    <row r="68" customFormat="false" ht="14.25" hidden="false" customHeight="false" outlineLevel="0" collapsed="false">
      <c r="A68" s="0" t="n">
        <v>11.99</v>
      </c>
      <c r="B68" s="0" t="n">
        <v>4.1</v>
      </c>
      <c r="C68" s="0" t="n">
        <v>6.52</v>
      </c>
      <c r="D68" s="0" t="n">
        <v>9.66</v>
      </c>
      <c r="E68" s="0" t="n">
        <v>3.72</v>
      </c>
      <c r="F68" s="0" t="n">
        <v>19.93</v>
      </c>
      <c r="G68" s="0" t="n">
        <v>16.05</v>
      </c>
      <c r="H68" s="0" t="n">
        <v>2.92</v>
      </c>
      <c r="I68" s="0" t="n">
        <v>667.61</v>
      </c>
      <c r="J68" s="0" t="n">
        <v>4.3</v>
      </c>
      <c r="K68" s="0" t="n">
        <v>651.13</v>
      </c>
      <c r="L68" s="0" t="n">
        <v>645.89</v>
      </c>
      <c r="M68" s="0" t="n">
        <v>639.46</v>
      </c>
      <c r="N68" s="0" t="n">
        <v>631.38</v>
      </c>
      <c r="O68" s="0" t="n">
        <v>621.12</v>
      </c>
      <c r="P68" s="0" t="n">
        <v>613.18</v>
      </c>
      <c r="Q68" s="0" t="n">
        <v>4.97</v>
      </c>
      <c r="R68" s="0" t="n">
        <v>5.21</v>
      </c>
      <c r="S68" s="0" t="n">
        <v>4.75</v>
      </c>
      <c r="T68" s="0" t="n">
        <v>4.59</v>
      </c>
      <c r="U68" s="0" t="n">
        <v>4.09</v>
      </c>
      <c r="V68" s="0" t="n">
        <v>4.66</v>
      </c>
      <c r="W68" s="0" t="n">
        <v>3.82</v>
      </c>
      <c r="X68" s="0" t="n">
        <v>3.78</v>
      </c>
      <c r="Y68" s="0" t="n">
        <v>1.53</v>
      </c>
      <c r="AB68" s="0" t="n">
        <v>3.37</v>
      </c>
      <c r="AC68" s="0" t="n">
        <v>4.53</v>
      </c>
      <c r="AD68" s="0" t="n">
        <v>14.23</v>
      </c>
      <c r="AE68" s="0" t="n">
        <v>14.45</v>
      </c>
      <c r="AF68" s="0" t="n">
        <v>3.59</v>
      </c>
      <c r="AG68" s="0" t="n">
        <v>0.79</v>
      </c>
      <c r="AH68" s="0" t="n">
        <v>12.63</v>
      </c>
      <c r="AI68" s="0" t="n">
        <v>15.73</v>
      </c>
      <c r="AJ68" s="0" t="n">
        <v>7.79</v>
      </c>
      <c r="AK68" s="0" t="n">
        <v>7.09</v>
      </c>
      <c r="AL68" s="0" t="n">
        <v>9.01</v>
      </c>
      <c r="AM68" s="0" t="n">
        <v>9.58</v>
      </c>
      <c r="AN68" s="0" t="n">
        <v>11.27</v>
      </c>
      <c r="AP68" s="0" t="n">
        <v>12.24</v>
      </c>
      <c r="AQ68" s="0" t="n">
        <v>9.91</v>
      </c>
      <c r="AR68" s="0" t="n">
        <v>6.4</v>
      </c>
      <c r="AS68" s="0" t="n">
        <v>9.19</v>
      </c>
      <c r="AT68" s="0" t="n">
        <v>2.56</v>
      </c>
      <c r="AU68" s="0" t="n">
        <v>9.19</v>
      </c>
    </row>
    <row r="69" customFormat="false" ht="14.25" hidden="false" customHeight="false" outlineLevel="0" collapsed="false">
      <c r="A69" s="0" t="n">
        <v>11.98</v>
      </c>
      <c r="B69" s="0" t="n">
        <v>4.12</v>
      </c>
      <c r="C69" s="0" t="n">
        <v>6.52</v>
      </c>
      <c r="D69" s="0" t="n">
        <v>9.65</v>
      </c>
      <c r="E69" s="0" t="n">
        <v>3.69</v>
      </c>
      <c r="F69" s="0" t="n">
        <v>19.91</v>
      </c>
      <c r="G69" s="0" t="n">
        <v>16.04</v>
      </c>
      <c r="H69" s="0" t="n">
        <v>2.92</v>
      </c>
      <c r="I69" s="0" t="n">
        <v>667.58</v>
      </c>
      <c r="J69" s="0" t="n">
        <v>4.28</v>
      </c>
      <c r="K69" s="0" t="n">
        <v>651.14</v>
      </c>
      <c r="L69" s="0" t="n">
        <v>645.89</v>
      </c>
      <c r="M69" s="0" t="n">
        <v>639.46</v>
      </c>
      <c r="N69" s="0" t="n">
        <v>631.38</v>
      </c>
      <c r="O69" s="0" t="n">
        <v>621.12</v>
      </c>
      <c r="P69" s="0" t="n">
        <v>613.16</v>
      </c>
      <c r="Q69" s="0" t="n">
        <v>4.96</v>
      </c>
      <c r="R69" s="0" t="n">
        <v>5.21</v>
      </c>
      <c r="S69" s="0" t="n">
        <v>4.75</v>
      </c>
      <c r="T69" s="0" t="n">
        <v>4.58</v>
      </c>
      <c r="U69" s="0" t="n">
        <v>4.36</v>
      </c>
      <c r="V69" s="0" t="n">
        <v>4.66</v>
      </c>
      <c r="W69" s="0" t="n">
        <v>3.82</v>
      </c>
      <c r="X69" s="0" t="n">
        <v>3.77</v>
      </c>
      <c r="Y69" s="0" t="n">
        <v>1.52</v>
      </c>
      <c r="AB69" s="0" t="n">
        <v>3.38</v>
      </c>
      <c r="AC69" s="0" t="n">
        <v>4.53</v>
      </c>
      <c r="AD69" s="0" t="n">
        <v>14.22</v>
      </c>
      <c r="AE69" s="0" t="n">
        <v>14.48</v>
      </c>
      <c r="AF69" s="0" t="n">
        <v>3.5</v>
      </c>
      <c r="AG69" s="0" t="n">
        <v>0.71</v>
      </c>
      <c r="AH69" s="0" t="n">
        <v>12.63</v>
      </c>
      <c r="AI69" s="0" t="n">
        <v>15.73</v>
      </c>
      <c r="AJ69" s="0" t="n">
        <v>7.77</v>
      </c>
      <c r="AK69" s="0" t="n">
        <v>7.08</v>
      </c>
      <c r="AL69" s="0" t="n">
        <v>9.01</v>
      </c>
      <c r="AM69" s="0" t="n">
        <v>9.57</v>
      </c>
      <c r="AN69" s="0" t="n">
        <v>11.22</v>
      </c>
      <c r="AP69" s="0" t="n">
        <v>12.22</v>
      </c>
      <c r="AQ69" s="0" t="n">
        <v>9.88</v>
      </c>
      <c r="AR69" s="0" t="n">
        <v>6.35</v>
      </c>
      <c r="AS69" s="0" t="n">
        <v>9.05</v>
      </c>
      <c r="AT69" s="0" t="n">
        <v>2.53</v>
      </c>
      <c r="AU69" s="0" t="n">
        <v>9.21</v>
      </c>
    </row>
    <row r="70" customFormat="false" ht="14.25" hidden="false" customHeight="false" outlineLevel="0" collapsed="false">
      <c r="A70" s="0" t="n">
        <v>11.99</v>
      </c>
      <c r="B70" s="0" t="n">
        <v>4.13</v>
      </c>
      <c r="C70" s="0" t="n">
        <v>6.52</v>
      </c>
      <c r="D70" s="0" t="n">
        <v>9.66</v>
      </c>
      <c r="E70" s="0" t="n">
        <v>3.7</v>
      </c>
      <c r="F70" s="0" t="n">
        <v>19.91</v>
      </c>
      <c r="G70" s="0" t="n">
        <v>16.04</v>
      </c>
      <c r="H70" s="0" t="n">
        <v>2.92</v>
      </c>
      <c r="I70" s="0" t="n">
        <v>667.58</v>
      </c>
      <c r="J70" s="0" t="n">
        <v>4.27</v>
      </c>
      <c r="K70" s="0" t="n">
        <v>651.14</v>
      </c>
      <c r="L70" s="0" t="n">
        <v>645.93</v>
      </c>
      <c r="M70" s="0" t="n">
        <v>639.47</v>
      </c>
      <c r="N70" s="0" t="n">
        <v>631.38</v>
      </c>
      <c r="O70" s="0" t="n">
        <v>621.12</v>
      </c>
      <c r="P70" s="0" t="n">
        <v>613.12</v>
      </c>
      <c r="Q70" s="0" t="n">
        <v>4.96</v>
      </c>
      <c r="R70" s="0" t="n">
        <v>5.2</v>
      </c>
      <c r="S70" s="0" t="n">
        <v>4.73</v>
      </c>
      <c r="T70" s="0" t="n">
        <v>4.58</v>
      </c>
      <c r="U70" s="0" t="n">
        <v>4.33</v>
      </c>
      <c r="V70" s="0" t="n">
        <v>4.67</v>
      </c>
      <c r="W70" s="0" t="n">
        <v>3.78</v>
      </c>
      <c r="X70" s="0" t="n">
        <v>3.77</v>
      </c>
      <c r="Y70" s="0" t="n">
        <v>1.62</v>
      </c>
      <c r="AB70" s="0" t="n">
        <v>3.39</v>
      </c>
      <c r="AC70" s="0" t="n">
        <v>4.53</v>
      </c>
      <c r="AD70" s="0" t="n">
        <v>14.2</v>
      </c>
      <c r="AE70" s="0" t="n">
        <v>14.44</v>
      </c>
      <c r="AF70" s="0" t="n">
        <v>3.56</v>
      </c>
      <c r="AG70" s="0" t="n">
        <v>0.8</v>
      </c>
      <c r="AH70" s="0" t="n">
        <v>12.63</v>
      </c>
      <c r="AI70" s="0" t="n">
        <v>15.71</v>
      </c>
      <c r="AJ70" s="0" t="n">
        <v>7.81</v>
      </c>
      <c r="AK70" s="0" t="n">
        <v>7.09</v>
      </c>
      <c r="AL70" s="0" t="n">
        <v>9.03</v>
      </c>
      <c r="AM70" s="0" t="n">
        <v>9.55</v>
      </c>
      <c r="AN70" s="0" t="n">
        <v>11.23</v>
      </c>
      <c r="AP70" s="0" t="n">
        <v>12.23</v>
      </c>
      <c r="AQ70" s="0" t="n">
        <v>9.88</v>
      </c>
      <c r="AR70" s="0" t="n">
        <v>6.3</v>
      </c>
      <c r="AS70" s="0" t="n">
        <v>8.88</v>
      </c>
      <c r="AT70" s="0" t="n">
        <v>2.49</v>
      </c>
      <c r="AU70" s="0" t="n">
        <v>9.19</v>
      </c>
    </row>
    <row r="71" customFormat="false" ht="14.25" hidden="false" customHeight="false" outlineLevel="0" collapsed="false">
      <c r="A71" s="0" t="n">
        <v>12.01</v>
      </c>
      <c r="B71" s="0" t="n">
        <v>4.18</v>
      </c>
      <c r="C71" s="0" t="n">
        <v>6.53</v>
      </c>
      <c r="D71" s="0" t="n">
        <v>9.65</v>
      </c>
      <c r="E71" s="0" t="n">
        <v>3.7</v>
      </c>
      <c r="F71" s="0" t="n">
        <v>19.9</v>
      </c>
      <c r="G71" s="0" t="n">
        <v>16.04</v>
      </c>
      <c r="H71" s="0" t="n">
        <v>2.91</v>
      </c>
      <c r="I71" s="0" t="n">
        <v>667.6</v>
      </c>
      <c r="J71" s="0" t="n">
        <v>4.29</v>
      </c>
      <c r="K71" s="0" t="n">
        <v>651.12</v>
      </c>
      <c r="L71" s="0" t="n">
        <v>645.93</v>
      </c>
      <c r="M71" s="0" t="n">
        <v>639.48</v>
      </c>
      <c r="N71" s="0" t="n">
        <v>631.38</v>
      </c>
      <c r="O71" s="0" t="n">
        <v>621.11</v>
      </c>
      <c r="P71" s="0" t="n">
        <v>613.15</v>
      </c>
      <c r="Q71" s="0" t="n">
        <v>4.96</v>
      </c>
      <c r="R71" s="0" t="n">
        <v>5.22</v>
      </c>
      <c r="S71" s="0" t="n">
        <v>4.75</v>
      </c>
      <c r="T71" s="0" t="n">
        <v>4.59</v>
      </c>
      <c r="U71" s="0" t="n">
        <v>4.31</v>
      </c>
      <c r="V71" s="0" t="n">
        <v>4.66</v>
      </c>
      <c r="W71" s="0" t="n">
        <v>3.82</v>
      </c>
      <c r="X71" s="0" t="n">
        <v>3.78</v>
      </c>
      <c r="Y71" s="0" t="n">
        <v>1.58</v>
      </c>
      <c r="AB71" s="0" t="n">
        <v>3.38</v>
      </c>
      <c r="AC71" s="0" t="n">
        <v>4.52</v>
      </c>
      <c r="AD71" s="0" t="n">
        <v>14.23</v>
      </c>
      <c r="AE71" s="0" t="n">
        <v>14.45</v>
      </c>
      <c r="AF71" s="0" t="n">
        <v>3.53</v>
      </c>
      <c r="AG71" s="0" t="n">
        <v>0.76</v>
      </c>
      <c r="AH71" s="0" t="n">
        <v>12.62</v>
      </c>
      <c r="AI71" s="0" t="n">
        <v>15.7</v>
      </c>
      <c r="AJ71" s="0" t="n">
        <v>7.81</v>
      </c>
      <c r="AK71" s="0" t="n">
        <v>7.07</v>
      </c>
      <c r="AL71" s="0" t="n">
        <v>9.03</v>
      </c>
      <c r="AM71" s="0" t="n">
        <v>9.57</v>
      </c>
      <c r="AN71" s="0" t="n">
        <v>11.19</v>
      </c>
      <c r="AP71" s="0" t="n">
        <v>12.22</v>
      </c>
      <c r="AQ71" s="0" t="n">
        <v>9.87</v>
      </c>
      <c r="AR71" s="0" t="n">
        <v>6.22</v>
      </c>
      <c r="AS71" s="0" t="n">
        <v>8.77</v>
      </c>
      <c r="AT71" s="0" t="n">
        <v>2.46</v>
      </c>
      <c r="AU71" s="0" t="n">
        <v>9.21</v>
      </c>
    </row>
    <row r="72" customFormat="false" ht="14.25" hidden="false" customHeight="false" outlineLevel="0" collapsed="false">
      <c r="A72" s="0" t="n">
        <v>11.98</v>
      </c>
      <c r="B72" s="0" t="n">
        <v>4.16</v>
      </c>
      <c r="C72" s="0" t="n">
        <v>6.53</v>
      </c>
      <c r="D72" s="0" t="n">
        <v>9.65</v>
      </c>
      <c r="E72" s="0" t="n">
        <v>3.69</v>
      </c>
      <c r="F72" s="0" t="n">
        <v>19.9</v>
      </c>
      <c r="G72" s="0" t="n">
        <v>16.04</v>
      </c>
      <c r="H72" s="0" t="n">
        <v>2.92</v>
      </c>
      <c r="I72" s="0" t="n">
        <v>667.61</v>
      </c>
      <c r="J72" s="0" t="n">
        <v>4.27</v>
      </c>
      <c r="K72" s="0" t="n">
        <v>651.17</v>
      </c>
      <c r="L72" s="0" t="n">
        <v>645.86</v>
      </c>
      <c r="M72" s="0" t="n">
        <v>639.47</v>
      </c>
      <c r="N72" s="0" t="n">
        <v>631.37</v>
      </c>
      <c r="O72" s="0" t="n">
        <v>621.12</v>
      </c>
      <c r="P72" s="0" t="n">
        <v>613.16</v>
      </c>
      <c r="Q72" s="0" t="n">
        <v>4.96</v>
      </c>
      <c r="R72" s="0" t="n">
        <v>5.21</v>
      </c>
      <c r="S72" s="0" t="n">
        <v>4.75</v>
      </c>
      <c r="T72" s="0" t="n">
        <v>4.61</v>
      </c>
      <c r="U72" s="0" t="n">
        <v>4.2</v>
      </c>
      <c r="V72" s="0" t="n">
        <v>4.67</v>
      </c>
      <c r="W72" s="0" t="n">
        <v>3.82</v>
      </c>
      <c r="X72" s="0" t="n">
        <v>3.78</v>
      </c>
      <c r="Y72" s="0" t="n">
        <v>1.59</v>
      </c>
      <c r="AB72" s="0" t="n">
        <v>3.39</v>
      </c>
      <c r="AC72" s="0" t="n">
        <v>4.51</v>
      </c>
      <c r="AD72" s="0" t="n">
        <v>14.21</v>
      </c>
      <c r="AE72" s="0" t="n">
        <v>14.42</v>
      </c>
      <c r="AF72" s="0" t="n">
        <v>3.5</v>
      </c>
      <c r="AG72" s="0" t="n">
        <v>0.77</v>
      </c>
      <c r="AH72" s="0" t="n">
        <v>12.63</v>
      </c>
      <c r="AI72" s="0" t="n">
        <v>15.66</v>
      </c>
      <c r="AJ72" s="0" t="n">
        <v>7.76</v>
      </c>
      <c r="AK72" s="0" t="n">
        <v>7.08</v>
      </c>
      <c r="AL72" s="0" t="n">
        <v>9.03</v>
      </c>
      <c r="AM72" s="0" t="n">
        <v>9.54</v>
      </c>
      <c r="AN72" s="0" t="n">
        <v>11.25</v>
      </c>
      <c r="AP72" s="0" t="n">
        <v>12.19</v>
      </c>
      <c r="AQ72" s="0" t="n">
        <v>9.85</v>
      </c>
      <c r="AR72" s="0" t="n">
        <v>6.16</v>
      </c>
      <c r="AS72" s="0" t="n">
        <v>8.67</v>
      </c>
      <c r="AT72" s="0" t="n">
        <v>2.42</v>
      </c>
      <c r="AU72" s="0" t="n">
        <v>9.22</v>
      </c>
    </row>
    <row r="73" customFormat="false" ht="14.25" hidden="false" customHeight="false" outlineLevel="0" collapsed="false">
      <c r="A73" s="0" t="n">
        <v>11.98</v>
      </c>
      <c r="B73" s="0" t="n">
        <v>4.17</v>
      </c>
      <c r="C73" s="0" t="n">
        <v>6.54</v>
      </c>
      <c r="D73" s="0" t="n">
        <v>9.65</v>
      </c>
      <c r="E73" s="0" t="n">
        <v>3.68</v>
      </c>
      <c r="F73" s="0" t="n">
        <v>19.89</v>
      </c>
      <c r="G73" s="0" t="n">
        <v>16.02</v>
      </c>
      <c r="H73" s="0" t="n">
        <v>2.92</v>
      </c>
      <c r="I73" s="0" t="n">
        <v>667.62</v>
      </c>
      <c r="J73" s="0" t="n">
        <v>4.27</v>
      </c>
      <c r="K73" s="0" t="n">
        <v>651.14</v>
      </c>
      <c r="L73" s="0" t="n">
        <v>645.92</v>
      </c>
      <c r="M73" s="0" t="n">
        <v>639.48</v>
      </c>
      <c r="N73" s="0" t="n">
        <v>631.37</v>
      </c>
      <c r="O73" s="0" t="n">
        <v>621.12</v>
      </c>
      <c r="P73" s="0" t="n">
        <v>613.16</v>
      </c>
      <c r="Q73" s="0" t="n">
        <v>4.96</v>
      </c>
      <c r="R73" s="0" t="n">
        <v>5.18</v>
      </c>
      <c r="S73" s="0" t="n">
        <v>4.73</v>
      </c>
      <c r="T73" s="0" t="n">
        <v>4.6</v>
      </c>
      <c r="U73" s="0" t="n">
        <v>4.47</v>
      </c>
      <c r="V73" s="0" t="n">
        <v>4.68</v>
      </c>
      <c r="W73" s="0" t="n">
        <v>3.81</v>
      </c>
      <c r="X73" s="0" t="n">
        <v>3.78</v>
      </c>
      <c r="Y73" s="0" t="n">
        <v>1.6</v>
      </c>
      <c r="AB73" s="0" t="n">
        <v>3.39</v>
      </c>
      <c r="AC73" s="0" t="n">
        <v>4.51</v>
      </c>
      <c r="AD73" s="0" t="n">
        <v>14.2</v>
      </c>
      <c r="AE73" s="0" t="n">
        <v>14.43</v>
      </c>
      <c r="AF73" s="0" t="n">
        <v>3.52</v>
      </c>
      <c r="AG73" s="0" t="n">
        <v>0.8</v>
      </c>
      <c r="AH73" s="0" t="n">
        <v>12.62</v>
      </c>
      <c r="AI73" s="0" t="n">
        <v>15.64</v>
      </c>
      <c r="AJ73" s="0" t="n">
        <v>7.78</v>
      </c>
      <c r="AK73" s="0" t="n">
        <v>7.09</v>
      </c>
      <c r="AL73" s="0" t="n">
        <v>9.03</v>
      </c>
      <c r="AM73" s="0" t="n">
        <v>9.54</v>
      </c>
      <c r="AN73" s="0" t="n">
        <v>11.29</v>
      </c>
      <c r="AP73" s="0" t="n">
        <v>12.14</v>
      </c>
      <c r="AQ73" s="0" t="n">
        <v>9.81</v>
      </c>
      <c r="AR73" s="0" t="n">
        <v>6.05</v>
      </c>
      <c r="AS73" s="0" t="n">
        <v>8.53</v>
      </c>
      <c r="AT73" s="0" t="n">
        <v>2.4</v>
      </c>
      <c r="AU73" s="0" t="n">
        <v>9.22</v>
      </c>
    </row>
    <row r="74" customFormat="false" ht="14.25" hidden="false" customHeight="false" outlineLevel="0" collapsed="false">
      <c r="A74" s="0" t="n">
        <v>11.95</v>
      </c>
      <c r="B74" s="0" t="n">
        <v>4.16</v>
      </c>
      <c r="C74" s="0" t="n">
        <v>6.54</v>
      </c>
      <c r="D74" s="0" t="n">
        <v>9.67</v>
      </c>
      <c r="E74" s="0" t="n">
        <v>3.68</v>
      </c>
      <c r="F74" s="0" t="n">
        <v>19.89</v>
      </c>
      <c r="G74" s="0" t="n">
        <v>16.01</v>
      </c>
      <c r="H74" s="0" t="n">
        <v>2.91</v>
      </c>
      <c r="I74" s="0" t="n">
        <v>667.61</v>
      </c>
      <c r="J74" s="0" t="n">
        <v>4.27</v>
      </c>
      <c r="K74" s="0" t="n">
        <v>651.18</v>
      </c>
      <c r="L74" s="0" t="n">
        <v>645.91</v>
      </c>
      <c r="M74" s="0" t="n">
        <v>639.46</v>
      </c>
      <c r="N74" s="0" t="n">
        <v>631.36</v>
      </c>
      <c r="O74" s="0" t="n">
        <v>621.12</v>
      </c>
      <c r="P74" s="0" t="n">
        <v>613.15</v>
      </c>
      <c r="Q74" s="0" t="n">
        <v>4.96</v>
      </c>
      <c r="R74" s="0" t="n">
        <v>5.23</v>
      </c>
      <c r="S74" s="0" t="n">
        <v>4.74</v>
      </c>
      <c r="T74" s="0" t="n">
        <v>4.6</v>
      </c>
      <c r="U74" s="0" t="n">
        <v>4.31</v>
      </c>
      <c r="V74" s="0" t="n">
        <v>4.68</v>
      </c>
      <c r="W74" s="0" t="n">
        <v>3.81</v>
      </c>
      <c r="X74" s="0" t="n">
        <v>3.79</v>
      </c>
      <c r="Y74" s="0" t="n">
        <v>1.53</v>
      </c>
      <c r="AB74" s="0" t="n">
        <v>3.39</v>
      </c>
      <c r="AC74" s="0" t="n">
        <v>4.53</v>
      </c>
      <c r="AD74" s="0" t="n">
        <v>14.2</v>
      </c>
      <c r="AE74" s="0" t="n">
        <v>14.45</v>
      </c>
      <c r="AF74" s="0" t="n">
        <v>3.55</v>
      </c>
      <c r="AG74" s="0" t="n">
        <v>0.79</v>
      </c>
      <c r="AH74" s="0" t="n">
        <v>12.63</v>
      </c>
      <c r="AI74" s="0" t="n">
        <v>15.61</v>
      </c>
      <c r="AJ74" s="0" t="n">
        <v>7.81</v>
      </c>
      <c r="AK74" s="0" t="n">
        <v>7.09</v>
      </c>
      <c r="AL74" s="0" t="n">
        <v>9.02</v>
      </c>
      <c r="AM74" s="0" t="n">
        <v>9.56</v>
      </c>
      <c r="AN74" s="0" t="n">
        <v>11.32</v>
      </c>
      <c r="AP74" s="0" t="n">
        <v>12.14</v>
      </c>
      <c r="AQ74" s="0" t="n">
        <v>9.81</v>
      </c>
      <c r="AR74" s="0" t="n">
        <v>6.04</v>
      </c>
      <c r="AS74" s="0" t="n">
        <v>8.41</v>
      </c>
      <c r="AT74" s="0" t="n">
        <v>2.37</v>
      </c>
      <c r="AU74" s="0" t="n">
        <v>9.22</v>
      </c>
    </row>
    <row r="75" customFormat="false" ht="14.25" hidden="false" customHeight="false" outlineLevel="0" collapsed="false">
      <c r="A75" s="0" t="n">
        <v>11.92</v>
      </c>
      <c r="B75" s="0" t="n">
        <v>4.17</v>
      </c>
      <c r="C75" s="0" t="n">
        <v>6.54</v>
      </c>
      <c r="D75" s="0" t="n">
        <v>9.67</v>
      </c>
      <c r="E75" s="0" t="n">
        <v>3.65</v>
      </c>
      <c r="F75" s="0" t="n">
        <v>19.89</v>
      </c>
      <c r="G75" s="0" t="n">
        <v>15.99</v>
      </c>
      <c r="H75" s="0" t="n">
        <v>2.91</v>
      </c>
      <c r="I75" s="0" t="n">
        <v>667.62</v>
      </c>
      <c r="J75" s="0" t="n">
        <v>4.26</v>
      </c>
      <c r="K75" s="0" t="n">
        <v>651.15</v>
      </c>
      <c r="L75" s="0" t="n">
        <v>645.91</v>
      </c>
      <c r="M75" s="0" t="n">
        <v>639.48</v>
      </c>
      <c r="N75" s="0" t="n">
        <v>631.38</v>
      </c>
      <c r="O75" s="0" t="n">
        <v>621.12</v>
      </c>
      <c r="P75" s="0" t="n">
        <v>613.17</v>
      </c>
      <c r="Q75" s="0" t="n">
        <v>4.97</v>
      </c>
      <c r="R75" s="0" t="n">
        <v>5.21</v>
      </c>
      <c r="S75" s="0" t="n">
        <v>4.76</v>
      </c>
      <c r="T75" s="0" t="n">
        <v>4.6</v>
      </c>
      <c r="U75" s="0" t="n">
        <v>4.3</v>
      </c>
      <c r="V75" s="0" t="n">
        <v>4.69</v>
      </c>
      <c r="W75" s="0" t="n">
        <v>3.83</v>
      </c>
      <c r="X75" s="0" t="n">
        <v>3.78</v>
      </c>
      <c r="Y75" s="0" t="n">
        <v>1.56</v>
      </c>
      <c r="AB75" s="0" t="n">
        <v>3.38</v>
      </c>
      <c r="AC75" s="0" t="n">
        <v>4.55</v>
      </c>
      <c r="AD75" s="0" t="n">
        <v>14.19</v>
      </c>
      <c r="AE75" s="0" t="n">
        <v>14.46</v>
      </c>
      <c r="AF75" s="0" t="n">
        <v>3.46</v>
      </c>
      <c r="AG75" s="0" t="n">
        <v>0.79</v>
      </c>
      <c r="AH75" s="0" t="n">
        <v>12.62</v>
      </c>
      <c r="AI75" s="0" t="n">
        <v>15.63</v>
      </c>
      <c r="AJ75" s="0" t="n">
        <v>7.82</v>
      </c>
      <c r="AK75" s="0" t="n">
        <v>7.09</v>
      </c>
      <c r="AL75" s="0" t="n">
        <v>9.01</v>
      </c>
      <c r="AM75" s="0" t="n">
        <v>9.48</v>
      </c>
      <c r="AN75" s="0" t="n">
        <v>11.26</v>
      </c>
      <c r="AP75" s="0" t="n">
        <v>12.14</v>
      </c>
      <c r="AQ75" s="0" t="n">
        <v>9.79</v>
      </c>
      <c r="AR75" s="0" t="n">
        <v>6</v>
      </c>
      <c r="AS75" s="0" t="n">
        <v>8.26</v>
      </c>
      <c r="AT75" s="0" t="n">
        <v>2.35</v>
      </c>
      <c r="AU75" s="0" t="n">
        <v>9.22</v>
      </c>
    </row>
    <row r="76" customFormat="false" ht="14.25" hidden="false" customHeight="false" outlineLevel="0" collapsed="false">
      <c r="A76" s="0" t="n">
        <v>11.93</v>
      </c>
      <c r="B76" s="0" t="n">
        <v>4.16</v>
      </c>
      <c r="C76" s="0" t="n">
        <v>6.53</v>
      </c>
      <c r="D76" s="0" t="n">
        <v>9.65</v>
      </c>
      <c r="E76" s="0" t="n">
        <v>3.66</v>
      </c>
      <c r="F76" s="0" t="n">
        <v>19.88</v>
      </c>
      <c r="G76" s="0" t="n">
        <v>16.01</v>
      </c>
      <c r="H76" s="0" t="n">
        <v>2.9</v>
      </c>
      <c r="I76" s="0" t="n">
        <v>667.64</v>
      </c>
      <c r="J76" s="0" t="n">
        <v>4.26</v>
      </c>
      <c r="K76" s="0" t="n">
        <v>651.16</v>
      </c>
      <c r="L76" s="0" t="n">
        <v>645.92</v>
      </c>
      <c r="M76" s="0" t="n">
        <v>639.47</v>
      </c>
      <c r="N76" s="0" t="n">
        <v>631.39</v>
      </c>
      <c r="O76" s="0" t="n">
        <v>621.12</v>
      </c>
      <c r="P76" s="0" t="n">
        <v>613.16</v>
      </c>
      <c r="R76" s="0" t="n">
        <v>5.21</v>
      </c>
      <c r="S76" s="0" t="n">
        <v>4.77</v>
      </c>
      <c r="T76" s="0" t="n">
        <v>4.61</v>
      </c>
      <c r="U76" s="0" t="n">
        <v>4.29</v>
      </c>
      <c r="V76" s="0" t="n">
        <v>4.68</v>
      </c>
      <c r="W76" s="0" t="n">
        <v>3.83</v>
      </c>
      <c r="X76" s="0" t="n">
        <v>3.78</v>
      </c>
      <c r="Y76" s="0" t="n">
        <v>1.56</v>
      </c>
      <c r="AB76" s="0" t="n">
        <v>3.38</v>
      </c>
      <c r="AC76" s="0" t="n">
        <v>4.53</v>
      </c>
      <c r="AD76" s="0" t="n">
        <v>14.21</v>
      </c>
      <c r="AE76" s="0" t="n">
        <v>14.47</v>
      </c>
      <c r="AF76" s="0" t="n">
        <v>3.47</v>
      </c>
      <c r="AG76" s="0" t="n">
        <v>0.82</v>
      </c>
      <c r="AH76" s="0" t="n">
        <v>12.63</v>
      </c>
      <c r="AI76" s="0" t="n">
        <v>15.63</v>
      </c>
      <c r="AJ76" s="0" t="n">
        <v>7.79</v>
      </c>
      <c r="AK76" s="0" t="n">
        <v>7.09</v>
      </c>
      <c r="AL76" s="0" t="n">
        <v>9.02</v>
      </c>
      <c r="AM76" s="0" t="n">
        <v>11.37</v>
      </c>
      <c r="AN76" s="0" t="n">
        <v>11.31</v>
      </c>
      <c r="AP76" s="0" t="n">
        <v>12.1</v>
      </c>
      <c r="AQ76" s="0" t="n">
        <v>9.77</v>
      </c>
      <c r="AR76" s="0" t="n">
        <v>5.97</v>
      </c>
      <c r="AS76" s="0" t="n">
        <v>8.09</v>
      </c>
      <c r="AT76" s="0" t="n">
        <v>2.34</v>
      </c>
      <c r="AU76" s="0" t="n">
        <v>9.23</v>
      </c>
    </row>
    <row r="77" customFormat="false" ht="14.25" hidden="false" customHeight="false" outlineLevel="0" collapsed="false">
      <c r="A77" s="0" t="n">
        <v>11.93</v>
      </c>
      <c r="B77" s="0" t="n">
        <v>4.18</v>
      </c>
      <c r="C77" s="0" t="n">
        <v>6.53</v>
      </c>
      <c r="D77" s="0" t="n">
        <v>9.64</v>
      </c>
      <c r="E77" s="0" t="n">
        <v>3.65</v>
      </c>
      <c r="F77" s="0" t="n">
        <v>19.88</v>
      </c>
      <c r="G77" s="0" t="n">
        <v>15.97</v>
      </c>
      <c r="H77" s="0" t="n">
        <v>2.9</v>
      </c>
      <c r="I77" s="0" t="n">
        <v>667.64</v>
      </c>
      <c r="J77" s="0" t="n">
        <v>4.28</v>
      </c>
      <c r="K77" s="0" t="n">
        <v>651.16</v>
      </c>
      <c r="L77" s="0" t="n">
        <v>645.91</v>
      </c>
      <c r="M77" s="0" t="n">
        <v>639.47</v>
      </c>
      <c r="N77" s="0" t="n">
        <v>631.38</v>
      </c>
      <c r="O77" s="0" t="n">
        <v>621.12</v>
      </c>
      <c r="P77" s="0" t="n">
        <v>613.16</v>
      </c>
      <c r="R77" s="0" t="n">
        <v>5.21</v>
      </c>
      <c r="S77" s="0" t="n">
        <v>4.75</v>
      </c>
      <c r="T77" s="0" t="n">
        <v>4.61</v>
      </c>
      <c r="U77" s="0" t="n">
        <v>4.27</v>
      </c>
      <c r="V77" s="0" t="n">
        <v>4.69</v>
      </c>
      <c r="W77" s="0" t="n">
        <v>3.81</v>
      </c>
      <c r="X77" s="0" t="n">
        <v>3.78</v>
      </c>
      <c r="Y77" s="0" t="n">
        <v>1.54</v>
      </c>
      <c r="AB77" s="0" t="n">
        <v>3.39</v>
      </c>
      <c r="AC77" s="0" t="n">
        <v>4.52</v>
      </c>
      <c r="AD77" s="0" t="n">
        <v>14.22</v>
      </c>
      <c r="AE77" s="0" t="n">
        <v>14.43</v>
      </c>
      <c r="AF77" s="0" t="n">
        <v>3.55</v>
      </c>
      <c r="AG77" s="0" t="n">
        <v>0.75</v>
      </c>
      <c r="AH77" s="0" t="n">
        <v>12.63</v>
      </c>
      <c r="AI77" s="0" t="n">
        <v>15.61</v>
      </c>
      <c r="AJ77" s="0" t="n">
        <v>7.84</v>
      </c>
      <c r="AK77" s="0" t="n">
        <v>7.09</v>
      </c>
      <c r="AL77" s="0" t="n">
        <v>9.01</v>
      </c>
      <c r="AM77" s="0" t="n">
        <v>9.56</v>
      </c>
      <c r="AN77" s="0" t="n">
        <v>11.27</v>
      </c>
      <c r="AP77" s="0" t="n">
        <v>12.07</v>
      </c>
      <c r="AQ77" s="0" t="n">
        <v>9.72</v>
      </c>
      <c r="AR77" s="0" t="n">
        <v>5.95</v>
      </c>
      <c r="AS77" s="0" t="n">
        <v>7.91</v>
      </c>
      <c r="AT77" s="0" t="n">
        <v>2.32</v>
      </c>
      <c r="AU77" s="0" t="n">
        <v>9.24</v>
      </c>
    </row>
    <row r="78" customFormat="false" ht="14.25" hidden="false" customHeight="false" outlineLevel="0" collapsed="false">
      <c r="A78" s="0" t="n">
        <v>11.95</v>
      </c>
      <c r="B78" s="0" t="n">
        <v>4.16</v>
      </c>
      <c r="C78" s="0" t="n">
        <v>6.54</v>
      </c>
      <c r="D78" s="0" t="n">
        <v>9.65</v>
      </c>
      <c r="E78" s="0" t="n">
        <v>3.64</v>
      </c>
      <c r="F78" s="0" t="n">
        <v>19.87</v>
      </c>
      <c r="G78" s="0" t="n">
        <v>15.98</v>
      </c>
      <c r="H78" s="0" t="n">
        <v>2.91</v>
      </c>
      <c r="I78" s="0" t="n">
        <v>667.62</v>
      </c>
      <c r="J78" s="0" t="n">
        <v>4.29</v>
      </c>
      <c r="K78" s="0" t="n">
        <v>651.17</v>
      </c>
      <c r="L78" s="0" t="n">
        <v>645.91</v>
      </c>
      <c r="M78" s="0" t="n">
        <v>639.47</v>
      </c>
      <c r="N78" s="0" t="n">
        <v>631.38</v>
      </c>
      <c r="O78" s="0" t="n">
        <v>621.14</v>
      </c>
      <c r="P78" s="0" t="n">
        <v>613.17</v>
      </c>
      <c r="R78" s="0" t="n">
        <v>5.22</v>
      </c>
      <c r="S78" s="0" t="n">
        <v>4.74</v>
      </c>
      <c r="T78" s="0" t="n">
        <v>4.62</v>
      </c>
      <c r="U78" s="0" t="n">
        <v>4.27</v>
      </c>
      <c r="V78" s="0" t="n">
        <v>4.69</v>
      </c>
      <c r="W78" s="0" t="n">
        <v>3.81</v>
      </c>
      <c r="X78" s="0" t="n">
        <v>3.77</v>
      </c>
      <c r="Y78" s="0" t="n">
        <v>1.55</v>
      </c>
      <c r="AB78" s="0" t="n">
        <v>3.39</v>
      </c>
      <c r="AC78" s="0" t="n">
        <v>4.53</v>
      </c>
      <c r="AD78" s="0" t="n">
        <v>14.22</v>
      </c>
      <c r="AE78" s="0" t="n">
        <v>14.47</v>
      </c>
      <c r="AF78" s="0" t="n">
        <v>3.51</v>
      </c>
      <c r="AG78" s="0" t="n">
        <v>0.82</v>
      </c>
      <c r="AH78" s="0" t="n">
        <v>12.61</v>
      </c>
      <c r="AI78" s="0" t="n">
        <v>15.58</v>
      </c>
      <c r="AJ78" s="0" t="n">
        <v>7.85</v>
      </c>
      <c r="AK78" s="0" t="n">
        <v>7.09</v>
      </c>
      <c r="AL78" s="0" t="n">
        <v>9.02</v>
      </c>
      <c r="AM78" s="0" t="n">
        <v>9.5</v>
      </c>
      <c r="AN78" s="0" t="n">
        <v>11.29</v>
      </c>
      <c r="AP78" s="0" t="n">
        <v>12.07</v>
      </c>
      <c r="AQ78" s="0" t="n">
        <v>9.7</v>
      </c>
      <c r="AR78" s="0" t="n">
        <v>5.91</v>
      </c>
      <c r="AS78" s="0" t="n">
        <v>7.77</v>
      </c>
      <c r="AT78" s="0" t="n">
        <v>2.3</v>
      </c>
      <c r="AU78" s="0" t="n">
        <v>9.24</v>
      </c>
    </row>
    <row r="79" customFormat="false" ht="14.25" hidden="false" customHeight="false" outlineLevel="0" collapsed="false">
      <c r="A79" s="0" t="n">
        <v>11.97</v>
      </c>
      <c r="B79" s="0" t="n">
        <v>4.16</v>
      </c>
      <c r="C79" s="0" t="n">
        <v>6.53</v>
      </c>
      <c r="D79" s="0" t="n">
        <v>9.65</v>
      </c>
      <c r="E79" s="0" t="n">
        <v>3.59</v>
      </c>
      <c r="F79" s="0" t="n">
        <v>19.88</v>
      </c>
      <c r="G79" s="0" t="n">
        <v>15.99</v>
      </c>
      <c r="H79" s="0" t="n">
        <v>2.91</v>
      </c>
      <c r="I79" s="0" t="n">
        <v>667.64</v>
      </c>
      <c r="J79" s="0" t="n">
        <v>4.27</v>
      </c>
      <c r="K79" s="0" t="n">
        <v>651.17</v>
      </c>
      <c r="L79" s="0" t="n">
        <v>645.91</v>
      </c>
      <c r="M79" s="0" t="n">
        <v>639.46</v>
      </c>
      <c r="N79" s="0" t="n">
        <v>631.38</v>
      </c>
      <c r="O79" s="0" t="n">
        <v>621.17</v>
      </c>
      <c r="P79" s="0" t="n">
        <v>613.17</v>
      </c>
      <c r="R79" s="0" t="n">
        <v>5.22</v>
      </c>
      <c r="S79" s="0" t="n">
        <v>4.75</v>
      </c>
      <c r="T79" s="0" t="n">
        <v>4.63</v>
      </c>
      <c r="U79" s="0" t="n">
        <v>4.26</v>
      </c>
      <c r="V79" s="0" t="n">
        <v>4.7</v>
      </c>
      <c r="W79" s="0" t="n">
        <v>3.81</v>
      </c>
      <c r="X79" s="0" t="n">
        <v>3.77</v>
      </c>
      <c r="Y79" s="0" t="n">
        <v>1.55</v>
      </c>
      <c r="AB79" s="0" t="n">
        <v>3.4</v>
      </c>
      <c r="AC79" s="0" t="n">
        <v>4.53</v>
      </c>
      <c r="AD79" s="0" t="n">
        <v>14.23</v>
      </c>
      <c r="AE79" s="0" t="n">
        <v>14.43</v>
      </c>
      <c r="AF79" s="0" t="n">
        <v>3.49</v>
      </c>
      <c r="AG79" s="0" t="n">
        <v>0.97</v>
      </c>
      <c r="AH79" s="0" t="n">
        <v>12.63</v>
      </c>
      <c r="AI79" s="0" t="n">
        <v>15.61</v>
      </c>
      <c r="AJ79" s="0" t="n">
        <v>7.86</v>
      </c>
      <c r="AK79" s="0" t="n">
        <v>7.09</v>
      </c>
      <c r="AL79" s="0" t="n">
        <v>9.01</v>
      </c>
      <c r="AM79" s="0" t="n">
        <v>9.47</v>
      </c>
      <c r="AN79" s="0" t="n">
        <v>11.28</v>
      </c>
      <c r="AP79" s="0" t="n">
        <v>12.11</v>
      </c>
      <c r="AQ79" s="0" t="n">
        <v>9.68</v>
      </c>
      <c r="AR79" s="0" t="n">
        <v>5.9</v>
      </c>
      <c r="AS79" s="0" t="n">
        <v>7.64</v>
      </c>
      <c r="AT79" s="0" t="n">
        <v>2.3</v>
      </c>
      <c r="AU79" s="0" t="n">
        <v>9.24</v>
      </c>
    </row>
    <row r="80" customFormat="false" ht="14.25" hidden="false" customHeight="false" outlineLevel="0" collapsed="false">
      <c r="A80" s="0" t="n">
        <v>11.97</v>
      </c>
      <c r="B80" s="0" t="n">
        <v>4.17</v>
      </c>
      <c r="C80" s="0" t="n">
        <v>6.53</v>
      </c>
      <c r="D80" s="0" t="n">
        <v>9.67</v>
      </c>
      <c r="E80" s="0" t="n">
        <v>3.57</v>
      </c>
      <c r="F80" s="0" t="n">
        <v>19.89</v>
      </c>
      <c r="G80" s="0" t="n">
        <v>15.97</v>
      </c>
      <c r="H80" s="0" t="n">
        <v>2.91</v>
      </c>
      <c r="I80" s="0" t="n">
        <v>667.62</v>
      </c>
      <c r="J80" s="0" t="n">
        <v>4.29</v>
      </c>
      <c r="K80" s="0" t="n">
        <v>651.17</v>
      </c>
      <c r="L80" s="0" t="n">
        <v>645.9</v>
      </c>
      <c r="M80" s="0" t="n">
        <v>639.48</v>
      </c>
      <c r="N80" s="0" t="n">
        <v>631.39</v>
      </c>
      <c r="O80" s="0" t="n">
        <v>621.12</v>
      </c>
      <c r="P80" s="0" t="n">
        <v>613.21</v>
      </c>
      <c r="R80" s="0" t="n">
        <v>5.21</v>
      </c>
      <c r="S80" s="0" t="n">
        <v>4.76</v>
      </c>
      <c r="T80" s="0" t="n">
        <v>4.64</v>
      </c>
      <c r="U80" s="0" t="n">
        <v>4.25</v>
      </c>
      <c r="V80" s="0" t="n">
        <v>4.7</v>
      </c>
      <c r="W80" s="0" t="n">
        <v>3.83</v>
      </c>
      <c r="X80" s="0" t="n">
        <v>3.78</v>
      </c>
      <c r="Y80" s="0" t="n">
        <v>1.56</v>
      </c>
      <c r="AB80" s="0" t="n">
        <v>3.4</v>
      </c>
      <c r="AC80" s="0" t="n">
        <v>4.51</v>
      </c>
      <c r="AD80" s="0" t="n">
        <v>14.23</v>
      </c>
      <c r="AE80" s="0" t="n">
        <v>14.47</v>
      </c>
      <c r="AF80" s="0" t="n">
        <v>3.52</v>
      </c>
      <c r="AG80" s="0" t="n">
        <v>0.81</v>
      </c>
      <c r="AH80" s="0" t="n">
        <v>12.62</v>
      </c>
      <c r="AI80" s="0" t="n">
        <v>15.56</v>
      </c>
      <c r="AJ80" s="0" t="n">
        <v>7.88</v>
      </c>
      <c r="AK80" s="0" t="n">
        <v>7.08</v>
      </c>
      <c r="AL80" s="0" t="n">
        <v>9.03</v>
      </c>
      <c r="AM80" s="0" t="n">
        <v>9.58</v>
      </c>
      <c r="AN80" s="0" t="n">
        <v>11.25</v>
      </c>
      <c r="AP80" s="0" t="n">
        <v>12.07</v>
      </c>
      <c r="AQ80" s="0" t="n">
        <v>9.68</v>
      </c>
      <c r="AR80" s="0" t="n">
        <v>5.88</v>
      </c>
      <c r="AS80" s="0" t="n">
        <v>7.57</v>
      </c>
      <c r="AT80" s="0" t="n">
        <v>2.27</v>
      </c>
      <c r="AU80" s="0" t="n">
        <v>9.23</v>
      </c>
    </row>
    <row r="81" customFormat="false" ht="14.25" hidden="false" customHeight="false" outlineLevel="0" collapsed="false">
      <c r="A81" s="0" t="n">
        <v>11.98</v>
      </c>
      <c r="B81" s="0" t="n">
        <v>4.18</v>
      </c>
      <c r="C81" s="0" t="n">
        <v>6.54</v>
      </c>
      <c r="D81" s="0" t="n">
        <v>9.65</v>
      </c>
      <c r="E81" s="0" t="n">
        <v>3.57</v>
      </c>
      <c r="F81" s="0" t="n">
        <v>19.89</v>
      </c>
      <c r="G81" s="0" t="n">
        <v>15.99</v>
      </c>
      <c r="H81" s="0" t="n">
        <v>2.91</v>
      </c>
      <c r="I81" s="0" t="n">
        <v>667.62</v>
      </c>
      <c r="J81" s="0" t="n">
        <v>4.27</v>
      </c>
      <c r="K81" s="0" t="n">
        <v>651.16</v>
      </c>
      <c r="L81" s="0" t="n">
        <v>645.92</v>
      </c>
      <c r="M81" s="0" t="n">
        <v>639.49</v>
      </c>
      <c r="N81" s="0" t="n">
        <v>631.39</v>
      </c>
      <c r="O81" s="0" t="n">
        <v>621.14</v>
      </c>
      <c r="P81" s="0" t="n">
        <v>613.17</v>
      </c>
      <c r="R81" s="0" t="n">
        <v>5.22</v>
      </c>
      <c r="S81" s="0" t="n">
        <v>4.76</v>
      </c>
      <c r="T81" s="0" t="n">
        <v>4.68</v>
      </c>
      <c r="U81" s="0" t="n">
        <v>4.22</v>
      </c>
      <c r="V81" s="0" t="n">
        <v>4.71</v>
      </c>
      <c r="W81" s="0" t="n">
        <v>3.81</v>
      </c>
      <c r="X81" s="0" t="n">
        <v>3.77</v>
      </c>
      <c r="Y81" s="0" t="n">
        <v>1.57</v>
      </c>
      <c r="AB81" s="0" t="n">
        <v>3.4</v>
      </c>
      <c r="AC81" s="0" t="n">
        <v>4.52</v>
      </c>
      <c r="AD81" s="0" t="n">
        <v>14.23</v>
      </c>
      <c r="AE81" s="0" t="n">
        <v>14.45</v>
      </c>
      <c r="AF81" s="0" t="n">
        <v>3.51</v>
      </c>
      <c r="AG81" s="0" t="n">
        <v>0.84</v>
      </c>
      <c r="AH81" s="0" t="n">
        <v>12.63</v>
      </c>
      <c r="AI81" s="0" t="n">
        <v>15.61</v>
      </c>
      <c r="AJ81" s="0" t="n">
        <v>7.87</v>
      </c>
      <c r="AK81" s="0" t="n">
        <v>7.1</v>
      </c>
      <c r="AL81" s="0" t="n">
        <v>8.98</v>
      </c>
      <c r="AM81" s="0" t="n">
        <v>9.54</v>
      </c>
      <c r="AN81" s="0" t="n">
        <v>11.29</v>
      </c>
      <c r="AP81" s="0" t="n">
        <v>12.04</v>
      </c>
      <c r="AQ81" s="0" t="n">
        <v>9.64</v>
      </c>
      <c r="AR81" s="0" t="n">
        <v>5.88</v>
      </c>
      <c r="AS81" s="0" t="n">
        <v>7.42</v>
      </c>
      <c r="AT81" s="0" t="n">
        <v>2.27</v>
      </c>
      <c r="AU81" s="0" t="n">
        <v>9.25</v>
      </c>
    </row>
    <row r="82" customFormat="false" ht="14.25" hidden="false" customHeight="false" outlineLevel="0" collapsed="false">
      <c r="A82" s="0" t="n">
        <v>12.01</v>
      </c>
      <c r="B82" s="0" t="n">
        <v>4.15</v>
      </c>
      <c r="C82" s="0" t="n">
        <v>6.53</v>
      </c>
      <c r="D82" s="0" t="n">
        <v>9.65</v>
      </c>
      <c r="E82" s="0" t="n">
        <v>3.59</v>
      </c>
      <c r="F82" s="0" t="n">
        <v>19.86</v>
      </c>
      <c r="G82" s="0" t="n">
        <v>15.98</v>
      </c>
      <c r="H82" s="0" t="n">
        <v>2.9</v>
      </c>
      <c r="I82" s="0" t="n">
        <v>667.62</v>
      </c>
      <c r="J82" s="0" t="n">
        <v>4.27</v>
      </c>
      <c r="K82" s="0" t="n">
        <v>651.18</v>
      </c>
      <c r="L82" s="0" t="n">
        <v>645.91</v>
      </c>
      <c r="M82" s="0" t="n">
        <v>639.47</v>
      </c>
      <c r="N82" s="0" t="n">
        <v>631.39</v>
      </c>
      <c r="O82" s="0" t="n">
        <v>621.18</v>
      </c>
      <c r="P82" s="0" t="n">
        <v>613.21</v>
      </c>
      <c r="R82" s="0" t="n">
        <v>5.22</v>
      </c>
      <c r="S82" s="0" t="n">
        <v>4.75</v>
      </c>
      <c r="T82" s="0" t="n">
        <v>4.64</v>
      </c>
      <c r="U82" s="0" t="n">
        <v>4.19</v>
      </c>
      <c r="V82" s="0" t="n">
        <v>4.72</v>
      </c>
      <c r="W82" s="0" t="n">
        <v>3.79</v>
      </c>
      <c r="X82" s="0" t="n">
        <v>3.77</v>
      </c>
      <c r="Y82" s="0" t="n">
        <v>1.57</v>
      </c>
      <c r="AB82" s="0" t="n">
        <v>3.4</v>
      </c>
      <c r="AC82" s="0" t="n">
        <v>4.55</v>
      </c>
      <c r="AD82" s="0" t="n">
        <v>14.21</v>
      </c>
      <c r="AE82" s="0" t="n">
        <v>14.45</v>
      </c>
      <c r="AF82" s="0" t="n">
        <v>3.54</v>
      </c>
      <c r="AG82" s="0" t="n">
        <v>0.86</v>
      </c>
      <c r="AH82" s="0" t="n">
        <v>12.62</v>
      </c>
      <c r="AI82" s="0" t="n">
        <v>15.64</v>
      </c>
      <c r="AJ82" s="0" t="n">
        <v>7.88</v>
      </c>
      <c r="AK82" s="0" t="n">
        <v>7.09</v>
      </c>
      <c r="AL82" s="0" t="n">
        <v>9</v>
      </c>
      <c r="AM82" s="0" t="n">
        <v>9.53</v>
      </c>
      <c r="AN82" s="0" t="n">
        <v>11.28</v>
      </c>
      <c r="AP82" s="0" t="n">
        <v>12.02</v>
      </c>
      <c r="AQ82" s="0" t="n">
        <v>9.66</v>
      </c>
      <c r="AR82" s="0" t="n">
        <v>5.83</v>
      </c>
      <c r="AS82" s="0" t="n">
        <v>7.27</v>
      </c>
      <c r="AT82" s="0" t="n">
        <v>2.26</v>
      </c>
      <c r="AU82" s="0" t="n">
        <v>9.23</v>
      </c>
    </row>
    <row r="83" customFormat="false" ht="14.25" hidden="false" customHeight="false" outlineLevel="0" collapsed="false">
      <c r="A83" s="0" t="n">
        <v>11.99</v>
      </c>
      <c r="B83" s="0" t="n">
        <v>4.17</v>
      </c>
      <c r="C83" s="0" t="n">
        <v>6.52</v>
      </c>
      <c r="D83" s="0" t="n">
        <v>9.64</v>
      </c>
      <c r="E83" s="0" t="n">
        <v>3.54</v>
      </c>
      <c r="F83" s="0" t="n">
        <v>19.86</v>
      </c>
      <c r="G83" s="0" t="n">
        <v>15.99</v>
      </c>
      <c r="H83" s="0" t="n">
        <v>2.91</v>
      </c>
      <c r="I83" s="0" t="n">
        <v>667.64</v>
      </c>
      <c r="J83" s="0" t="n">
        <v>4.28</v>
      </c>
      <c r="K83" s="0" t="n">
        <v>651.2</v>
      </c>
      <c r="L83" s="0" t="n">
        <v>645.92</v>
      </c>
      <c r="M83" s="0" t="n">
        <v>639.46</v>
      </c>
      <c r="N83" s="0" t="n">
        <v>631.38</v>
      </c>
      <c r="O83" s="0" t="n">
        <v>621.13</v>
      </c>
      <c r="P83" s="0" t="n">
        <v>613.16</v>
      </c>
      <c r="R83" s="0" t="n">
        <v>5.22</v>
      </c>
      <c r="S83" s="0" t="n">
        <v>4.76</v>
      </c>
      <c r="T83" s="0" t="n">
        <v>4.61</v>
      </c>
      <c r="U83" s="0" t="n">
        <v>4.23</v>
      </c>
      <c r="V83" s="0" t="n">
        <v>4.72</v>
      </c>
      <c r="W83" s="0" t="n">
        <v>3.81</v>
      </c>
      <c r="X83" s="0" t="n">
        <v>3.77</v>
      </c>
      <c r="Y83" s="0" t="n">
        <v>1.58</v>
      </c>
      <c r="AB83" s="0" t="n">
        <v>3.4</v>
      </c>
      <c r="AC83" s="0" t="n">
        <v>4.61</v>
      </c>
      <c r="AD83" s="0" t="n">
        <v>14.23</v>
      </c>
      <c r="AE83" s="0" t="n">
        <v>14.45</v>
      </c>
      <c r="AF83" s="0" t="n">
        <v>3.49</v>
      </c>
      <c r="AG83" s="0" t="n">
        <v>0.9</v>
      </c>
      <c r="AH83" s="0" t="n">
        <v>12.62</v>
      </c>
      <c r="AI83" s="0" t="n">
        <v>15.59</v>
      </c>
      <c r="AJ83" s="0" t="n">
        <v>7.88</v>
      </c>
      <c r="AK83" s="0" t="n">
        <v>7.1</v>
      </c>
      <c r="AL83" s="0" t="n">
        <v>9.02</v>
      </c>
      <c r="AM83" s="0" t="n">
        <v>9.54</v>
      </c>
      <c r="AN83" s="0" t="n">
        <v>11.24</v>
      </c>
      <c r="AP83" s="0" t="n">
        <v>12.02</v>
      </c>
      <c r="AQ83" s="0" t="n">
        <v>9.62</v>
      </c>
      <c r="AR83" s="0" t="n">
        <v>5.8</v>
      </c>
      <c r="AS83" s="0" t="n">
        <v>7.09</v>
      </c>
      <c r="AT83" s="0" t="n">
        <v>2.24</v>
      </c>
      <c r="AU83" s="0" t="n">
        <v>9.28</v>
      </c>
    </row>
    <row r="84" customFormat="false" ht="14.25" hidden="false" customHeight="false" outlineLevel="0" collapsed="false">
      <c r="A84" s="0" t="n">
        <v>11.99</v>
      </c>
      <c r="B84" s="0" t="n">
        <v>4.16</v>
      </c>
      <c r="C84" s="0" t="n">
        <v>6.53</v>
      </c>
      <c r="D84" s="0" t="n">
        <v>9.64</v>
      </c>
      <c r="E84" s="0" t="n">
        <v>3.52</v>
      </c>
      <c r="F84" s="0" t="n">
        <v>19.86</v>
      </c>
      <c r="G84" s="0" t="n">
        <v>15.99</v>
      </c>
      <c r="H84" s="0" t="n">
        <v>2.91</v>
      </c>
      <c r="I84" s="0" t="n">
        <v>667.67</v>
      </c>
      <c r="J84" s="0" t="n">
        <v>4.29</v>
      </c>
      <c r="K84" s="0" t="n">
        <v>651.19</v>
      </c>
      <c r="L84" s="0" t="n">
        <v>645.9</v>
      </c>
      <c r="M84" s="0" t="n">
        <v>639.47</v>
      </c>
      <c r="N84" s="0" t="n">
        <v>631.39</v>
      </c>
      <c r="O84" s="0" t="n">
        <v>621.13</v>
      </c>
      <c r="P84" s="0" t="n">
        <v>613.23</v>
      </c>
      <c r="R84" s="0" t="n">
        <v>5.21</v>
      </c>
      <c r="S84" s="0" t="n">
        <v>4.74</v>
      </c>
      <c r="T84" s="0" t="n">
        <v>4.63</v>
      </c>
      <c r="U84" s="0" t="n">
        <v>4.24</v>
      </c>
      <c r="V84" s="0" t="n">
        <v>4.74</v>
      </c>
      <c r="W84" s="0" t="n">
        <v>3.83</v>
      </c>
      <c r="X84" s="0" t="n">
        <v>3.78</v>
      </c>
      <c r="Y84" s="0" t="n">
        <v>1.58</v>
      </c>
      <c r="AB84" s="0" t="n">
        <v>3.39</v>
      </c>
      <c r="AC84" s="0" t="n">
        <v>4.53</v>
      </c>
      <c r="AD84" s="0" t="n">
        <v>14.23</v>
      </c>
      <c r="AE84" s="0" t="n">
        <v>14.46</v>
      </c>
      <c r="AF84" s="0" t="n">
        <v>3.51</v>
      </c>
      <c r="AG84" s="0" t="n">
        <v>0.94</v>
      </c>
      <c r="AH84" s="0" t="n">
        <v>12.62</v>
      </c>
      <c r="AI84" s="0" t="n">
        <v>15.58</v>
      </c>
      <c r="AJ84" s="0" t="n">
        <v>7.84</v>
      </c>
      <c r="AK84" s="0" t="n">
        <v>7.11</v>
      </c>
      <c r="AL84" s="0" t="n">
        <v>9.02</v>
      </c>
      <c r="AM84" s="0" t="n">
        <v>9.55</v>
      </c>
      <c r="AN84" s="0" t="n">
        <v>11.24</v>
      </c>
      <c r="AP84" s="0" t="n">
        <v>12.02</v>
      </c>
      <c r="AQ84" s="0" t="n">
        <v>9.6</v>
      </c>
      <c r="AR84" s="0" t="n">
        <v>5.77</v>
      </c>
      <c r="AS84" s="0" t="n">
        <v>6.89</v>
      </c>
      <c r="AT84" s="0" t="n">
        <v>2.22</v>
      </c>
      <c r="AU84" s="0" t="n">
        <v>9.27</v>
      </c>
    </row>
    <row r="85" customFormat="false" ht="14.25" hidden="false" customHeight="false" outlineLevel="0" collapsed="false">
      <c r="A85" s="0" t="n">
        <v>11.98</v>
      </c>
      <c r="B85" s="0" t="n">
        <v>4.16</v>
      </c>
      <c r="C85" s="0" t="n">
        <v>6.52</v>
      </c>
      <c r="D85" s="0" t="n">
        <v>9.64</v>
      </c>
      <c r="E85" s="0" t="n">
        <v>3.48</v>
      </c>
      <c r="F85" s="0" t="n">
        <v>19.86</v>
      </c>
      <c r="G85" s="0" t="n">
        <v>16</v>
      </c>
      <c r="H85" s="0" t="n">
        <v>2.9</v>
      </c>
      <c r="I85" s="0" t="n">
        <v>667.64</v>
      </c>
      <c r="J85" s="0" t="n">
        <v>4.29</v>
      </c>
      <c r="K85" s="0" t="n">
        <v>651.19</v>
      </c>
      <c r="L85" s="0" t="n">
        <v>645.92</v>
      </c>
      <c r="M85" s="0" t="n">
        <v>639.47</v>
      </c>
      <c r="N85" s="0" t="n">
        <v>631.39</v>
      </c>
      <c r="O85" s="0" t="n">
        <v>621.13</v>
      </c>
      <c r="P85" s="0" t="n">
        <v>613.21</v>
      </c>
      <c r="R85" s="0" t="n">
        <v>5.21</v>
      </c>
      <c r="S85" s="0" t="n">
        <v>4.74</v>
      </c>
      <c r="T85" s="0" t="n">
        <v>4.64</v>
      </c>
      <c r="U85" s="0" t="n">
        <v>4.26</v>
      </c>
      <c r="V85" s="0" t="n">
        <v>4.77</v>
      </c>
      <c r="W85" s="0" t="n">
        <v>3.82</v>
      </c>
      <c r="X85" s="0" t="n">
        <v>3.78</v>
      </c>
      <c r="Y85" s="0" t="n">
        <v>1.59</v>
      </c>
      <c r="AB85" s="0" t="n">
        <v>3.41</v>
      </c>
      <c r="AC85" s="0" t="n">
        <v>4.55</v>
      </c>
      <c r="AD85" s="0" t="n">
        <v>14.23</v>
      </c>
      <c r="AE85" s="0" t="n">
        <v>14.45</v>
      </c>
      <c r="AF85" s="0" t="n">
        <v>3.61</v>
      </c>
      <c r="AG85" s="0" t="n">
        <v>0.94</v>
      </c>
      <c r="AH85" s="0" t="n">
        <v>12.62</v>
      </c>
      <c r="AI85" s="0" t="n">
        <v>15.61</v>
      </c>
      <c r="AJ85" s="0" t="n">
        <v>7.89</v>
      </c>
      <c r="AK85" s="0" t="n">
        <v>7.1</v>
      </c>
      <c r="AL85" s="0" t="n">
        <v>9.02</v>
      </c>
      <c r="AM85" s="0" t="n">
        <v>9.55</v>
      </c>
      <c r="AN85" s="0" t="n">
        <v>11.27</v>
      </c>
      <c r="AP85" s="0" t="n">
        <v>12.04</v>
      </c>
      <c r="AQ85" s="0" t="n">
        <v>9.57</v>
      </c>
      <c r="AR85" s="0" t="n">
        <v>5.7</v>
      </c>
      <c r="AS85" s="0" t="n">
        <v>6.83</v>
      </c>
      <c r="AT85" s="0" t="n">
        <v>2.23</v>
      </c>
      <c r="AU85" s="0" t="n">
        <v>9.26</v>
      </c>
    </row>
    <row r="86" customFormat="false" ht="14.25" hidden="false" customHeight="false" outlineLevel="0" collapsed="false">
      <c r="A86" s="0" t="n">
        <v>12</v>
      </c>
      <c r="B86" s="0" t="n">
        <v>4.17</v>
      </c>
      <c r="C86" s="0" t="n">
        <v>6.51</v>
      </c>
      <c r="D86" s="0" t="n">
        <v>9.65</v>
      </c>
      <c r="E86" s="0" t="n">
        <v>3.47</v>
      </c>
      <c r="F86" s="0" t="n">
        <v>19.83</v>
      </c>
      <c r="G86" s="0" t="n">
        <v>15.98</v>
      </c>
      <c r="H86" s="0" t="n">
        <v>2.9</v>
      </c>
      <c r="I86" s="0" t="n">
        <v>667.62</v>
      </c>
      <c r="J86" s="0" t="n">
        <v>4.29</v>
      </c>
      <c r="K86" s="0" t="n">
        <v>651.2</v>
      </c>
      <c r="L86" s="0" t="n">
        <v>645.92</v>
      </c>
      <c r="M86" s="0" t="n">
        <v>639.47</v>
      </c>
      <c r="N86" s="0" t="n">
        <v>631.41</v>
      </c>
      <c r="O86" s="0" t="n">
        <v>621.14</v>
      </c>
      <c r="P86" s="0" t="n">
        <v>613.21</v>
      </c>
      <c r="R86" s="0" t="n">
        <v>5.23</v>
      </c>
      <c r="S86" s="0" t="n">
        <v>4.76</v>
      </c>
      <c r="T86" s="0" t="n">
        <v>4.58</v>
      </c>
      <c r="U86" s="0" t="n">
        <v>4.26</v>
      </c>
      <c r="V86" s="0" t="n">
        <v>4.82</v>
      </c>
      <c r="W86" s="0" t="n">
        <v>3.84</v>
      </c>
      <c r="X86" s="0" t="n">
        <v>3.77</v>
      </c>
      <c r="Y86" s="0" t="n">
        <v>1.59</v>
      </c>
      <c r="AB86" s="0" t="n">
        <v>3.42</v>
      </c>
      <c r="AC86" s="0" t="n">
        <v>4.55</v>
      </c>
      <c r="AD86" s="0" t="n">
        <v>14.23</v>
      </c>
      <c r="AE86" s="0" t="n">
        <v>14.44</v>
      </c>
      <c r="AF86" s="0" t="n">
        <v>3.5</v>
      </c>
      <c r="AG86" s="0" t="n">
        <v>1.01</v>
      </c>
      <c r="AH86" s="0" t="n">
        <v>12.62</v>
      </c>
      <c r="AI86" s="0" t="n">
        <v>15.59</v>
      </c>
      <c r="AJ86" s="0" t="n">
        <v>7.9</v>
      </c>
      <c r="AK86" s="0" t="n">
        <v>7.1</v>
      </c>
      <c r="AL86" s="0" t="n">
        <v>9</v>
      </c>
      <c r="AM86" s="0" t="n">
        <v>9.5</v>
      </c>
      <c r="AN86" s="0" t="n">
        <v>11.2</v>
      </c>
      <c r="AP86" s="0" t="n">
        <v>12.02</v>
      </c>
      <c r="AQ86" s="0" t="n">
        <v>9.55</v>
      </c>
      <c r="AR86" s="0" t="n">
        <v>5.7</v>
      </c>
      <c r="AS86" s="0" t="n">
        <v>6.66</v>
      </c>
      <c r="AT86" s="0" t="n">
        <v>2.24</v>
      </c>
      <c r="AU86" s="0" t="n">
        <v>9.28</v>
      </c>
    </row>
    <row r="87" customFormat="false" ht="14.25" hidden="false" customHeight="false" outlineLevel="0" collapsed="false">
      <c r="A87" s="0" t="n">
        <v>12.01</v>
      </c>
      <c r="B87" s="0" t="n">
        <v>4.16</v>
      </c>
      <c r="C87" s="0" t="n">
        <v>6.51</v>
      </c>
      <c r="D87" s="0" t="n">
        <v>9.64</v>
      </c>
      <c r="E87" s="0" t="n">
        <v>3.49</v>
      </c>
      <c r="F87" s="0" t="n">
        <v>19.82</v>
      </c>
      <c r="G87" s="0" t="n">
        <v>16.01</v>
      </c>
      <c r="H87" s="0" t="n">
        <v>2.9</v>
      </c>
      <c r="I87" s="0" t="n">
        <v>667.61</v>
      </c>
      <c r="J87" s="0" t="n">
        <v>4.29</v>
      </c>
      <c r="K87" s="0" t="n">
        <v>651.2</v>
      </c>
      <c r="L87" s="0" t="n">
        <v>645.92</v>
      </c>
      <c r="M87" s="0" t="n">
        <v>639.49</v>
      </c>
      <c r="N87" s="0" t="n">
        <v>631.45</v>
      </c>
      <c r="O87" s="0" t="n">
        <v>621.16</v>
      </c>
      <c r="P87" s="0" t="n">
        <v>613.2</v>
      </c>
      <c r="R87" s="0" t="n">
        <v>5.22</v>
      </c>
      <c r="S87" s="0" t="n">
        <v>4.75</v>
      </c>
      <c r="T87" s="0" t="n">
        <v>4.61</v>
      </c>
      <c r="U87" s="0" t="n">
        <v>4.26</v>
      </c>
      <c r="V87" s="0" t="n">
        <v>4.84</v>
      </c>
      <c r="W87" s="0" t="n">
        <v>3.84</v>
      </c>
      <c r="X87" s="0" t="n">
        <v>3.77</v>
      </c>
      <c r="Y87" s="0" t="n">
        <v>1.59</v>
      </c>
      <c r="AB87" s="0" t="n">
        <v>3.41</v>
      </c>
      <c r="AC87" s="0" t="n">
        <v>4.56</v>
      </c>
      <c r="AD87" s="0" t="n">
        <v>14.21</v>
      </c>
      <c r="AE87" s="0" t="n">
        <v>14.4</v>
      </c>
      <c r="AF87" s="0" t="n">
        <v>3.54</v>
      </c>
      <c r="AG87" s="0" t="n">
        <v>0.98</v>
      </c>
      <c r="AH87" s="0" t="n">
        <v>12.63</v>
      </c>
      <c r="AI87" s="0" t="n">
        <v>15.59</v>
      </c>
      <c r="AJ87" s="0" t="n">
        <v>7.88</v>
      </c>
      <c r="AK87" s="0" t="n">
        <v>7.1</v>
      </c>
      <c r="AL87" s="0" t="n">
        <v>8.98</v>
      </c>
      <c r="AM87" s="0" t="n">
        <v>9.53</v>
      </c>
      <c r="AN87" s="0" t="n">
        <v>11.19</v>
      </c>
      <c r="AP87" s="0" t="n">
        <v>12</v>
      </c>
      <c r="AQ87" s="0" t="n">
        <v>9.56</v>
      </c>
      <c r="AR87" s="0" t="n">
        <v>5.65</v>
      </c>
      <c r="AS87" s="0" t="n">
        <v>6.51</v>
      </c>
      <c r="AT87" s="0" t="n">
        <v>2.21</v>
      </c>
      <c r="AU87" s="0" t="n">
        <v>9.28</v>
      </c>
    </row>
    <row r="88" customFormat="false" ht="14.25" hidden="false" customHeight="false" outlineLevel="0" collapsed="false">
      <c r="A88" s="0" t="n">
        <v>12.02</v>
      </c>
      <c r="B88" s="0" t="n">
        <v>4.15</v>
      </c>
      <c r="C88" s="0" t="n">
        <v>6.52</v>
      </c>
      <c r="D88" s="0" t="n">
        <v>9.65</v>
      </c>
      <c r="E88" s="0" t="n">
        <v>3.46</v>
      </c>
      <c r="F88" s="0" t="n">
        <v>19.8</v>
      </c>
      <c r="G88" s="0" t="n">
        <v>16</v>
      </c>
      <c r="H88" s="0" t="n">
        <v>2.91</v>
      </c>
      <c r="I88" s="0" t="n">
        <v>667.6</v>
      </c>
      <c r="J88" s="0" t="n">
        <v>4.29</v>
      </c>
      <c r="K88" s="0" t="n">
        <v>651.21</v>
      </c>
      <c r="L88" s="0" t="n">
        <v>645.92</v>
      </c>
      <c r="M88" s="0" t="n">
        <v>639.46</v>
      </c>
      <c r="N88" s="0" t="n">
        <v>631.41</v>
      </c>
      <c r="O88" s="0" t="n">
        <v>621.14</v>
      </c>
      <c r="P88" s="0" t="n">
        <v>613.21</v>
      </c>
      <c r="R88" s="0" t="n">
        <v>5.24</v>
      </c>
      <c r="S88" s="0" t="n">
        <v>4.74</v>
      </c>
      <c r="T88" s="0" t="n">
        <v>4.6</v>
      </c>
      <c r="U88" s="0" t="n">
        <v>4.28</v>
      </c>
      <c r="V88" s="0" t="n">
        <v>4.84</v>
      </c>
      <c r="W88" s="0" t="n">
        <v>3.81</v>
      </c>
      <c r="X88" s="0" t="n">
        <v>3.77</v>
      </c>
      <c r="Y88" s="0" t="n">
        <v>1.59</v>
      </c>
      <c r="AB88" s="0" t="n">
        <v>3.41</v>
      </c>
      <c r="AC88" s="0" t="n">
        <v>4.57</v>
      </c>
      <c r="AD88" s="0" t="n">
        <v>14.2</v>
      </c>
      <c r="AE88" s="0" t="n">
        <v>14.4</v>
      </c>
      <c r="AF88" s="0" t="n">
        <v>3.52</v>
      </c>
      <c r="AG88" s="0" t="n">
        <v>0.96</v>
      </c>
      <c r="AH88" s="0" t="n">
        <v>12.61</v>
      </c>
      <c r="AI88" s="0" t="n">
        <v>15.62</v>
      </c>
      <c r="AJ88" s="0" t="n">
        <v>7.89</v>
      </c>
      <c r="AK88" s="0" t="n">
        <v>7.09</v>
      </c>
      <c r="AL88" s="0" t="n">
        <v>8.98</v>
      </c>
      <c r="AM88" s="0" t="n">
        <v>9.49</v>
      </c>
      <c r="AN88" s="0" t="n">
        <v>11.22</v>
      </c>
      <c r="AP88" s="0" t="n">
        <v>11.96</v>
      </c>
      <c r="AQ88" s="0" t="n">
        <v>9.53</v>
      </c>
      <c r="AR88" s="0" t="n">
        <v>5.58</v>
      </c>
      <c r="AS88" s="0" t="n">
        <v>6.35</v>
      </c>
      <c r="AT88" s="0" t="n">
        <v>2.2</v>
      </c>
      <c r="AU88" s="0" t="n">
        <v>9.29</v>
      </c>
    </row>
    <row r="89" customFormat="false" ht="14.25" hidden="false" customHeight="false" outlineLevel="0" collapsed="false">
      <c r="A89" s="0" t="n">
        <v>12.03</v>
      </c>
      <c r="B89" s="0" t="n">
        <v>4.16</v>
      </c>
      <c r="C89" s="0" t="n">
        <v>6.51</v>
      </c>
      <c r="D89" s="0" t="n">
        <v>9.65</v>
      </c>
      <c r="E89" s="0" t="n">
        <v>3.46</v>
      </c>
      <c r="F89" s="0" t="n">
        <v>19.79</v>
      </c>
      <c r="G89" s="0" t="n">
        <v>16.01</v>
      </c>
      <c r="H89" s="0" t="n">
        <v>2.91</v>
      </c>
      <c r="I89" s="0" t="n">
        <v>667.61</v>
      </c>
      <c r="J89" s="0" t="n">
        <v>4.29</v>
      </c>
      <c r="K89" s="0" t="n">
        <v>651.21</v>
      </c>
      <c r="L89" s="0" t="n">
        <v>645.94</v>
      </c>
      <c r="M89" s="0" t="n">
        <v>639.47</v>
      </c>
      <c r="N89" s="0" t="n">
        <v>631.41</v>
      </c>
      <c r="O89" s="0" t="n">
        <v>621.15</v>
      </c>
      <c r="P89" s="0" t="n">
        <v>613.2</v>
      </c>
      <c r="R89" s="0" t="n">
        <v>5.24</v>
      </c>
      <c r="S89" s="0" t="n">
        <v>4.76</v>
      </c>
      <c r="T89" s="0" t="n">
        <v>4.61</v>
      </c>
      <c r="U89" s="0" t="n">
        <v>4.26</v>
      </c>
      <c r="V89" s="0" t="n">
        <v>4.91</v>
      </c>
      <c r="W89" s="0" t="n">
        <v>3.81</v>
      </c>
      <c r="X89" s="0" t="n">
        <v>3.77</v>
      </c>
      <c r="Y89" s="0" t="n">
        <v>1.59</v>
      </c>
      <c r="AB89" s="0" t="n">
        <v>3.43</v>
      </c>
      <c r="AC89" s="0" t="n">
        <v>4.55</v>
      </c>
      <c r="AD89" s="0" t="n">
        <v>14.2</v>
      </c>
      <c r="AE89" s="0" t="n">
        <v>14.43</v>
      </c>
      <c r="AF89" s="0" t="n">
        <v>3.53</v>
      </c>
      <c r="AG89" s="0" t="n">
        <v>1.04</v>
      </c>
      <c r="AH89" s="0" t="n">
        <v>12.62</v>
      </c>
      <c r="AI89" s="0" t="n">
        <v>15.62</v>
      </c>
      <c r="AJ89" s="0" t="n">
        <v>7.89</v>
      </c>
      <c r="AK89" s="0" t="n">
        <v>7.08</v>
      </c>
      <c r="AL89" s="0" t="n">
        <v>8.99</v>
      </c>
      <c r="AM89" s="0" t="n">
        <v>9.61</v>
      </c>
      <c r="AN89" s="0" t="n">
        <v>11.28</v>
      </c>
      <c r="AP89" s="0" t="n">
        <v>11.97</v>
      </c>
      <c r="AQ89" s="0" t="n">
        <v>9.52</v>
      </c>
      <c r="AR89" s="0" t="n">
        <v>5.57</v>
      </c>
      <c r="AS89" s="0" t="n">
        <v>6.18</v>
      </c>
      <c r="AT89" s="0" t="n">
        <v>2.19</v>
      </c>
      <c r="AU89" s="0" t="n">
        <v>9.28</v>
      </c>
    </row>
    <row r="90" customFormat="false" ht="14.25" hidden="false" customHeight="false" outlineLevel="0" collapsed="false">
      <c r="A90" s="0" t="n">
        <v>12.05</v>
      </c>
      <c r="B90" s="0" t="n">
        <v>4.15</v>
      </c>
      <c r="C90" s="0" t="n">
        <v>6.51</v>
      </c>
      <c r="D90" s="0" t="n">
        <v>9.66</v>
      </c>
      <c r="E90" s="0" t="n">
        <v>3.41</v>
      </c>
      <c r="F90" s="0" t="n">
        <v>19.79</v>
      </c>
      <c r="G90" s="0" t="n">
        <v>15.99</v>
      </c>
      <c r="H90" s="0" t="n">
        <v>2.91</v>
      </c>
      <c r="I90" s="0" t="n">
        <v>667.62</v>
      </c>
      <c r="J90" s="0" t="n">
        <v>4.28</v>
      </c>
      <c r="K90" s="0" t="n">
        <v>651.2</v>
      </c>
      <c r="L90" s="0" t="n">
        <v>645.94</v>
      </c>
      <c r="M90" s="0" t="n">
        <v>639.47</v>
      </c>
      <c r="N90" s="0" t="n">
        <v>631.4</v>
      </c>
      <c r="O90" s="0" t="n">
        <v>621.15</v>
      </c>
      <c r="P90" s="0" t="n">
        <v>613.22</v>
      </c>
      <c r="R90" s="0" t="n">
        <v>5.23</v>
      </c>
      <c r="S90" s="0" t="n">
        <v>4.76</v>
      </c>
      <c r="T90" s="0" t="n">
        <v>4.6</v>
      </c>
      <c r="U90" s="0" t="n">
        <v>4.29</v>
      </c>
      <c r="V90" s="0" t="n">
        <v>4.9</v>
      </c>
      <c r="W90" s="0" t="n">
        <v>3.8</v>
      </c>
      <c r="X90" s="0" t="n">
        <v>3.78</v>
      </c>
      <c r="Y90" s="0" t="n">
        <v>1.59</v>
      </c>
      <c r="AB90" s="0" t="n">
        <v>3.45</v>
      </c>
      <c r="AC90" s="0" t="n">
        <v>4.57</v>
      </c>
      <c r="AD90" s="0" t="n">
        <v>14.2</v>
      </c>
      <c r="AE90" s="0" t="n">
        <v>14.4</v>
      </c>
      <c r="AF90" s="0" t="n">
        <v>3.68</v>
      </c>
      <c r="AG90" s="0" t="n">
        <v>1.17</v>
      </c>
      <c r="AH90" s="0" t="n">
        <v>12.63</v>
      </c>
      <c r="AI90" s="0" t="n">
        <v>15.67</v>
      </c>
      <c r="AJ90" s="0" t="n">
        <v>7.9</v>
      </c>
      <c r="AK90" s="0" t="n">
        <v>7.08</v>
      </c>
      <c r="AL90" s="0" t="n">
        <v>8.99</v>
      </c>
      <c r="AM90" s="0" t="n">
        <v>9.46</v>
      </c>
      <c r="AN90" s="0" t="n">
        <v>11.31</v>
      </c>
      <c r="AP90" s="0" t="n">
        <v>11.95</v>
      </c>
      <c r="AQ90" s="0" t="n">
        <v>9.5</v>
      </c>
      <c r="AR90" s="0" t="n">
        <v>5.6</v>
      </c>
      <c r="AS90" s="0" t="n">
        <v>5.98</v>
      </c>
      <c r="AT90" s="0" t="n">
        <v>2.19</v>
      </c>
      <c r="AU90" s="0" t="n">
        <v>9.29</v>
      </c>
    </row>
    <row r="91" customFormat="false" ht="14.25" hidden="false" customHeight="false" outlineLevel="0" collapsed="false">
      <c r="A91" s="0" t="n">
        <v>12.07</v>
      </c>
      <c r="B91" s="0" t="n">
        <v>4.15</v>
      </c>
      <c r="C91" s="0" t="n">
        <v>6.51</v>
      </c>
      <c r="D91" s="0" t="n">
        <v>9.65</v>
      </c>
      <c r="E91" s="0" t="n">
        <v>3.4</v>
      </c>
      <c r="F91" s="0" t="n">
        <v>19.78</v>
      </c>
      <c r="G91" s="0" t="n">
        <v>15.98</v>
      </c>
      <c r="H91" s="0" t="n">
        <v>2.92</v>
      </c>
      <c r="I91" s="0" t="n">
        <v>667.65</v>
      </c>
      <c r="J91" s="0" t="n">
        <v>4.27</v>
      </c>
      <c r="K91" s="0" t="n">
        <v>651.21</v>
      </c>
      <c r="L91" s="0" t="n">
        <v>645.95</v>
      </c>
      <c r="M91" s="0" t="n">
        <v>639.47</v>
      </c>
      <c r="N91" s="0" t="n">
        <v>631.41</v>
      </c>
      <c r="O91" s="0" t="n">
        <v>621.16</v>
      </c>
      <c r="P91" s="0" t="n">
        <v>613.22</v>
      </c>
      <c r="R91" s="0" t="n">
        <v>5.23</v>
      </c>
      <c r="S91" s="0" t="n">
        <v>4.76</v>
      </c>
      <c r="T91" s="0" t="n">
        <v>4.62</v>
      </c>
      <c r="U91" s="0" t="n">
        <v>4.23</v>
      </c>
      <c r="V91" s="0" t="n">
        <v>4.89</v>
      </c>
      <c r="W91" s="0" t="n">
        <v>3.79</v>
      </c>
      <c r="X91" s="0" t="n">
        <v>3.77</v>
      </c>
      <c r="Y91" s="0" t="n">
        <v>1.59</v>
      </c>
      <c r="AB91" s="0" t="n">
        <v>3.45</v>
      </c>
      <c r="AC91" s="0" t="n">
        <v>4.57</v>
      </c>
      <c r="AD91" s="0" t="n">
        <v>14.21</v>
      </c>
      <c r="AE91" s="0" t="n">
        <v>14.43</v>
      </c>
      <c r="AF91" s="0" t="n">
        <v>3.6</v>
      </c>
      <c r="AG91" s="0" t="n">
        <v>0.95</v>
      </c>
      <c r="AH91" s="0" t="n">
        <v>12.62</v>
      </c>
      <c r="AI91" s="0" t="n">
        <v>15.61</v>
      </c>
      <c r="AJ91" s="0" t="n">
        <v>7.91</v>
      </c>
      <c r="AK91" s="0" t="n">
        <v>7.09</v>
      </c>
      <c r="AL91" s="0" t="n">
        <v>8.98</v>
      </c>
      <c r="AM91" s="0" t="n">
        <v>9.58</v>
      </c>
      <c r="AN91" s="0" t="n">
        <v>11.23</v>
      </c>
      <c r="AP91" s="0" t="n">
        <v>11.92</v>
      </c>
      <c r="AQ91" s="0" t="n">
        <v>9.47</v>
      </c>
      <c r="AR91" s="0" t="n">
        <v>5.57</v>
      </c>
      <c r="AS91" s="0" t="n">
        <v>5.81</v>
      </c>
      <c r="AT91" s="0" t="n">
        <v>2.18</v>
      </c>
      <c r="AU91" s="0" t="n">
        <v>9.29</v>
      </c>
    </row>
    <row r="92" customFormat="false" ht="14.25" hidden="false" customHeight="false" outlineLevel="0" collapsed="false">
      <c r="A92" s="0" t="n">
        <v>12.09</v>
      </c>
      <c r="B92" s="0" t="n">
        <v>4.15</v>
      </c>
      <c r="C92" s="0" t="n">
        <v>6.51</v>
      </c>
      <c r="D92" s="0" t="n">
        <v>9.67</v>
      </c>
      <c r="E92" s="0" t="n">
        <v>3.37</v>
      </c>
      <c r="F92" s="0" t="n">
        <v>19.78</v>
      </c>
      <c r="G92" s="0" t="n">
        <v>15.98</v>
      </c>
      <c r="H92" s="0" t="n">
        <v>2.91</v>
      </c>
      <c r="I92" s="0" t="n">
        <v>667.62</v>
      </c>
      <c r="J92" s="0" t="n">
        <v>4.25</v>
      </c>
      <c r="K92" s="0" t="n">
        <v>651.18</v>
      </c>
      <c r="L92" s="0" t="n">
        <v>645.95</v>
      </c>
      <c r="M92" s="0" t="n">
        <v>639.48</v>
      </c>
      <c r="N92" s="0" t="n">
        <v>631.47</v>
      </c>
      <c r="O92" s="0" t="n">
        <v>621.16</v>
      </c>
      <c r="P92" s="0" t="n">
        <v>613.22</v>
      </c>
      <c r="R92" s="0" t="n">
        <v>5.22</v>
      </c>
      <c r="S92" s="0" t="n">
        <v>4.77</v>
      </c>
      <c r="T92" s="0" t="n">
        <v>4.6</v>
      </c>
      <c r="U92" s="0" t="n">
        <v>4.3</v>
      </c>
      <c r="V92" s="0" t="n">
        <v>4.88</v>
      </c>
      <c r="W92" s="0" t="n">
        <v>3.82</v>
      </c>
      <c r="X92" s="0" t="n">
        <v>3.78</v>
      </c>
      <c r="Y92" s="0" t="n">
        <v>1.59</v>
      </c>
      <c r="AB92" s="0" t="n">
        <v>3.43</v>
      </c>
      <c r="AC92" s="0" t="n">
        <v>4.57</v>
      </c>
      <c r="AD92" s="0" t="n">
        <v>14.2</v>
      </c>
      <c r="AE92" s="0" t="n">
        <v>14.44</v>
      </c>
      <c r="AF92" s="0" t="n">
        <v>3.58</v>
      </c>
      <c r="AG92" s="0" t="n">
        <v>0.97</v>
      </c>
      <c r="AH92" s="0" t="n">
        <v>12.6</v>
      </c>
      <c r="AI92" s="0" t="n">
        <v>15.63</v>
      </c>
      <c r="AJ92" s="0" t="n">
        <v>7.91</v>
      </c>
      <c r="AK92" s="0" t="n">
        <v>7.09</v>
      </c>
      <c r="AL92" s="0" t="n">
        <v>8.96</v>
      </c>
      <c r="AM92" s="0" t="n">
        <v>9.55</v>
      </c>
      <c r="AN92" s="0" t="n">
        <v>11.16</v>
      </c>
      <c r="AP92" s="0" t="n">
        <v>11.91</v>
      </c>
      <c r="AQ92" s="0" t="n">
        <v>9.41</v>
      </c>
      <c r="AR92" s="0" t="n">
        <v>5.55</v>
      </c>
      <c r="AS92" s="0" t="n">
        <v>5.7</v>
      </c>
      <c r="AT92" s="0" t="n">
        <v>2.2</v>
      </c>
      <c r="AU92" s="0" t="n">
        <v>9.29</v>
      </c>
    </row>
    <row r="93" customFormat="false" ht="14.25" hidden="false" customHeight="false" outlineLevel="0" collapsed="false">
      <c r="A93" s="0" t="n">
        <v>12.1</v>
      </c>
      <c r="B93" s="0" t="n">
        <v>4.16</v>
      </c>
      <c r="C93" s="0" t="n">
        <v>6.51</v>
      </c>
      <c r="D93" s="0" t="n">
        <v>9.66</v>
      </c>
      <c r="E93" s="0" t="n">
        <v>3.36</v>
      </c>
      <c r="F93" s="0" t="n">
        <v>19.79</v>
      </c>
      <c r="G93" s="0" t="n">
        <v>15.98</v>
      </c>
      <c r="H93" s="0" t="n">
        <v>2.91</v>
      </c>
      <c r="I93" s="0" t="n">
        <v>667.64</v>
      </c>
      <c r="J93" s="0" t="n">
        <v>4.29</v>
      </c>
      <c r="K93" s="0" t="n">
        <v>651.17</v>
      </c>
      <c r="L93" s="0" t="n">
        <v>645.94</v>
      </c>
      <c r="M93" s="0" t="n">
        <v>639.48</v>
      </c>
      <c r="N93" s="0" t="n">
        <v>631.47</v>
      </c>
      <c r="O93" s="0" t="n">
        <v>621.16</v>
      </c>
      <c r="P93" s="0" t="n">
        <v>613.28</v>
      </c>
      <c r="R93" s="0" t="n">
        <v>5.2</v>
      </c>
      <c r="S93" s="0" t="n">
        <v>4.78</v>
      </c>
      <c r="T93" s="0" t="n">
        <v>4.59</v>
      </c>
      <c r="U93" s="0" t="n">
        <v>4.3</v>
      </c>
      <c r="V93" s="0" t="n">
        <v>4.85</v>
      </c>
      <c r="W93" s="0" t="n">
        <v>3.81</v>
      </c>
      <c r="X93" s="0" t="n">
        <v>3.78</v>
      </c>
      <c r="Y93" s="0" t="n">
        <v>1.6</v>
      </c>
      <c r="AB93" s="0" t="n">
        <v>3.44</v>
      </c>
      <c r="AC93" s="0" t="n">
        <v>4.57</v>
      </c>
      <c r="AD93" s="0" t="n">
        <v>14.19</v>
      </c>
      <c r="AE93" s="0" t="n">
        <v>14.46</v>
      </c>
      <c r="AF93" s="0" t="n">
        <v>3.59</v>
      </c>
      <c r="AG93" s="0" t="n">
        <v>1</v>
      </c>
      <c r="AH93" s="0" t="n">
        <v>12.6</v>
      </c>
      <c r="AI93" s="0" t="n">
        <v>15.57</v>
      </c>
      <c r="AJ93" s="0" t="n">
        <v>7.93</v>
      </c>
      <c r="AK93" s="0" t="n">
        <v>7.08</v>
      </c>
      <c r="AL93" s="0" t="n">
        <v>8.93</v>
      </c>
      <c r="AM93" s="0" t="n">
        <v>9.54</v>
      </c>
      <c r="AN93" s="0" t="n">
        <v>11.2</v>
      </c>
      <c r="AP93" s="0" t="n">
        <v>11.89</v>
      </c>
      <c r="AQ93" s="0" t="n">
        <v>9.36</v>
      </c>
      <c r="AR93" s="0" t="n">
        <v>5.51</v>
      </c>
      <c r="AS93" s="0" t="n">
        <v>5.55</v>
      </c>
      <c r="AT93" s="0" t="n">
        <v>2.2</v>
      </c>
      <c r="AU93" s="0" t="n">
        <v>9.3</v>
      </c>
    </row>
    <row r="94" customFormat="false" ht="14.25" hidden="false" customHeight="false" outlineLevel="0" collapsed="false">
      <c r="A94" s="0" t="n">
        <v>12.11</v>
      </c>
      <c r="B94" s="0" t="n">
        <v>4.14</v>
      </c>
      <c r="C94" s="0" t="n">
        <v>6.51</v>
      </c>
      <c r="D94" s="0" t="n">
        <v>9.66</v>
      </c>
      <c r="E94" s="0" t="n">
        <v>3.32</v>
      </c>
      <c r="F94" s="0" t="n">
        <v>19.78</v>
      </c>
      <c r="G94" s="0" t="n">
        <v>15.98</v>
      </c>
      <c r="H94" s="0" t="n">
        <v>2.9</v>
      </c>
      <c r="I94" s="0" t="n">
        <v>667.64</v>
      </c>
      <c r="J94" s="0" t="n">
        <v>4.28</v>
      </c>
      <c r="K94" s="0" t="n">
        <v>651.27</v>
      </c>
      <c r="L94" s="0" t="n">
        <v>645.92</v>
      </c>
      <c r="M94" s="0" t="n">
        <v>639.48</v>
      </c>
      <c r="N94" s="0" t="n">
        <v>631.47</v>
      </c>
      <c r="O94" s="0" t="n">
        <v>621.17</v>
      </c>
      <c r="P94" s="0" t="n">
        <v>613.29</v>
      </c>
      <c r="R94" s="0" t="n">
        <v>5.24</v>
      </c>
      <c r="S94" s="0" t="n">
        <v>4.78</v>
      </c>
      <c r="T94" s="0" t="n">
        <v>4.6</v>
      </c>
      <c r="U94" s="0" t="n">
        <v>4.3</v>
      </c>
      <c r="V94" s="0" t="n">
        <v>4.84</v>
      </c>
      <c r="W94" s="0" t="n">
        <v>3.81</v>
      </c>
      <c r="X94" s="0" t="n">
        <v>3.77</v>
      </c>
      <c r="Y94" s="0" t="n">
        <v>1.59</v>
      </c>
      <c r="AB94" s="0" t="n">
        <v>3.45</v>
      </c>
      <c r="AC94" s="0" t="n">
        <v>4.59</v>
      </c>
      <c r="AD94" s="0" t="n">
        <v>14.19</v>
      </c>
      <c r="AE94" s="0" t="n">
        <v>14.49</v>
      </c>
      <c r="AF94" s="0" t="n">
        <v>3.6</v>
      </c>
      <c r="AG94" s="0" t="n">
        <v>1.01</v>
      </c>
      <c r="AH94" s="0" t="n">
        <v>12.61</v>
      </c>
      <c r="AI94" s="0" t="n">
        <v>15.45</v>
      </c>
      <c r="AJ94" s="0" t="n">
        <v>7.95</v>
      </c>
      <c r="AK94" s="0" t="n">
        <v>7.1</v>
      </c>
      <c r="AL94" s="0" t="n">
        <v>8.95</v>
      </c>
      <c r="AM94" s="0" t="n">
        <v>9.52</v>
      </c>
      <c r="AN94" s="0" t="n">
        <v>11.21</v>
      </c>
      <c r="AP94" s="0" t="n">
        <v>11.88</v>
      </c>
      <c r="AQ94" s="0" t="n">
        <v>9.31</v>
      </c>
      <c r="AR94" s="0" t="n">
        <v>5.5</v>
      </c>
      <c r="AS94" s="0" t="n">
        <v>5.33</v>
      </c>
      <c r="AT94" s="0" t="n">
        <v>2.19</v>
      </c>
      <c r="AU94" s="0" t="n">
        <v>9.3</v>
      </c>
    </row>
    <row r="95" customFormat="false" ht="14.25" hidden="false" customHeight="false" outlineLevel="0" collapsed="false">
      <c r="A95" s="0" t="n">
        <v>12.11</v>
      </c>
      <c r="B95" s="0" t="n">
        <v>4.15</v>
      </c>
      <c r="C95" s="0" t="n">
        <v>6.51</v>
      </c>
      <c r="D95" s="0" t="n">
        <v>9.65</v>
      </c>
      <c r="E95" s="0" t="n">
        <v>3.3</v>
      </c>
      <c r="F95" s="0" t="n">
        <v>19.78</v>
      </c>
      <c r="G95" s="0" t="n">
        <v>15.97</v>
      </c>
      <c r="H95" s="0" t="n">
        <v>2.9</v>
      </c>
      <c r="I95" s="0" t="n">
        <v>667.64</v>
      </c>
      <c r="J95" s="0" t="n">
        <v>4.27</v>
      </c>
      <c r="K95" s="0" t="n">
        <v>651.3</v>
      </c>
      <c r="L95" s="0" t="n">
        <v>645.96</v>
      </c>
      <c r="M95" s="0" t="n">
        <v>639.48</v>
      </c>
      <c r="N95" s="0" t="n">
        <v>631.47</v>
      </c>
      <c r="O95" s="0" t="n">
        <v>621.18</v>
      </c>
      <c r="P95" s="0" t="n">
        <v>613.29</v>
      </c>
      <c r="R95" s="0" t="n">
        <v>5.23</v>
      </c>
      <c r="S95" s="0" t="n">
        <v>4.74</v>
      </c>
      <c r="T95" s="0" t="n">
        <v>4.63</v>
      </c>
      <c r="U95" s="0" t="n">
        <v>4.3</v>
      </c>
      <c r="V95" s="0" t="n">
        <v>4.84</v>
      </c>
      <c r="W95" s="0" t="n">
        <v>3.83</v>
      </c>
      <c r="X95" s="0" t="n">
        <v>3.77</v>
      </c>
      <c r="Y95" s="0" t="n">
        <v>1.6</v>
      </c>
      <c r="AB95" s="0" t="n">
        <v>3.47</v>
      </c>
      <c r="AC95" s="0" t="n">
        <v>4.57</v>
      </c>
      <c r="AD95" s="0" t="n">
        <v>14.19</v>
      </c>
      <c r="AE95" s="0" t="n">
        <v>14.53</v>
      </c>
      <c r="AF95" s="0" t="n">
        <v>3.59</v>
      </c>
      <c r="AG95" s="0" t="n">
        <v>0.96</v>
      </c>
      <c r="AH95" s="0" t="n">
        <v>12.6</v>
      </c>
      <c r="AI95" s="0" t="n">
        <v>15.35</v>
      </c>
      <c r="AJ95" s="0" t="n">
        <v>7.9</v>
      </c>
      <c r="AK95" s="0" t="n">
        <v>7.09</v>
      </c>
      <c r="AL95" s="0" t="n">
        <v>8.93</v>
      </c>
      <c r="AM95" s="0" t="n">
        <v>9.56</v>
      </c>
      <c r="AN95" s="0" t="n">
        <v>11.25</v>
      </c>
      <c r="AP95" s="0" t="n">
        <v>11.9</v>
      </c>
      <c r="AQ95" s="0" t="n">
        <v>9.31</v>
      </c>
      <c r="AR95" s="0" t="n">
        <v>5.48</v>
      </c>
      <c r="AS95" s="0" t="n">
        <v>5.25</v>
      </c>
      <c r="AT95" s="0" t="n">
        <v>2.19</v>
      </c>
      <c r="AU95" s="0" t="n">
        <v>9.29</v>
      </c>
    </row>
    <row r="96" customFormat="false" ht="14.25" hidden="false" customHeight="false" outlineLevel="0" collapsed="false">
      <c r="A96" s="0" t="n">
        <v>12.11</v>
      </c>
      <c r="B96" s="0" t="n">
        <v>4.11</v>
      </c>
      <c r="C96" s="0" t="n">
        <v>6.52</v>
      </c>
      <c r="D96" s="0" t="n">
        <v>9.67</v>
      </c>
      <c r="E96" s="0" t="n">
        <v>3.26</v>
      </c>
      <c r="F96" s="0" t="n">
        <v>19.79</v>
      </c>
      <c r="G96" s="0" t="n">
        <v>15.95</v>
      </c>
      <c r="H96" s="0" t="n">
        <v>2.9</v>
      </c>
      <c r="I96" s="0" t="n">
        <v>667.64</v>
      </c>
      <c r="J96" s="0" t="n">
        <v>4.29</v>
      </c>
      <c r="K96" s="0" t="n">
        <v>651.27</v>
      </c>
      <c r="L96" s="0" t="n">
        <v>645.93</v>
      </c>
      <c r="M96" s="0" t="n">
        <v>639.48</v>
      </c>
      <c r="N96" s="0" t="n">
        <v>631.46</v>
      </c>
      <c r="O96" s="0" t="n">
        <v>621.2</v>
      </c>
      <c r="P96" s="0" t="n">
        <v>613.29</v>
      </c>
      <c r="R96" s="0" t="n">
        <v>5.22</v>
      </c>
      <c r="S96" s="0" t="n">
        <v>4.83</v>
      </c>
      <c r="T96" s="0" t="n">
        <v>4.6</v>
      </c>
      <c r="U96" s="0" t="n">
        <v>4.3</v>
      </c>
      <c r="V96" s="0" t="n">
        <v>4.84</v>
      </c>
      <c r="W96" s="0" t="n">
        <v>3.82</v>
      </c>
      <c r="X96" s="0" t="n">
        <v>3.78</v>
      </c>
      <c r="Y96" s="0" t="n">
        <v>1.6</v>
      </c>
      <c r="AB96" s="0" t="n">
        <v>3.48</v>
      </c>
      <c r="AC96" s="0" t="n">
        <v>4.57</v>
      </c>
      <c r="AD96" s="0" t="n">
        <v>14.21</v>
      </c>
      <c r="AE96" s="0" t="n">
        <v>14.53</v>
      </c>
      <c r="AF96" s="0" t="n">
        <v>3.62</v>
      </c>
      <c r="AG96" s="0" t="n">
        <v>0.98</v>
      </c>
      <c r="AH96" s="0" t="n">
        <v>12.6</v>
      </c>
      <c r="AI96" s="0" t="n">
        <v>15.32</v>
      </c>
      <c r="AJ96" s="0" t="n">
        <v>7.92</v>
      </c>
      <c r="AK96" s="0" t="n">
        <v>7.09</v>
      </c>
      <c r="AL96" s="0" t="n">
        <v>8.95</v>
      </c>
      <c r="AM96" s="0" t="n">
        <v>9.52</v>
      </c>
      <c r="AN96" s="0" t="n">
        <v>11.28</v>
      </c>
      <c r="AP96" s="0" t="n">
        <v>11.87</v>
      </c>
      <c r="AQ96" s="0" t="n">
        <v>9.28</v>
      </c>
      <c r="AR96" s="0" t="n">
        <v>5.47</v>
      </c>
      <c r="AS96" s="0" t="n">
        <v>5.12</v>
      </c>
      <c r="AT96" s="0" t="n">
        <v>2.19</v>
      </c>
      <c r="AU96" s="0" t="n">
        <v>9.32</v>
      </c>
    </row>
    <row r="97" customFormat="false" ht="14.25" hidden="false" customHeight="false" outlineLevel="0" collapsed="false">
      <c r="A97" s="0" t="n">
        <v>12.12</v>
      </c>
      <c r="B97" s="0" t="n">
        <v>4.12</v>
      </c>
      <c r="C97" s="0" t="n">
        <v>6.52</v>
      </c>
      <c r="D97" s="0" t="n">
        <v>9.69</v>
      </c>
      <c r="E97" s="0" t="n">
        <v>3.24</v>
      </c>
      <c r="F97" s="0" t="n">
        <v>19.79</v>
      </c>
      <c r="G97" s="0" t="n">
        <v>15.95</v>
      </c>
      <c r="H97" s="0" t="n">
        <v>2.9</v>
      </c>
      <c r="I97" s="0" t="n">
        <v>667.64</v>
      </c>
      <c r="J97" s="0" t="n">
        <v>4.35</v>
      </c>
      <c r="K97" s="0" t="n">
        <v>651.26</v>
      </c>
      <c r="L97" s="0" t="n">
        <v>645.93</v>
      </c>
      <c r="M97" s="0" t="n">
        <v>639.49</v>
      </c>
      <c r="N97" s="0" t="n">
        <v>631.46</v>
      </c>
      <c r="O97" s="0" t="n">
        <v>621.22</v>
      </c>
      <c r="P97" s="0" t="n">
        <v>613.28</v>
      </c>
      <c r="R97" s="0" t="n">
        <v>5.22</v>
      </c>
      <c r="S97" s="0" t="n">
        <v>4.77</v>
      </c>
      <c r="T97" s="0" t="n">
        <v>4.6</v>
      </c>
      <c r="U97" s="0" t="n">
        <v>4.3</v>
      </c>
      <c r="V97" s="0" t="n">
        <v>4.86</v>
      </c>
      <c r="W97" s="0" t="n">
        <v>3.81</v>
      </c>
      <c r="X97" s="0" t="n">
        <v>3.78</v>
      </c>
      <c r="Y97" s="0" t="n">
        <v>1.6</v>
      </c>
      <c r="AB97" s="0" t="n">
        <v>3.47</v>
      </c>
      <c r="AC97" s="0" t="n">
        <v>4.57</v>
      </c>
      <c r="AD97" s="0" t="n">
        <v>14.23</v>
      </c>
      <c r="AE97" s="0" t="n">
        <v>14.52</v>
      </c>
      <c r="AF97" s="0" t="n">
        <v>3.6</v>
      </c>
      <c r="AG97" s="0" t="n">
        <v>0.96</v>
      </c>
      <c r="AH97" s="0" t="n">
        <v>12.6</v>
      </c>
      <c r="AI97" s="0" t="n">
        <v>15.32</v>
      </c>
      <c r="AJ97" s="0" t="n">
        <v>7.97</v>
      </c>
      <c r="AK97" s="0" t="n">
        <v>7.08</v>
      </c>
      <c r="AL97" s="0" t="n">
        <v>8.95</v>
      </c>
      <c r="AM97" s="0" t="n">
        <v>9.56</v>
      </c>
      <c r="AN97" s="0" t="n">
        <v>11.25</v>
      </c>
      <c r="AP97" s="0" t="n">
        <v>11.84</v>
      </c>
      <c r="AQ97" s="0" t="n">
        <v>9.27</v>
      </c>
      <c r="AR97" s="0" t="n">
        <v>5.43</v>
      </c>
      <c r="AS97" s="0" t="n">
        <v>5.02</v>
      </c>
      <c r="AT97" s="0" t="n">
        <v>2.18</v>
      </c>
      <c r="AU97" s="0" t="n">
        <v>9.31</v>
      </c>
    </row>
    <row r="98" customFormat="false" ht="14.25" hidden="false" customHeight="false" outlineLevel="0" collapsed="false">
      <c r="A98" s="0" t="n">
        <v>12.11</v>
      </c>
      <c r="B98" s="0" t="n">
        <v>4.14</v>
      </c>
      <c r="C98" s="0" t="n">
        <v>6.52</v>
      </c>
      <c r="D98" s="0" t="n">
        <v>9.75</v>
      </c>
      <c r="E98" s="0" t="n">
        <v>3.21</v>
      </c>
      <c r="F98" s="0" t="n">
        <v>19.78</v>
      </c>
      <c r="G98" s="0" t="n">
        <v>15.94</v>
      </c>
      <c r="H98" s="0" t="n">
        <v>2.89</v>
      </c>
      <c r="I98" s="0" t="n">
        <v>667.64</v>
      </c>
      <c r="J98" s="0" t="n">
        <v>4.37</v>
      </c>
      <c r="K98" s="0" t="n">
        <v>651.26</v>
      </c>
      <c r="L98" s="0" t="n">
        <v>645.99</v>
      </c>
      <c r="M98" s="0" t="n">
        <v>639.49</v>
      </c>
      <c r="N98" s="0" t="n">
        <v>631.47</v>
      </c>
      <c r="O98" s="0" t="n">
        <v>621.28</v>
      </c>
      <c r="P98" s="0" t="n">
        <v>613.29</v>
      </c>
      <c r="R98" s="0" t="n">
        <v>5.21</v>
      </c>
      <c r="S98" s="0" t="n">
        <v>4.76</v>
      </c>
      <c r="T98" s="0" t="n">
        <v>4.59</v>
      </c>
      <c r="U98" s="0" t="n">
        <v>4.37</v>
      </c>
      <c r="V98" s="0" t="n">
        <v>4.84</v>
      </c>
      <c r="W98" s="0" t="n">
        <v>3.81</v>
      </c>
      <c r="X98" s="0" t="n">
        <v>3.78</v>
      </c>
      <c r="Y98" s="0" t="n">
        <v>1.61</v>
      </c>
      <c r="AB98" s="0" t="n">
        <v>3.46</v>
      </c>
      <c r="AC98" s="0" t="n">
        <v>4.59</v>
      </c>
      <c r="AD98" s="0" t="n">
        <v>14.23</v>
      </c>
      <c r="AE98" s="0" t="n">
        <v>14.55</v>
      </c>
      <c r="AF98" s="0" t="n">
        <v>3.64</v>
      </c>
      <c r="AG98" s="0" t="n">
        <v>1.02</v>
      </c>
      <c r="AH98" s="0" t="n">
        <v>12.59</v>
      </c>
      <c r="AI98" s="0" t="n">
        <v>15.32</v>
      </c>
      <c r="AJ98" s="0" t="n">
        <v>7.99</v>
      </c>
      <c r="AK98" s="0" t="n">
        <v>7.09</v>
      </c>
      <c r="AL98" s="0" t="n">
        <v>8.92</v>
      </c>
      <c r="AM98" s="0" t="n">
        <v>9.5</v>
      </c>
      <c r="AN98" s="0" t="n">
        <v>11.3</v>
      </c>
      <c r="AP98" s="0" t="n">
        <v>11.83</v>
      </c>
      <c r="AQ98" s="0" t="n">
        <v>9.23</v>
      </c>
      <c r="AR98" s="0" t="n">
        <v>5.4</v>
      </c>
      <c r="AS98" s="0" t="n">
        <v>4.95</v>
      </c>
      <c r="AT98" s="0" t="n">
        <v>2.17</v>
      </c>
      <c r="AU98" s="0" t="n">
        <v>9.32</v>
      </c>
    </row>
    <row r="99" customFormat="false" ht="14.25" hidden="false" customHeight="false" outlineLevel="0" collapsed="false">
      <c r="A99" s="0" t="n">
        <v>12.11</v>
      </c>
      <c r="B99" s="0" t="n">
        <v>4.14</v>
      </c>
      <c r="C99" s="0" t="n">
        <v>6.52</v>
      </c>
      <c r="D99" s="0" t="n">
        <v>9.74</v>
      </c>
      <c r="E99" s="0" t="n">
        <v>3.15</v>
      </c>
      <c r="F99" s="0" t="n">
        <v>19.78</v>
      </c>
      <c r="G99" s="0" t="n">
        <v>15.95</v>
      </c>
      <c r="H99" s="0" t="n">
        <v>2.9</v>
      </c>
      <c r="I99" s="0" t="n">
        <v>667.66</v>
      </c>
      <c r="J99" s="0" t="n">
        <v>4.35</v>
      </c>
      <c r="K99" s="0" t="n">
        <v>651.26</v>
      </c>
      <c r="L99" s="0" t="n">
        <v>646</v>
      </c>
      <c r="M99" s="0" t="n">
        <v>639.5</v>
      </c>
      <c r="N99" s="0" t="n">
        <v>631.47</v>
      </c>
      <c r="O99" s="0" t="n">
        <v>621.28</v>
      </c>
      <c r="P99" s="0" t="n">
        <v>613.29</v>
      </c>
      <c r="R99" s="0" t="n">
        <v>5.21</v>
      </c>
      <c r="S99" s="0" t="n">
        <v>4.81</v>
      </c>
      <c r="T99" s="0" t="n">
        <v>4.59</v>
      </c>
      <c r="U99" s="0" t="n">
        <v>4.31</v>
      </c>
      <c r="V99" s="0" t="n">
        <v>4.84</v>
      </c>
      <c r="W99" s="0" t="n">
        <v>3.85</v>
      </c>
      <c r="X99" s="0" t="n">
        <v>3.78</v>
      </c>
      <c r="Y99" s="0" t="n">
        <v>1.6</v>
      </c>
      <c r="AB99" s="0" t="n">
        <v>3.47</v>
      </c>
      <c r="AC99" s="0" t="n">
        <v>4.58</v>
      </c>
      <c r="AD99" s="0" t="n">
        <v>14.21</v>
      </c>
      <c r="AE99" s="0" t="n">
        <v>14.42</v>
      </c>
      <c r="AF99" s="0" t="n">
        <v>3.67</v>
      </c>
      <c r="AG99" s="0" t="n">
        <v>0.97</v>
      </c>
      <c r="AH99" s="0" t="n">
        <v>12.59</v>
      </c>
      <c r="AI99" s="0" t="n">
        <v>15.3</v>
      </c>
      <c r="AJ99" s="0" t="n">
        <v>7.99</v>
      </c>
      <c r="AK99" s="0" t="n">
        <v>7.09</v>
      </c>
      <c r="AL99" s="0" t="n">
        <v>8.91</v>
      </c>
      <c r="AM99" s="0" t="n">
        <v>9.66</v>
      </c>
      <c r="AN99" s="0" t="n">
        <v>11.31</v>
      </c>
      <c r="AP99" s="0" t="n">
        <v>11.81</v>
      </c>
      <c r="AQ99" s="0" t="n">
        <v>9.21</v>
      </c>
      <c r="AR99" s="0" t="n">
        <v>5.37</v>
      </c>
      <c r="AS99" s="0" t="n">
        <v>4.82</v>
      </c>
      <c r="AT99" s="0" t="n">
        <v>2.18</v>
      </c>
      <c r="AU99" s="0" t="n">
        <v>9.36</v>
      </c>
    </row>
    <row r="100" customFormat="false" ht="14.25" hidden="false" customHeight="false" outlineLevel="0" collapsed="false">
      <c r="A100" s="0" t="n">
        <v>12.11</v>
      </c>
      <c r="B100" s="0" t="n">
        <v>4.13</v>
      </c>
      <c r="C100" s="0" t="n">
        <v>6.52</v>
      </c>
      <c r="D100" s="0" t="n">
        <v>9.74</v>
      </c>
      <c r="E100" s="0" t="n">
        <v>3.15</v>
      </c>
      <c r="F100" s="0" t="n">
        <v>19.77</v>
      </c>
      <c r="G100" s="0" t="n">
        <v>15.94</v>
      </c>
      <c r="H100" s="0" t="n">
        <v>2.9</v>
      </c>
      <c r="I100" s="0" t="n">
        <v>667.69</v>
      </c>
      <c r="J100" s="0" t="n">
        <v>4.35</v>
      </c>
      <c r="K100" s="0" t="n">
        <v>651.26</v>
      </c>
      <c r="L100" s="0" t="n">
        <v>646</v>
      </c>
      <c r="M100" s="0" t="n">
        <v>639.55</v>
      </c>
      <c r="N100" s="0" t="n">
        <v>631.46</v>
      </c>
      <c r="O100" s="0" t="n">
        <v>621.29</v>
      </c>
      <c r="P100" s="0" t="n">
        <v>613.29</v>
      </c>
      <c r="R100" s="0" t="n">
        <v>5.21</v>
      </c>
      <c r="S100" s="0" t="n">
        <v>4.77</v>
      </c>
      <c r="T100" s="0" t="n">
        <v>4.59</v>
      </c>
      <c r="U100" s="0" t="n">
        <v>4.32</v>
      </c>
      <c r="V100" s="0" t="n">
        <v>4.81</v>
      </c>
      <c r="W100" s="0" t="n">
        <v>3.81</v>
      </c>
      <c r="X100" s="0" t="n">
        <v>3.79</v>
      </c>
      <c r="Y100" s="0" t="n">
        <v>1.61</v>
      </c>
      <c r="AB100" s="0" t="n">
        <v>3.48</v>
      </c>
      <c r="AC100" s="0" t="n">
        <v>4.59</v>
      </c>
      <c r="AD100" s="0" t="n">
        <v>14.22</v>
      </c>
      <c r="AE100" s="0" t="n">
        <v>14.55</v>
      </c>
      <c r="AF100" s="0" t="n">
        <v>3.66</v>
      </c>
      <c r="AG100" s="0" t="n">
        <v>0.98</v>
      </c>
      <c r="AH100" s="0" t="n">
        <v>12.6</v>
      </c>
      <c r="AI100" s="0" t="n">
        <v>15.21</v>
      </c>
      <c r="AJ100" s="0" t="n">
        <v>7.99</v>
      </c>
      <c r="AK100" s="0" t="n">
        <v>7.09</v>
      </c>
      <c r="AL100" s="0" t="n">
        <v>8.91</v>
      </c>
      <c r="AM100" s="0" t="n">
        <v>9.69</v>
      </c>
      <c r="AN100" s="0" t="n">
        <v>11.27</v>
      </c>
      <c r="AP100" s="0" t="n">
        <v>11.81</v>
      </c>
      <c r="AQ100" s="0" t="n">
        <v>9.18</v>
      </c>
      <c r="AR100" s="0" t="n">
        <v>5.39</v>
      </c>
      <c r="AS100" s="0" t="n">
        <v>4.84</v>
      </c>
      <c r="AT100" s="0" t="n">
        <v>2.18</v>
      </c>
      <c r="AU100" s="0" t="n">
        <v>9.33</v>
      </c>
    </row>
    <row r="101" customFormat="false" ht="14.25" hidden="false" customHeight="false" outlineLevel="0" collapsed="false">
      <c r="A101" s="0" t="n">
        <v>12.11</v>
      </c>
      <c r="B101" s="0" t="n">
        <v>4.14</v>
      </c>
      <c r="C101" s="0" t="n">
        <v>6.52</v>
      </c>
      <c r="D101" s="0" t="n">
        <v>9.76</v>
      </c>
      <c r="E101" s="0" t="n">
        <v>3.15</v>
      </c>
      <c r="F101" s="0" t="n">
        <v>19.77</v>
      </c>
      <c r="G101" s="0" t="n">
        <v>15.95</v>
      </c>
      <c r="H101" s="0" t="n">
        <v>2.91</v>
      </c>
      <c r="I101" s="0" t="n">
        <v>667.69</v>
      </c>
      <c r="J101" s="0" t="n">
        <v>4.36</v>
      </c>
      <c r="K101" s="0" t="n">
        <v>651.27</v>
      </c>
      <c r="L101" s="0" t="n">
        <v>646</v>
      </c>
      <c r="M101" s="0" t="n">
        <v>639.56</v>
      </c>
      <c r="N101" s="0" t="n">
        <v>631.47</v>
      </c>
      <c r="O101" s="0" t="n">
        <v>621.29</v>
      </c>
      <c r="P101" s="0" t="n">
        <v>613.28</v>
      </c>
      <c r="R101" s="0" t="n">
        <v>5.2</v>
      </c>
      <c r="S101" s="0" t="n">
        <v>4.79</v>
      </c>
      <c r="T101" s="0" t="n">
        <v>4.55</v>
      </c>
      <c r="U101" s="0" t="n">
        <v>4.32</v>
      </c>
      <c r="V101" s="0" t="n">
        <v>4.84</v>
      </c>
      <c r="W101" s="0" t="n">
        <v>3.81</v>
      </c>
      <c r="X101" s="0" t="n">
        <v>3.78</v>
      </c>
      <c r="Y101" s="0" t="n">
        <v>1.6</v>
      </c>
      <c r="AB101" s="0" t="n">
        <v>3.45</v>
      </c>
      <c r="AC101" s="0" t="n">
        <v>4.58</v>
      </c>
      <c r="AD101" s="0" t="n">
        <v>14.21</v>
      </c>
      <c r="AE101" s="0" t="n">
        <v>14.54</v>
      </c>
      <c r="AF101" s="0" t="n">
        <v>3.64</v>
      </c>
      <c r="AG101" s="0" t="n">
        <v>0.94</v>
      </c>
      <c r="AH101" s="0" t="n">
        <v>12.59</v>
      </c>
      <c r="AI101" s="0" t="n">
        <v>15.27</v>
      </c>
      <c r="AJ101" s="0" t="n">
        <v>8</v>
      </c>
      <c r="AK101" s="0" t="n">
        <v>7.08</v>
      </c>
      <c r="AL101" s="0" t="n">
        <v>8.9</v>
      </c>
      <c r="AM101" s="0" t="n">
        <v>9.66</v>
      </c>
      <c r="AN101" s="0" t="n">
        <v>11.3</v>
      </c>
      <c r="AP101" s="0" t="n">
        <v>11.78</v>
      </c>
      <c r="AQ101" s="0" t="n">
        <v>9.16</v>
      </c>
      <c r="AR101" s="0" t="n">
        <v>5.37</v>
      </c>
      <c r="AS101" s="0" t="n">
        <v>4.76</v>
      </c>
      <c r="AT101" s="0" t="n">
        <v>2.17</v>
      </c>
      <c r="AU101" s="0" t="n">
        <v>9.36</v>
      </c>
    </row>
    <row r="102" customFormat="false" ht="14.25" hidden="false" customHeight="false" outlineLevel="0" collapsed="false">
      <c r="A102" s="0" t="n">
        <v>12.11</v>
      </c>
      <c r="B102" s="0" t="n">
        <v>4.13</v>
      </c>
      <c r="C102" s="0" t="n">
        <v>6.51</v>
      </c>
      <c r="D102" s="0" t="n">
        <v>9.75</v>
      </c>
      <c r="E102" s="0" t="n">
        <v>3.13</v>
      </c>
      <c r="F102" s="0" t="n">
        <v>19.77</v>
      </c>
      <c r="G102" s="0" t="n">
        <v>15.93</v>
      </c>
      <c r="H102" s="0" t="n">
        <v>2.9</v>
      </c>
      <c r="I102" s="0" t="n">
        <v>667.69</v>
      </c>
      <c r="J102" s="0" t="n">
        <v>4.36</v>
      </c>
      <c r="K102" s="0" t="n">
        <v>651.27</v>
      </c>
      <c r="L102" s="0" t="n">
        <v>645.99</v>
      </c>
      <c r="M102" s="0" t="n">
        <v>639.56</v>
      </c>
      <c r="N102" s="0" t="n">
        <v>631.47</v>
      </c>
      <c r="O102" s="0" t="n">
        <v>621.29</v>
      </c>
      <c r="P102" s="0" t="n">
        <v>613.3</v>
      </c>
      <c r="R102" s="0" t="n">
        <v>5.19</v>
      </c>
      <c r="S102" s="0" t="n">
        <v>4.78</v>
      </c>
      <c r="T102" s="0" t="n">
        <v>4.61</v>
      </c>
      <c r="U102" s="0" t="n">
        <v>4.33</v>
      </c>
      <c r="V102" s="0" t="n">
        <v>4.79</v>
      </c>
      <c r="W102" s="0" t="n">
        <v>3.81</v>
      </c>
      <c r="X102" s="0" t="n">
        <v>3.79</v>
      </c>
      <c r="Y102" s="0" t="n">
        <v>1.61</v>
      </c>
      <c r="AB102" s="0" t="n">
        <v>3.44</v>
      </c>
      <c r="AC102" s="0" t="n">
        <v>4.59</v>
      </c>
      <c r="AD102" s="0" t="n">
        <v>14.23</v>
      </c>
      <c r="AE102" s="0" t="n">
        <v>14.55</v>
      </c>
      <c r="AF102" s="0" t="n">
        <v>3.7</v>
      </c>
      <c r="AG102" s="0" t="n">
        <v>0.94</v>
      </c>
      <c r="AH102" s="0" t="n">
        <v>12.6</v>
      </c>
      <c r="AI102" s="0" t="n">
        <v>15.3</v>
      </c>
      <c r="AJ102" s="0" t="n">
        <v>8.01</v>
      </c>
      <c r="AK102" s="0" t="n">
        <v>7.1</v>
      </c>
      <c r="AL102" s="0" t="n">
        <v>8.9</v>
      </c>
      <c r="AM102" s="0" t="n">
        <v>9.7</v>
      </c>
      <c r="AN102" s="0" t="n">
        <v>11.3</v>
      </c>
      <c r="AP102" s="0" t="n">
        <v>11.76</v>
      </c>
      <c r="AQ102" s="0" t="n">
        <v>9.16</v>
      </c>
      <c r="AR102" s="0" t="n">
        <v>5.35</v>
      </c>
      <c r="AS102" s="0" t="n">
        <v>4.72</v>
      </c>
      <c r="AT102" s="0" t="n">
        <v>2.17</v>
      </c>
      <c r="AU102" s="0" t="n">
        <v>9.36</v>
      </c>
    </row>
    <row r="103" customFormat="false" ht="14.25" hidden="false" customHeight="false" outlineLevel="0" collapsed="false">
      <c r="A103" s="0" t="n">
        <v>12.12</v>
      </c>
      <c r="B103" s="0" t="n">
        <v>4.12</v>
      </c>
      <c r="C103" s="0" t="n">
        <v>6.52</v>
      </c>
      <c r="D103" s="0" t="n">
        <v>9.73</v>
      </c>
      <c r="E103" s="0" t="n">
        <v>3.12</v>
      </c>
      <c r="F103" s="0" t="n">
        <v>19.77</v>
      </c>
      <c r="G103" s="0" t="n">
        <v>15.93</v>
      </c>
      <c r="H103" s="0" t="n">
        <v>2.88</v>
      </c>
      <c r="I103" s="0" t="n">
        <v>667.68</v>
      </c>
      <c r="J103" s="0" t="n">
        <v>4.35</v>
      </c>
      <c r="K103" s="0" t="n">
        <v>651.27</v>
      </c>
      <c r="L103" s="0" t="n">
        <v>645.99</v>
      </c>
      <c r="M103" s="0" t="n">
        <v>639.56</v>
      </c>
      <c r="N103" s="0" t="n">
        <v>631.47</v>
      </c>
      <c r="O103" s="0" t="n">
        <v>621.3</v>
      </c>
      <c r="P103" s="0" t="n">
        <v>613.28</v>
      </c>
      <c r="R103" s="0" t="n">
        <v>5.23</v>
      </c>
      <c r="S103" s="0" t="n">
        <v>4.78</v>
      </c>
      <c r="T103" s="0" t="n">
        <v>4.6</v>
      </c>
      <c r="U103" s="0" t="n">
        <v>4.34</v>
      </c>
      <c r="V103" s="0" t="n">
        <v>4.82</v>
      </c>
      <c r="W103" s="0" t="n">
        <v>3.8</v>
      </c>
      <c r="X103" s="0" t="n">
        <v>3.8</v>
      </c>
      <c r="Y103" s="0" t="n">
        <v>1.62</v>
      </c>
      <c r="AB103" s="0" t="n">
        <v>3.47</v>
      </c>
      <c r="AC103" s="0" t="n">
        <v>4.58</v>
      </c>
      <c r="AD103" s="0" t="n">
        <v>14.21</v>
      </c>
      <c r="AE103" s="0" t="n">
        <v>14.55</v>
      </c>
      <c r="AF103" s="0" t="n">
        <v>3.58</v>
      </c>
      <c r="AG103" s="0" t="n">
        <v>0.92</v>
      </c>
      <c r="AH103" s="0" t="n">
        <v>12.59</v>
      </c>
      <c r="AI103" s="0" t="n">
        <v>15.27</v>
      </c>
      <c r="AJ103" s="0" t="n">
        <v>8.02</v>
      </c>
      <c r="AK103" s="0" t="n">
        <v>7.09</v>
      </c>
      <c r="AL103" s="0" t="n">
        <v>8.92</v>
      </c>
      <c r="AM103" s="0" t="n">
        <v>9.76</v>
      </c>
      <c r="AN103" s="0" t="n">
        <v>11.3</v>
      </c>
      <c r="AP103" s="0" t="n">
        <v>11.76</v>
      </c>
      <c r="AQ103" s="0" t="n">
        <v>9.14</v>
      </c>
      <c r="AR103" s="0" t="n">
        <v>5.33</v>
      </c>
      <c r="AS103" s="0" t="n">
        <v>4.68</v>
      </c>
      <c r="AT103" s="0" t="n">
        <v>2.17</v>
      </c>
      <c r="AU103" s="0" t="n">
        <v>9.35</v>
      </c>
    </row>
    <row r="104" customFormat="false" ht="14.25" hidden="false" customHeight="false" outlineLevel="0" collapsed="false">
      <c r="A104" s="0" t="n">
        <v>12.12</v>
      </c>
      <c r="B104" s="0" t="n">
        <v>4.12</v>
      </c>
      <c r="C104" s="0" t="n">
        <v>6.52</v>
      </c>
      <c r="D104" s="0" t="n">
        <v>9.71</v>
      </c>
      <c r="E104" s="0" t="n">
        <v>3.11</v>
      </c>
      <c r="F104" s="0" t="n">
        <v>19.77</v>
      </c>
      <c r="G104" s="0" t="n">
        <v>15.93</v>
      </c>
      <c r="H104" s="0" t="n">
        <v>2.89</v>
      </c>
      <c r="I104" s="0" t="n">
        <v>667.68</v>
      </c>
      <c r="J104" s="0" t="n">
        <v>4.35</v>
      </c>
      <c r="K104" s="0" t="n">
        <v>651.27</v>
      </c>
      <c r="L104" s="0" t="n">
        <v>646</v>
      </c>
      <c r="M104" s="0" t="n">
        <v>639.56</v>
      </c>
      <c r="N104" s="0" t="n">
        <v>631.47</v>
      </c>
      <c r="O104" s="0" t="n">
        <v>621.29</v>
      </c>
      <c r="P104" s="0" t="n">
        <v>613.29</v>
      </c>
      <c r="R104" s="0" t="n">
        <v>5.23</v>
      </c>
      <c r="S104" s="0" t="n">
        <v>4.78</v>
      </c>
      <c r="T104" s="0" t="n">
        <v>4.61</v>
      </c>
      <c r="U104" s="0" t="n">
        <v>4.35</v>
      </c>
      <c r="V104" s="0" t="n">
        <v>4.82</v>
      </c>
      <c r="W104" s="0" t="n">
        <v>3.79</v>
      </c>
      <c r="X104" s="0" t="n">
        <v>3.82</v>
      </c>
      <c r="Y104" s="0" t="n">
        <v>1.61</v>
      </c>
      <c r="AB104" s="0" t="n">
        <v>3.46</v>
      </c>
      <c r="AC104" s="0" t="n">
        <v>4.58</v>
      </c>
      <c r="AD104" s="0" t="n">
        <v>14.11</v>
      </c>
      <c r="AE104" s="0" t="n">
        <v>14.54</v>
      </c>
      <c r="AF104" s="0" t="n">
        <v>3.73</v>
      </c>
      <c r="AG104" s="0" t="n">
        <v>0.95</v>
      </c>
      <c r="AH104" s="0" t="n">
        <v>12.6</v>
      </c>
      <c r="AI104" s="0" t="n">
        <v>15.28</v>
      </c>
      <c r="AJ104" s="0" t="n">
        <v>8.03</v>
      </c>
      <c r="AK104" s="0" t="n">
        <v>7.06</v>
      </c>
      <c r="AL104" s="0" t="n">
        <v>8.92</v>
      </c>
      <c r="AM104" s="0" t="n">
        <v>9.75</v>
      </c>
      <c r="AN104" s="0" t="n">
        <v>11.34</v>
      </c>
      <c r="AP104" s="0" t="n">
        <v>11.7</v>
      </c>
      <c r="AQ104" s="0" t="n">
        <v>9.08</v>
      </c>
      <c r="AR104" s="0" t="n">
        <v>5.33</v>
      </c>
      <c r="AS104" s="0" t="n">
        <v>4.59</v>
      </c>
      <c r="AT104" s="0" t="n">
        <v>2.16</v>
      </c>
      <c r="AU104" s="0" t="n">
        <v>9.37</v>
      </c>
    </row>
    <row r="105" customFormat="false" ht="14.25" hidden="false" customHeight="false" outlineLevel="0" collapsed="false">
      <c r="A105" s="0" t="n">
        <v>12.12</v>
      </c>
      <c r="B105" s="0" t="n">
        <v>4.12</v>
      </c>
      <c r="C105" s="0" t="n">
        <v>6.52</v>
      </c>
      <c r="D105" s="0" t="n">
        <v>9.74</v>
      </c>
      <c r="E105" s="0" t="n">
        <v>3.09</v>
      </c>
      <c r="F105" s="0" t="n">
        <v>19.76</v>
      </c>
      <c r="G105" s="0" t="n">
        <v>15.94</v>
      </c>
      <c r="H105" s="0" t="n">
        <v>2.88</v>
      </c>
      <c r="I105" s="0" t="n">
        <v>667.67</v>
      </c>
      <c r="J105" s="0" t="n">
        <v>4.35</v>
      </c>
      <c r="K105" s="0" t="n">
        <v>651.27</v>
      </c>
      <c r="L105" s="0" t="n">
        <v>645.99</v>
      </c>
      <c r="M105" s="0" t="n">
        <v>639.56</v>
      </c>
      <c r="N105" s="0" t="n">
        <v>631.47</v>
      </c>
      <c r="O105" s="0" t="n">
        <v>621.3</v>
      </c>
      <c r="P105" s="0" t="n">
        <v>613.28</v>
      </c>
      <c r="R105" s="0" t="n">
        <v>5.22</v>
      </c>
      <c r="S105" s="0" t="n">
        <v>4.86</v>
      </c>
      <c r="T105" s="0" t="n">
        <v>4.61</v>
      </c>
      <c r="U105" s="0" t="n">
        <v>4.36</v>
      </c>
      <c r="V105" s="0" t="n">
        <v>4.82</v>
      </c>
      <c r="W105" s="0" t="n">
        <v>3.76</v>
      </c>
      <c r="X105" s="0" t="n">
        <v>3.8</v>
      </c>
      <c r="Y105" s="0" t="n">
        <v>1.62</v>
      </c>
      <c r="AB105" s="0" t="n">
        <v>3.47</v>
      </c>
      <c r="AC105" s="0" t="n">
        <v>4.6</v>
      </c>
      <c r="AD105" s="0" t="n">
        <v>14.27</v>
      </c>
      <c r="AE105" s="0" t="n">
        <v>14.51</v>
      </c>
      <c r="AF105" s="0" t="n">
        <v>3.72</v>
      </c>
      <c r="AG105" s="0" t="n">
        <v>0.91</v>
      </c>
      <c r="AH105" s="0" t="n">
        <v>12.59</v>
      </c>
      <c r="AI105" s="0" t="n">
        <v>15.26</v>
      </c>
      <c r="AJ105" s="0" t="n">
        <v>8.02</v>
      </c>
      <c r="AK105" s="0" t="n">
        <v>7.05</v>
      </c>
      <c r="AL105" s="0" t="n">
        <v>8.9</v>
      </c>
      <c r="AM105" s="0" t="n">
        <v>9.67</v>
      </c>
      <c r="AN105" s="0" t="n">
        <v>11.34</v>
      </c>
      <c r="AP105" s="0" t="n">
        <v>11.7</v>
      </c>
      <c r="AQ105" s="0" t="n">
        <v>9.07</v>
      </c>
      <c r="AR105" s="0" t="n">
        <v>5.29</v>
      </c>
      <c r="AS105" s="0" t="n">
        <v>4.54</v>
      </c>
      <c r="AT105" s="0" t="n">
        <v>2.16</v>
      </c>
      <c r="AU105" s="0" t="n">
        <v>9.39</v>
      </c>
    </row>
    <row r="106" customFormat="false" ht="14.25" hidden="false" customHeight="false" outlineLevel="0" collapsed="false">
      <c r="A106" s="0" t="n">
        <v>12.13</v>
      </c>
      <c r="B106" s="0" t="n">
        <v>4.12</v>
      </c>
      <c r="C106" s="0" t="n">
        <v>6.52</v>
      </c>
      <c r="D106" s="0" t="n">
        <v>9.72</v>
      </c>
      <c r="E106" s="0" t="n">
        <v>3.07</v>
      </c>
      <c r="F106" s="0" t="n">
        <v>19.76</v>
      </c>
      <c r="G106" s="0" t="n">
        <v>15.94</v>
      </c>
      <c r="H106" s="0" t="n">
        <v>2.89</v>
      </c>
      <c r="I106" s="0" t="n">
        <v>667.66</v>
      </c>
      <c r="J106" s="0" t="n">
        <v>4.35</v>
      </c>
      <c r="K106" s="0" t="n">
        <v>651.27</v>
      </c>
      <c r="L106" s="0" t="n">
        <v>646</v>
      </c>
      <c r="M106" s="0" t="n">
        <v>639.55</v>
      </c>
      <c r="N106" s="0" t="n">
        <v>631.47</v>
      </c>
      <c r="O106" s="0" t="n">
        <v>621.33</v>
      </c>
      <c r="P106" s="0" t="n">
        <v>613.29</v>
      </c>
      <c r="R106" s="0" t="n">
        <v>5.2</v>
      </c>
      <c r="S106" s="0" t="n">
        <v>4.77</v>
      </c>
      <c r="T106" s="0" t="n">
        <v>4.61</v>
      </c>
      <c r="U106" s="0" t="n">
        <v>4.36</v>
      </c>
      <c r="V106" s="0" t="n">
        <v>4.82</v>
      </c>
      <c r="W106" s="0" t="n">
        <v>3.75</v>
      </c>
      <c r="X106" s="0" t="n">
        <v>3.79</v>
      </c>
      <c r="Y106" s="0" t="n">
        <v>1.61</v>
      </c>
      <c r="AB106" s="0" t="n">
        <v>3.48</v>
      </c>
      <c r="AC106" s="0" t="n">
        <v>4.63</v>
      </c>
      <c r="AD106" s="0" t="n">
        <v>14.23</v>
      </c>
      <c r="AE106" s="0" t="n">
        <v>14.5</v>
      </c>
      <c r="AF106" s="0" t="n">
        <v>3.86</v>
      </c>
      <c r="AG106" s="0" t="n">
        <v>0.89</v>
      </c>
      <c r="AH106" s="0" t="n">
        <v>12.59</v>
      </c>
      <c r="AI106" s="0" t="n">
        <v>15.29</v>
      </c>
      <c r="AJ106" s="0" t="n">
        <v>8.04</v>
      </c>
      <c r="AK106" s="0" t="n">
        <v>7.05</v>
      </c>
      <c r="AL106" s="0" t="n">
        <v>8.9</v>
      </c>
      <c r="AM106" s="0" t="n">
        <v>9.61</v>
      </c>
      <c r="AN106" s="0" t="n">
        <v>11.35</v>
      </c>
      <c r="AP106" s="0" t="n">
        <v>11.69</v>
      </c>
      <c r="AQ106" s="0" t="n">
        <v>9.04</v>
      </c>
      <c r="AR106" s="0" t="n">
        <v>5.28</v>
      </c>
      <c r="AS106" s="0" t="n">
        <v>4.55</v>
      </c>
      <c r="AT106" s="0" t="n">
        <v>2.13</v>
      </c>
      <c r="AU106" s="0" t="n">
        <v>9.39</v>
      </c>
    </row>
    <row r="107" customFormat="false" ht="14.25" hidden="false" customHeight="false" outlineLevel="0" collapsed="false">
      <c r="A107" s="0" t="n">
        <v>12.13</v>
      </c>
      <c r="B107" s="0" t="n">
        <v>4.11</v>
      </c>
      <c r="C107" s="0" t="n">
        <v>6.52</v>
      </c>
      <c r="D107" s="0" t="n">
        <v>9.71</v>
      </c>
      <c r="E107" s="0" t="n">
        <v>3.07</v>
      </c>
      <c r="F107" s="0" t="n">
        <v>19.75</v>
      </c>
      <c r="G107" s="0" t="n">
        <v>15.94</v>
      </c>
      <c r="H107" s="0" t="n">
        <v>2.89</v>
      </c>
      <c r="I107" s="0" t="n">
        <v>667.66</v>
      </c>
      <c r="J107" s="0" t="n">
        <v>4.35</v>
      </c>
      <c r="K107" s="0" t="n">
        <v>651.27</v>
      </c>
      <c r="L107" s="0" t="n">
        <v>646</v>
      </c>
      <c r="M107" s="0" t="n">
        <v>639.55</v>
      </c>
      <c r="N107" s="0" t="n">
        <v>631.46</v>
      </c>
      <c r="O107" s="0" t="n">
        <v>621.3</v>
      </c>
      <c r="P107" s="0" t="n">
        <v>613.28</v>
      </c>
      <c r="R107" s="0" t="n">
        <v>5.22</v>
      </c>
      <c r="S107" s="0" t="n">
        <v>4.79</v>
      </c>
      <c r="T107" s="0" t="n">
        <v>4.61</v>
      </c>
      <c r="U107" s="0" t="n">
        <v>4.37</v>
      </c>
      <c r="V107" s="0" t="n">
        <v>4.82</v>
      </c>
      <c r="W107" s="0" t="n">
        <v>3.81</v>
      </c>
      <c r="X107" s="0" t="n">
        <v>3.79</v>
      </c>
      <c r="Y107" s="0" t="n">
        <v>1.61</v>
      </c>
      <c r="AB107" s="0" t="n">
        <v>3.47</v>
      </c>
      <c r="AC107" s="0" t="n">
        <v>4.63</v>
      </c>
      <c r="AD107" s="0" t="n">
        <v>14.19</v>
      </c>
      <c r="AE107" s="0" t="n">
        <v>14.5</v>
      </c>
      <c r="AF107" s="0" t="n">
        <v>3.68</v>
      </c>
      <c r="AG107" s="0" t="n">
        <v>0.87</v>
      </c>
      <c r="AH107" s="0" t="n">
        <v>12.61</v>
      </c>
      <c r="AI107" s="0" t="n">
        <v>15.29</v>
      </c>
      <c r="AJ107" s="0" t="n">
        <v>8.04</v>
      </c>
      <c r="AK107" s="0" t="n">
        <v>7.06</v>
      </c>
      <c r="AL107" s="0" t="n">
        <v>8.91</v>
      </c>
      <c r="AM107" s="0" t="n">
        <v>9.61</v>
      </c>
      <c r="AN107" s="0" t="n">
        <v>11.35</v>
      </c>
      <c r="AP107" s="0" t="n">
        <v>11.68</v>
      </c>
      <c r="AQ107" s="0" t="n">
        <v>8.98</v>
      </c>
      <c r="AR107" s="0" t="n">
        <v>5.23</v>
      </c>
      <c r="AS107" s="0" t="n">
        <v>4.59</v>
      </c>
      <c r="AT107" s="0" t="n">
        <v>2.09</v>
      </c>
      <c r="AU107" s="0" t="n">
        <v>9.38</v>
      </c>
    </row>
    <row r="108" customFormat="false" ht="14.25" hidden="false" customHeight="false" outlineLevel="0" collapsed="false">
      <c r="A108" s="0" t="n">
        <v>12.13</v>
      </c>
      <c r="B108" s="0" t="n">
        <v>4.12</v>
      </c>
      <c r="C108" s="0" t="n">
        <v>6.52</v>
      </c>
      <c r="D108" s="0" t="n">
        <v>9.72</v>
      </c>
      <c r="E108" s="0" t="n">
        <v>3.04</v>
      </c>
      <c r="F108" s="0" t="n">
        <v>19.74</v>
      </c>
      <c r="G108" s="0" t="n">
        <v>15.95</v>
      </c>
      <c r="H108" s="0" t="n">
        <v>2.89</v>
      </c>
      <c r="I108" s="0" t="n">
        <v>667.67</v>
      </c>
      <c r="J108" s="0" t="n">
        <v>4.35</v>
      </c>
      <c r="K108" s="0" t="n">
        <v>651.26</v>
      </c>
      <c r="L108" s="0" t="n">
        <v>646</v>
      </c>
      <c r="M108" s="0" t="n">
        <v>639.55</v>
      </c>
      <c r="N108" s="0" t="n">
        <v>631.46</v>
      </c>
      <c r="O108" s="0" t="n">
        <v>621.3</v>
      </c>
      <c r="P108" s="0" t="n">
        <v>613.28</v>
      </c>
      <c r="R108" s="0" t="n">
        <v>5.21</v>
      </c>
      <c r="S108" s="0" t="n">
        <v>4.78</v>
      </c>
      <c r="T108" s="0" t="n">
        <v>4.64</v>
      </c>
      <c r="U108" s="0" t="n">
        <v>4.38</v>
      </c>
      <c r="V108" s="0" t="n">
        <v>4.83</v>
      </c>
      <c r="W108" s="0" t="n">
        <v>3.85</v>
      </c>
      <c r="X108" s="0" t="n">
        <v>3.79</v>
      </c>
      <c r="Y108" s="0" t="n">
        <v>1.61</v>
      </c>
      <c r="AB108" s="0" t="n">
        <v>3.48</v>
      </c>
      <c r="AC108" s="0" t="n">
        <v>4.62</v>
      </c>
      <c r="AD108" s="0" t="n">
        <v>14.17</v>
      </c>
      <c r="AE108" s="0" t="n">
        <v>14.49</v>
      </c>
      <c r="AF108" s="0" t="n">
        <v>3.63</v>
      </c>
      <c r="AG108" s="0" t="n">
        <v>0.91</v>
      </c>
      <c r="AH108" s="0" t="n">
        <v>12.6</v>
      </c>
      <c r="AI108" s="0" t="n">
        <v>15.3</v>
      </c>
      <c r="AJ108" s="0" t="n">
        <v>8.06</v>
      </c>
      <c r="AK108" s="0" t="n">
        <v>7.05</v>
      </c>
      <c r="AL108" s="0" t="n">
        <v>8.9</v>
      </c>
      <c r="AM108" s="0" t="n">
        <v>9.62</v>
      </c>
      <c r="AN108" s="0" t="n">
        <v>11.32</v>
      </c>
      <c r="AP108" s="0" t="n">
        <v>11.66</v>
      </c>
      <c r="AQ108" s="0" t="n">
        <v>8.94</v>
      </c>
      <c r="AR108" s="0" t="n">
        <v>5.16</v>
      </c>
      <c r="AS108" s="0" t="n">
        <v>4.55</v>
      </c>
      <c r="AT108" s="0" t="n">
        <v>2.1</v>
      </c>
      <c r="AU108" s="0" t="n">
        <v>9.41</v>
      </c>
    </row>
    <row r="109" customFormat="false" ht="14.25" hidden="false" customHeight="false" outlineLevel="0" collapsed="false">
      <c r="A109" s="0" t="n">
        <v>12.14</v>
      </c>
      <c r="B109" s="0" t="n">
        <v>4.12</v>
      </c>
      <c r="C109" s="0" t="n">
        <v>6.51</v>
      </c>
      <c r="D109" s="0" t="n">
        <v>9.75</v>
      </c>
      <c r="E109" s="0" t="n">
        <v>3.04</v>
      </c>
      <c r="F109" s="0" t="n">
        <v>19.72</v>
      </c>
      <c r="G109" s="0" t="n">
        <v>15.95</v>
      </c>
      <c r="H109" s="0" t="n">
        <v>2.89</v>
      </c>
      <c r="I109" s="0" t="n">
        <v>667.67</v>
      </c>
      <c r="J109" s="0" t="n">
        <v>4.35</v>
      </c>
      <c r="K109" s="0" t="n">
        <v>651.27</v>
      </c>
      <c r="L109" s="0" t="n">
        <v>646</v>
      </c>
      <c r="M109" s="0" t="n">
        <v>639.55</v>
      </c>
      <c r="N109" s="0" t="n">
        <v>631.46</v>
      </c>
      <c r="O109" s="0" t="n">
        <v>621.29</v>
      </c>
      <c r="P109" s="0" t="n">
        <v>613.29</v>
      </c>
      <c r="R109" s="0" t="n">
        <v>5.22</v>
      </c>
      <c r="S109" s="0" t="n">
        <v>4.74</v>
      </c>
      <c r="T109" s="0" t="n">
        <v>4.66</v>
      </c>
      <c r="U109" s="0" t="n">
        <v>4.39</v>
      </c>
      <c r="V109" s="0" t="n">
        <v>4.77</v>
      </c>
      <c r="W109" s="0" t="n">
        <v>3.84</v>
      </c>
      <c r="X109" s="0" t="n">
        <v>3.79</v>
      </c>
      <c r="Y109" s="0" t="n">
        <v>1.6</v>
      </c>
      <c r="AB109" s="0" t="n">
        <v>3.49</v>
      </c>
      <c r="AC109" s="0" t="n">
        <v>4.63</v>
      </c>
      <c r="AD109" s="0" t="n">
        <v>14.24</v>
      </c>
      <c r="AE109" s="0" t="n">
        <v>14.48</v>
      </c>
      <c r="AF109" s="0" t="n">
        <v>3.51</v>
      </c>
      <c r="AG109" s="0" t="n">
        <v>0.85</v>
      </c>
      <c r="AH109" s="0" t="n">
        <v>12.61</v>
      </c>
      <c r="AI109" s="0" t="n">
        <v>15.2</v>
      </c>
      <c r="AJ109" s="0" t="n">
        <v>8.06</v>
      </c>
      <c r="AK109" s="0" t="n">
        <v>7.04</v>
      </c>
      <c r="AL109" s="0" t="n">
        <v>8.89</v>
      </c>
      <c r="AM109" s="0" t="n">
        <v>9.6</v>
      </c>
      <c r="AN109" s="0" t="n">
        <v>11.34</v>
      </c>
      <c r="AP109" s="0" t="n">
        <v>11.64</v>
      </c>
      <c r="AQ109" s="0" t="n">
        <v>8.9</v>
      </c>
      <c r="AR109" s="0" t="n">
        <v>5.17</v>
      </c>
      <c r="AS109" s="0" t="n">
        <v>4.46</v>
      </c>
      <c r="AT109" s="0" t="n">
        <v>2.08</v>
      </c>
      <c r="AU109" s="0" t="n">
        <v>9.43</v>
      </c>
    </row>
    <row r="110" customFormat="false" ht="14.25" hidden="false" customHeight="false" outlineLevel="0" collapsed="false">
      <c r="A110" s="0" t="n">
        <v>12.14</v>
      </c>
      <c r="B110" s="0" t="n">
        <v>4.13</v>
      </c>
      <c r="C110" s="0" t="n">
        <v>6.51</v>
      </c>
      <c r="D110" s="0" t="n">
        <v>9.74</v>
      </c>
      <c r="E110" s="0" t="n">
        <v>3.03</v>
      </c>
      <c r="F110" s="0" t="n">
        <v>19.71</v>
      </c>
      <c r="G110" s="0" t="n">
        <v>15.94</v>
      </c>
      <c r="H110" s="0" t="n">
        <v>2.9</v>
      </c>
      <c r="I110" s="0" t="n">
        <v>667.68</v>
      </c>
      <c r="J110" s="0" t="n">
        <v>4.36</v>
      </c>
      <c r="K110" s="0" t="n">
        <v>651.26</v>
      </c>
      <c r="L110" s="0" t="n">
        <v>645.99</v>
      </c>
      <c r="M110" s="0" t="n">
        <v>639.56</v>
      </c>
      <c r="N110" s="0" t="n">
        <v>631.46</v>
      </c>
      <c r="O110" s="0" t="n">
        <v>621.32</v>
      </c>
      <c r="P110" s="0" t="n">
        <v>613.3</v>
      </c>
      <c r="R110" s="0" t="n">
        <v>5.21</v>
      </c>
      <c r="S110" s="0" t="n">
        <v>4.79</v>
      </c>
      <c r="T110" s="0" t="n">
        <v>4.63</v>
      </c>
      <c r="U110" s="0" t="n">
        <v>4.38</v>
      </c>
      <c r="V110" s="0" t="n">
        <v>4.81</v>
      </c>
      <c r="W110" s="0" t="n">
        <v>3.83</v>
      </c>
      <c r="X110" s="0" t="n">
        <v>3.79</v>
      </c>
      <c r="Y110" s="0" t="n">
        <v>1.61</v>
      </c>
      <c r="AB110" s="0" t="n">
        <v>3.5</v>
      </c>
      <c r="AC110" s="0" t="n">
        <v>4.64</v>
      </c>
      <c r="AD110" s="0" t="n">
        <v>14.25</v>
      </c>
      <c r="AE110" s="0" t="n">
        <v>14.48</v>
      </c>
      <c r="AF110" s="0" t="n">
        <v>3.69</v>
      </c>
      <c r="AG110" s="0" t="n">
        <v>0.89</v>
      </c>
      <c r="AH110" s="0" t="n">
        <v>12.6</v>
      </c>
      <c r="AI110" s="0" t="n">
        <v>15.21</v>
      </c>
      <c r="AJ110" s="0" t="n">
        <v>8.08</v>
      </c>
      <c r="AK110" s="0" t="n">
        <v>7.03</v>
      </c>
      <c r="AL110" s="0" t="n">
        <v>8.88</v>
      </c>
      <c r="AM110" s="0" t="n">
        <v>9.68</v>
      </c>
      <c r="AN110" s="0" t="n">
        <v>11.31</v>
      </c>
      <c r="AP110" s="0" t="n">
        <v>11.64</v>
      </c>
      <c r="AQ110" s="0" t="n">
        <v>8.85</v>
      </c>
      <c r="AR110" s="0" t="n">
        <v>5.13</v>
      </c>
      <c r="AS110" s="0" t="n">
        <v>4.47</v>
      </c>
      <c r="AT110" s="0" t="n">
        <v>2.08</v>
      </c>
      <c r="AU110" s="0" t="n">
        <v>9.4</v>
      </c>
    </row>
    <row r="111" customFormat="false" ht="14.25" hidden="false" customHeight="false" outlineLevel="0" collapsed="false">
      <c r="A111" s="0" t="n">
        <v>12.13</v>
      </c>
      <c r="B111" s="0" t="n">
        <v>4.12</v>
      </c>
      <c r="C111" s="0" t="n">
        <v>6.51</v>
      </c>
      <c r="D111" s="0" t="n">
        <v>9.74</v>
      </c>
      <c r="E111" s="0" t="n">
        <v>3.01</v>
      </c>
      <c r="F111" s="0" t="n">
        <v>19.71</v>
      </c>
      <c r="G111" s="0" t="n">
        <v>15.93</v>
      </c>
      <c r="H111" s="0" t="n">
        <v>2.92</v>
      </c>
      <c r="I111" s="0" t="n">
        <v>667.67</v>
      </c>
      <c r="J111" s="0" t="n">
        <v>4.36</v>
      </c>
      <c r="K111" s="0" t="n">
        <v>651.26</v>
      </c>
      <c r="L111" s="0" t="n">
        <v>645.99</v>
      </c>
      <c r="M111" s="0" t="n">
        <v>639.61</v>
      </c>
      <c r="N111" s="0" t="n">
        <v>631.46</v>
      </c>
      <c r="O111" s="0" t="n">
        <v>621.3</v>
      </c>
      <c r="P111" s="0" t="n">
        <v>613.3</v>
      </c>
      <c r="R111" s="0" t="n">
        <v>5.21</v>
      </c>
      <c r="S111" s="0" t="n">
        <v>4.77</v>
      </c>
      <c r="T111" s="0" t="n">
        <v>4.65</v>
      </c>
      <c r="U111" s="0" t="n">
        <v>4.39</v>
      </c>
      <c r="V111" s="0" t="n">
        <v>4.83</v>
      </c>
      <c r="W111" s="0" t="n">
        <v>3.86</v>
      </c>
      <c r="X111" s="0" t="n">
        <v>3.79</v>
      </c>
      <c r="Y111" s="0" t="n">
        <v>1.61</v>
      </c>
      <c r="AB111" s="0" t="n">
        <v>3.5</v>
      </c>
      <c r="AC111" s="0" t="n">
        <v>4.66</v>
      </c>
      <c r="AD111" s="0" t="n">
        <v>14.24</v>
      </c>
      <c r="AE111" s="0" t="n">
        <v>14.45</v>
      </c>
      <c r="AF111" s="0" t="n">
        <v>3.55</v>
      </c>
      <c r="AG111" s="0" t="n">
        <v>0.86</v>
      </c>
      <c r="AH111" s="0" t="n">
        <v>12.6</v>
      </c>
      <c r="AI111" s="0" t="n">
        <v>15.15</v>
      </c>
      <c r="AJ111" s="0" t="n">
        <v>8.07</v>
      </c>
      <c r="AK111" s="0" t="n">
        <v>7.05</v>
      </c>
      <c r="AL111" s="0" t="n">
        <v>8.87</v>
      </c>
      <c r="AM111" s="0" t="n">
        <v>9.63</v>
      </c>
      <c r="AN111" s="0" t="n">
        <v>11.29</v>
      </c>
      <c r="AP111" s="0" t="n">
        <v>11.62</v>
      </c>
      <c r="AQ111" s="0" t="n">
        <v>8.8</v>
      </c>
      <c r="AR111" s="0" t="n">
        <v>5.1</v>
      </c>
      <c r="AS111" s="0" t="n">
        <v>4.42</v>
      </c>
      <c r="AT111" s="0" t="n">
        <v>2.08</v>
      </c>
      <c r="AU111" s="0" t="n">
        <v>9.46</v>
      </c>
    </row>
    <row r="112" customFormat="false" ht="14.25" hidden="false" customHeight="false" outlineLevel="0" collapsed="false">
      <c r="A112" s="0" t="n">
        <v>12.13</v>
      </c>
      <c r="B112" s="0" t="n">
        <v>4.12</v>
      </c>
      <c r="C112" s="0" t="n">
        <v>6.51</v>
      </c>
      <c r="D112" s="0" t="n">
        <v>9.76</v>
      </c>
      <c r="E112" s="0" t="n">
        <v>2.99</v>
      </c>
      <c r="F112" s="0" t="n">
        <v>19.69</v>
      </c>
      <c r="G112" s="0" t="n">
        <v>15.93</v>
      </c>
      <c r="H112" s="0" t="n">
        <v>2.9</v>
      </c>
      <c r="I112" s="0" t="n">
        <v>667.67</v>
      </c>
      <c r="J112" s="0" t="n">
        <v>4.35</v>
      </c>
      <c r="K112" s="0" t="n">
        <v>651.28</v>
      </c>
      <c r="L112" s="0" t="n">
        <v>646</v>
      </c>
      <c r="M112" s="0" t="n">
        <v>639.57</v>
      </c>
      <c r="N112" s="0" t="n">
        <v>631.46</v>
      </c>
      <c r="O112" s="0" t="n">
        <v>621.3</v>
      </c>
      <c r="P112" s="0" t="n">
        <v>613.33</v>
      </c>
      <c r="R112" s="0" t="n">
        <v>5.22</v>
      </c>
      <c r="S112" s="0" t="n">
        <v>4.79</v>
      </c>
      <c r="T112" s="0" t="n">
        <v>4.64</v>
      </c>
      <c r="U112" s="0" t="n">
        <v>4.4</v>
      </c>
      <c r="V112" s="0" t="n">
        <v>4.83</v>
      </c>
      <c r="W112" s="0" t="n">
        <v>3.84</v>
      </c>
      <c r="X112" s="0" t="n">
        <v>3.78</v>
      </c>
      <c r="Y112" s="0" t="n">
        <v>1.62</v>
      </c>
      <c r="AB112" s="0" t="n">
        <v>3.53</v>
      </c>
      <c r="AC112" s="0" t="n">
        <v>4.68</v>
      </c>
      <c r="AD112" s="0" t="n">
        <v>14.25</v>
      </c>
      <c r="AE112" s="0" t="n">
        <v>14.44</v>
      </c>
      <c r="AF112" s="0" t="n">
        <v>3.52</v>
      </c>
      <c r="AG112" s="0" t="n">
        <v>0.83</v>
      </c>
      <c r="AH112" s="0" t="n">
        <v>12.6</v>
      </c>
      <c r="AI112" s="0" t="n">
        <v>15.12</v>
      </c>
      <c r="AJ112" s="0" t="n">
        <v>8.09</v>
      </c>
      <c r="AK112" s="0" t="n">
        <v>7.04</v>
      </c>
      <c r="AL112" s="0" t="n">
        <v>8.87</v>
      </c>
      <c r="AM112" s="0" t="n">
        <v>9.68</v>
      </c>
      <c r="AN112" s="0" t="n">
        <v>11.25</v>
      </c>
      <c r="AP112" s="0" t="n">
        <v>11.6</v>
      </c>
      <c r="AQ112" s="0" t="n">
        <v>8.8</v>
      </c>
      <c r="AR112" s="0" t="n">
        <v>5.18</v>
      </c>
      <c r="AS112" s="0" t="n">
        <v>4.54</v>
      </c>
      <c r="AT112" s="0" t="n">
        <v>2.09</v>
      </c>
      <c r="AU112" s="0" t="n">
        <v>9.44</v>
      </c>
    </row>
    <row r="113" customFormat="false" ht="14.25" hidden="false" customHeight="false" outlineLevel="0" collapsed="false">
      <c r="A113" s="0" t="n">
        <v>12.14</v>
      </c>
      <c r="B113" s="0" t="n">
        <v>4.11</v>
      </c>
      <c r="C113" s="0" t="n">
        <v>6.51</v>
      </c>
      <c r="D113" s="0" t="n">
        <v>9.73</v>
      </c>
      <c r="E113" s="0" t="n">
        <v>2.99</v>
      </c>
      <c r="F113" s="0" t="n">
        <v>19.68</v>
      </c>
      <c r="G113" s="0" t="n">
        <v>15.93</v>
      </c>
      <c r="H113" s="0" t="n">
        <v>2.92</v>
      </c>
      <c r="I113" s="0" t="n">
        <v>667.68</v>
      </c>
      <c r="J113" s="0" t="n">
        <v>4.36</v>
      </c>
      <c r="K113" s="0" t="n">
        <v>651.28</v>
      </c>
      <c r="L113" s="0" t="n">
        <v>645.99</v>
      </c>
      <c r="M113" s="0" t="n">
        <v>639.57</v>
      </c>
      <c r="N113" s="0" t="n">
        <v>631.47</v>
      </c>
      <c r="O113" s="0" t="n">
        <v>621.31</v>
      </c>
      <c r="P113" s="0" t="n">
        <v>613.33</v>
      </c>
      <c r="R113" s="0" t="n">
        <v>5.22</v>
      </c>
      <c r="S113" s="0" t="n">
        <v>4.8</v>
      </c>
      <c r="T113" s="0" t="n">
        <v>4.64</v>
      </c>
      <c r="U113" s="0" t="n">
        <v>4.42</v>
      </c>
      <c r="V113" s="0" t="n">
        <v>4.84</v>
      </c>
      <c r="W113" s="0" t="n">
        <v>3.83</v>
      </c>
      <c r="X113" s="0" t="n">
        <v>3.79</v>
      </c>
      <c r="Y113" s="0" t="n">
        <v>1.63</v>
      </c>
      <c r="AB113" s="0" t="n">
        <v>3.54</v>
      </c>
      <c r="AC113" s="0" t="n">
        <v>4.77</v>
      </c>
      <c r="AD113" s="0" t="n">
        <v>14.31</v>
      </c>
      <c r="AE113" s="0" t="n">
        <v>14.46</v>
      </c>
      <c r="AF113" s="0" t="n">
        <v>3.52</v>
      </c>
      <c r="AG113" s="0" t="n">
        <v>0.85</v>
      </c>
      <c r="AH113" s="0" t="n">
        <v>12.6</v>
      </c>
      <c r="AI113" s="0" t="n">
        <v>15.04</v>
      </c>
      <c r="AJ113" s="0" t="n">
        <v>8.09</v>
      </c>
      <c r="AK113" s="0" t="n">
        <v>7.03</v>
      </c>
      <c r="AL113" s="0" t="n">
        <v>8.86</v>
      </c>
      <c r="AM113" s="0" t="n">
        <v>9.76</v>
      </c>
      <c r="AN113" s="0" t="n">
        <v>11.31</v>
      </c>
      <c r="AP113" s="0" t="n">
        <v>11.55</v>
      </c>
      <c r="AQ113" s="0" t="n">
        <v>8.73</v>
      </c>
      <c r="AR113" s="0" t="n">
        <v>5.15</v>
      </c>
      <c r="AS113" s="0" t="n">
        <v>4.52</v>
      </c>
      <c r="AT113" s="0" t="n">
        <v>2.07</v>
      </c>
      <c r="AU113" s="0" t="n">
        <v>9.47</v>
      </c>
    </row>
    <row r="114" customFormat="false" ht="14.25" hidden="false" customHeight="false" outlineLevel="0" collapsed="false">
      <c r="A114" s="0" t="n">
        <v>12.16</v>
      </c>
      <c r="B114" s="0" t="n">
        <v>4.12</v>
      </c>
      <c r="C114" s="0" t="n">
        <v>6.51</v>
      </c>
      <c r="D114" s="0" t="n">
        <v>9.72</v>
      </c>
      <c r="E114" s="0" t="n">
        <v>2.96</v>
      </c>
      <c r="F114" s="0" t="n">
        <v>19.67</v>
      </c>
      <c r="G114" s="0" t="n">
        <v>15.92</v>
      </c>
      <c r="H114" s="0" t="n">
        <v>2.9</v>
      </c>
      <c r="I114" s="0" t="n">
        <v>667.69</v>
      </c>
      <c r="J114" s="0" t="n">
        <v>4.36</v>
      </c>
      <c r="K114" s="0" t="n">
        <v>651.28</v>
      </c>
      <c r="L114" s="0" t="n">
        <v>645.99</v>
      </c>
      <c r="M114" s="0" t="n">
        <v>639.57</v>
      </c>
      <c r="N114" s="0" t="n">
        <v>631.47</v>
      </c>
      <c r="O114" s="0" t="n">
        <v>621.31</v>
      </c>
      <c r="P114" s="0" t="n">
        <v>613.28</v>
      </c>
      <c r="R114" s="0" t="n">
        <v>5.21</v>
      </c>
      <c r="S114" s="0" t="n">
        <v>4.8</v>
      </c>
      <c r="T114" s="0" t="n">
        <v>4.64</v>
      </c>
      <c r="U114" s="0" t="n">
        <v>4.45</v>
      </c>
      <c r="V114" s="0" t="n">
        <v>4.82</v>
      </c>
      <c r="W114" s="0" t="n">
        <v>3.84</v>
      </c>
      <c r="X114" s="0" t="n">
        <v>3.79</v>
      </c>
      <c r="Y114" s="0" t="n">
        <v>1.69</v>
      </c>
      <c r="AB114" s="0" t="n">
        <v>3.54</v>
      </c>
      <c r="AC114" s="0" t="n">
        <v>4.79</v>
      </c>
      <c r="AD114" s="0" t="n">
        <v>14.23</v>
      </c>
      <c r="AE114" s="0" t="n">
        <v>14.41</v>
      </c>
      <c r="AF114" s="0" t="n">
        <v>3.57</v>
      </c>
      <c r="AG114" s="0" t="n">
        <v>0.84</v>
      </c>
      <c r="AH114" s="0" t="n">
        <v>12.59</v>
      </c>
      <c r="AI114" s="0" t="n">
        <v>15.13</v>
      </c>
      <c r="AJ114" s="0" t="n">
        <v>8.1</v>
      </c>
      <c r="AK114" s="0" t="n">
        <v>7.03</v>
      </c>
      <c r="AL114" s="0" t="n">
        <v>8.86</v>
      </c>
      <c r="AM114" s="0" t="n">
        <v>9.71</v>
      </c>
      <c r="AN114" s="0" t="n">
        <v>11.31</v>
      </c>
      <c r="AP114" s="0" t="n">
        <v>11.6</v>
      </c>
      <c r="AQ114" s="0" t="n">
        <v>8.69</v>
      </c>
      <c r="AR114" s="0" t="n">
        <v>5.14</v>
      </c>
      <c r="AS114" s="0" t="n">
        <v>4.52</v>
      </c>
      <c r="AT114" s="0" t="n">
        <v>2.07</v>
      </c>
      <c r="AU114" s="0" t="n">
        <v>9.47</v>
      </c>
    </row>
    <row r="115" customFormat="false" ht="14.25" hidden="false" customHeight="false" outlineLevel="0" collapsed="false">
      <c r="A115" s="0" t="n">
        <v>12.16</v>
      </c>
      <c r="B115" s="0" t="n">
        <v>4.12</v>
      </c>
      <c r="C115" s="0" t="n">
        <v>6.51</v>
      </c>
      <c r="D115" s="0" t="n">
        <v>9.77</v>
      </c>
      <c r="E115" s="0" t="n">
        <v>2.95</v>
      </c>
      <c r="F115" s="0" t="n">
        <v>19.69</v>
      </c>
      <c r="G115" s="0" t="n">
        <v>15.9</v>
      </c>
      <c r="H115" s="0" t="n">
        <v>2.89</v>
      </c>
      <c r="I115" s="0" t="n">
        <v>667.68</v>
      </c>
      <c r="J115" s="0" t="n">
        <v>4.36</v>
      </c>
      <c r="K115" s="0" t="n">
        <v>651.27</v>
      </c>
      <c r="L115" s="0" t="n">
        <v>646</v>
      </c>
      <c r="M115" s="0" t="n">
        <v>639.58</v>
      </c>
      <c r="N115" s="0" t="n">
        <v>631.47</v>
      </c>
      <c r="O115" s="0" t="n">
        <v>621.3</v>
      </c>
      <c r="P115" s="0" t="n">
        <v>613.28</v>
      </c>
      <c r="R115" s="0" t="n">
        <v>5.21</v>
      </c>
      <c r="S115" s="0" t="n">
        <v>4.83</v>
      </c>
      <c r="T115" s="0" t="n">
        <v>4.64</v>
      </c>
      <c r="U115" s="0" t="n">
        <v>4.47</v>
      </c>
      <c r="V115" s="0" t="n">
        <v>4.83</v>
      </c>
      <c r="W115" s="0" t="n">
        <v>3.83</v>
      </c>
      <c r="X115" s="0" t="n">
        <v>3.8</v>
      </c>
      <c r="Y115" s="0" t="n">
        <v>1.61</v>
      </c>
      <c r="AB115" s="0" t="n">
        <v>3.56</v>
      </c>
      <c r="AC115" s="0" t="n">
        <v>4.76</v>
      </c>
      <c r="AD115" s="0" t="n">
        <v>14.24</v>
      </c>
      <c r="AE115" s="0" t="n">
        <v>14.42</v>
      </c>
      <c r="AF115" s="0" t="n">
        <v>3.56</v>
      </c>
      <c r="AG115" s="0" t="n">
        <v>0.85</v>
      </c>
      <c r="AH115" s="0" t="n">
        <v>12.6</v>
      </c>
      <c r="AI115" s="0" t="n">
        <v>15.08</v>
      </c>
      <c r="AJ115" s="0" t="n">
        <v>8.1</v>
      </c>
      <c r="AK115" s="0" t="n">
        <v>7.05</v>
      </c>
      <c r="AL115" s="0" t="n">
        <v>8.85</v>
      </c>
      <c r="AM115" s="0" t="n">
        <v>9.7</v>
      </c>
      <c r="AN115" s="0" t="n">
        <v>11.29</v>
      </c>
      <c r="AP115" s="0" t="n">
        <v>11.56</v>
      </c>
      <c r="AQ115" s="0" t="n">
        <v>8.67</v>
      </c>
      <c r="AR115" s="0" t="n">
        <v>5.12</v>
      </c>
      <c r="AS115" s="0" t="n">
        <v>4.45</v>
      </c>
      <c r="AT115" s="0" t="n">
        <v>2.08</v>
      </c>
      <c r="AU115" s="0" t="n">
        <v>9.48</v>
      </c>
    </row>
    <row r="116" customFormat="false" ht="14.25" hidden="false" customHeight="false" outlineLevel="0" collapsed="false">
      <c r="A116" s="0" t="n">
        <v>12.14</v>
      </c>
      <c r="B116" s="0" t="n">
        <v>4.14</v>
      </c>
      <c r="C116" s="0" t="n">
        <v>6.5</v>
      </c>
      <c r="D116" s="0" t="n">
        <v>9.76</v>
      </c>
      <c r="E116" s="0" t="n">
        <v>2.79</v>
      </c>
      <c r="F116" s="0" t="n">
        <v>19.69</v>
      </c>
      <c r="G116" s="0" t="n">
        <v>15.91</v>
      </c>
      <c r="H116" s="0" t="n">
        <v>2.87</v>
      </c>
      <c r="I116" s="0" t="n">
        <v>667.68</v>
      </c>
      <c r="J116" s="0" t="n">
        <v>4.36</v>
      </c>
      <c r="K116" s="0" t="n">
        <v>651.28</v>
      </c>
      <c r="L116" s="0" t="n">
        <v>645.99</v>
      </c>
      <c r="M116" s="0" t="n">
        <v>639.61</v>
      </c>
      <c r="N116" s="0" t="n">
        <v>631.47</v>
      </c>
      <c r="O116" s="0" t="n">
        <v>621.34</v>
      </c>
      <c r="P116" s="0" t="n">
        <v>613.28</v>
      </c>
      <c r="R116" s="0" t="n">
        <v>5.21</v>
      </c>
      <c r="S116" s="0" t="n">
        <v>4.84</v>
      </c>
      <c r="T116" s="0" t="n">
        <v>4.64</v>
      </c>
      <c r="U116" s="0" t="n">
        <v>4.45</v>
      </c>
      <c r="V116" s="0" t="n">
        <v>4.83</v>
      </c>
      <c r="W116" s="0" t="n">
        <v>3.84</v>
      </c>
      <c r="X116" s="0" t="n">
        <v>3.8</v>
      </c>
      <c r="Y116" s="0" t="n">
        <v>1.63</v>
      </c>
      <c r="AB116" s="0" t="n">
        <v>3.59</v>
      </c>
      <c r="AC116" s="0" t="n">
        <v>4.78</v>
      </c>
      <c r="AD116" s="0" t="n">
        <v>14.23</v>
      </c>
      <c r="AE116" s="0" t="n">
        <v>14.37</v>
      </c>
      <c r="AF116" s="0" t="n">
        <v>3.56</v>
      </c>
      <c r="AG116" s="0" t="n">
        <v>0.83</v>
      </c>
      <c r="AH116" s="0" t="n">
        <v>12.6</v>
      </c>
      <c r="AI116" s="0" t="n">
        <v>15.14</v>
      </c>
      <c r="AJ116" s="0" t="n">
        <v>8.11</v>
      </c>
      <c r="AK116" s="0" t="n">
        <v>7.03</v>
      </c>
      <c r="AL116" s="0" t="n">
        <v>8.85</v>
      </c>
      <c r="AM116" s="0" t="n">
        <v>9.75</v>
      </c>
      <c r="AN116" s="0" t="n">
        <v>11.3</v>
      </c>
      <c r="AP116" s="0" t="n">
        <v>11.55</v>
      </c>
      <c r="AQ116" s="0" t="n">
        <v>8.64</v>
      </c>
      <c r="AR116" s="0" t="n">
        <v>5.14</v>
      </c>
      <c r="AS116" s="0" t="n">
        <v>4.32</v>
      </c>
      <c r="AT116" s="0" t="n">
        <v>2.08</v>
      </c>
      <c r="AU116" s="0" t="n">
        <v>9.5</v>
      </c>
    </row>
    <row r="117" customFormat="false" ht="14.25" hidden="false" customHeight="false" outlineLevel="0" collapsed="false">
      <c r="A117" s="0" t="n">
        <v>12.15</v>
      </c>
      <c r="B117" s="0" t="n">
        <v>4.11</v>
      </c>
      <c r="C117" s="0" t="n">
        <v>6.5</v>
      </c>
      <c r="D117" s="0" t="n">
        <v>9.76</v>
      </c>
      <c r="E117" s="0" t="n">
        <v>2.94</v>
      </c>
      <c r="F117" s="0" t="n">
        <v>19.69</v>
      </c>
      <c r="G117" s="0" t="n">
        <v>15.93</v>
      </c>
      <c r="H117" s="0" t="n">
        <v>2.9</v>
      </c>
      <c r="I117" s="0" t="n">
        <v>667.68</v>
      </c>
      <c r="J117" s="0" t="n">
        <v>4.38</v>
      </c>
      <c r="K117" s="0" t="n">
        <v>651.28</v>
      </c>
      <c r="L117" s="0" t="n">
        <v>646.04</v>
      </c>
      <c r="M117" s="0" t="n">
        <v>639.64</v>
      </c>
      <c r="N117" s="0" t="n">
        <v>631.46</v>
      </c>
      <c r="O117" s="0" t="n">
        <v>621.3</v>
      </c>
      <c r="P117" s="0" t="n">
        <v>613.29</v>
      </c>
      <c r="R117" s="0" t="n">
        <v>5.22</v>
      </c>
      <c r="S117" s="0" t="n">
        <v>4.82</v>
      </c>
      <c r="T117" s="0" t="n">
        <v>4.64</v>
      </c>
      <c r="U117" s="0" t="n">
        <v>4.47</v>
      </c>
      <c r="V117" s="0" t="n">
        <v>4.85</v>
      </c>
      <c r="W117" s="0" t="n">
        <v>3.83</v>
      </c>
      <c r="X117" s="0" t="n">
        <v>3.81</v>
      </c>
      <c r="Y117" s="0" t="n">
        <v>1.63</v>
      </c>
      <c r="AB117" s="0" t="n">
        <v>3.6</v>
      </c>
      <c r="AC117" s="0" t="n">
        <v>4.79</v>
      </c>
      <c r="AD117" s="0" t="n">
        <v>14.23</v>
      </c>
      <c r="AE117" s="0" t="n">
        <v>14.28</v>
      </c>
      <c r="AF117" s="0" t="n">
        <v>3.54</v>
      </c>
      <c r="AG117" s="0" t="n">
        <v>0.75</v>
      </c>
      <c r="AH117" s="0" t="n">
        <v>12.6</v>
      </c>
      <c r="AI117" s="0" t="n">
        <v>15.15</v>
      </c>
      <c r="AJ117" s="0" t="n">
        <v>8.12</v>
      </c>
      <c r="AK117" s="0" t="n">
        <v>7.02</v>
      </c>
      <c r="AL117" s="0" t="n">
        <v>8.85</v>
      </c>
      <c r="AM117" s="0" t="n">
        <v>9.7</v>
      </c>
      <c r="AN117" s="0" t="n">
        <v>11.33</v>
      </c>
      <c r="AP117" s="0" t="n">
        <v>11.54</v>
      </c>
      <c r="AQ117" s="0" t="n">
        <v>8.63</v>
      </c>
      <c r="AR117" s="0" t="n">
        <v>5.12</v>
      </c>
      <c r="AS117" s="0" t="n">
        <v>4.36</v>
      </c>
      <c r="AT117" s="0" t="n">
        <v>2.08</v>
      </c>
      <c r="AU117" s="0" t="n">
        <v>9.51</v>
      </c>
    </row>
    <row r="118" customFormat="false" ht="14.25" hidden="false" customHeight="false" outlineLevel="0" collapsed="false">
      <c r="A118" s="0" t="n">
        <v>12.15</v>
      </c>
      <c r="B118" s="0" t="n">
        <v>4.1</v>
      </c>
      <c r="C118" s="0" t="n">
        <v>6.49</v>
      </c>
      <c r="D118" s="0" t="n">
        <v>9.8</v>
      </c>
      <c r="E118" s="0" t="n">
        <v>2.81</v>
      </c>
      <c r="F118" s="0" t="n">
        <v>19.7</v>
      </c>
      <c r="G118" s="0" t="n">
        <v>15.92</v>
      </c>
      <c r="H118" s="0" t="n">
        <v>2.89</v>
      </c>
      <c r="I118" s="0" t="n">
        <v>667.69</v>
      </c>
      <c r="J118" s="0" t="n">
        <v>4.39</v>
      </c>
      <c r="K118" s="0" t="n">
        <v>651.28</v>
      </c>
      <c r="L118" s="0" t="n">
        <v>646.05</v>
      </c>
      <c r="M118" s="0" t="n">
        <v>639.61</v>
      </c>
      <c r="N118" s="0" t="n">
        <v>631.46</v>
      </c>
      <c r="O118" s="0" t="n">
        <v>621.3</v>
      </c>
      <c r="P118" s="0" t="n">
        <v>613.28</v>
      </c>
      <c r="R118" s="0" t="n">
        <v>5.23</v>
      </c>
      <c r="S118" s="0" t="n">
        <v>4.82</v>
      </c>
      <c r="T118" s="0" t="n">
        <v>4.65</v>
      </c>
      <c r="U118" s="0" t="n">
        <v>4.48</v>
      </c>
      <c r="V118" s="0" t="n">
        <v>4.83</v>
      </c>
      <c r="W118" s="0" t="n">
        <v>3.81</v>
      </c>
      <c r="X118" s="0" t="n">
        <v>3.8</v>
      </c>
      <c r="Y118" s="0" t="n">
        <v>1.64</v>
      </c>
      <c r="AB118" s="0" t="n">
        <v>3.61</v>
      </c>
      <c r="AC118" s="0" t="n">
        <v>4.79</v>
      </c>
      <c r="AD118" s="0" t="n">
        <v>14.21</v>
      </c>
      <c r="AE118" s="0" t="n">
        <v>14.3</v>
      </c>
      <c r="AF118" s="0" t="n">
        <v>3.54</v>
      </c>
      <c r="AG118" s="0" t="n">
        <v>0.86</v>
      </c>
      <c r="AH118" s="0" t="n">
        <v>12.6</v>
      </c>
      <c r="AI118" s="0" t="n">
        <v>15.14</v>
      </c>
      <c r="AJ118" s="0" t="n">
        <v>8.12</v>
      </c>
      <c r="AK118" s="0" t="n">
        <v>7.02</v>
      </c>
      <c r="AL118" s="0" t="n">
        <v>8.86</v>
      </c>
      <c r="AM118" s="0" t="n">
        <v>9.84</v>
      </c>
      <c r="AN118" s="0" t="n">
        <v>11.44</v>
      </c>
      <c r="AP118" s="0" t="n">
        <v>11.5</v>
      </c>
      <c r="AQ118" s="0" t="n">
        <v>8.56</v>
      </c>
      <c r="AR118" s="0" t="n">
        <v>5.1</v>
      </c>
      <c r="AS118" s="0" t="n">
        <v>4.33</v>
      </c>
      <c r="AT118" s="0" t="n">
        <v>2.08</v>
      </c>
      <c r="AU118" s="0" t="n">
        <v>9.51</v>
      </c>
    </row>
    <row r="119" customFormat="false" ht="14.25" hidden="false" customHeight="false" outlineLevel="0" collapsed="false">
      <c r="A119" s="0" t="n">
        <v>12.14</v>
      </c>
      <c r="B119" s="0" t="n">
        <v>4.11</v>
      </c>
      <c r="C119" s="0" t="n">
        <v>6.49</v>
      </c>
      <c r="D119" s="0" t="n">
        <v>9.77</v>
      </c>
      <c r="E119" s="0" t="n">
        <v>2.87</v>
      </c>
      <c r="F119" s="0" t="n">
        <v>19.7</v>
      </c>
      <c r="G119" s="0" t="n">
        <v>15.94</v>
      </c>
      <c r="H119" s="0" t="n">
        <v>2.89</v>
      </c>
      <c r="I119" s="0" t="n">
        <v>667.71</v>
      </c>
      <c r="J119" s="0" t="n">
        <v>4.38</v>
      </c>
      <c r="K119" s="0" t="n">
        <v>651.28</v>
      </c>
      <c r="L119" s="0" t="n">
        <v>645.99</v>
      </c>
      <c r="M119" s="0" t="n">
        <v>639.59</v>
      </c>
      <c r="N119" s="0" t="n">
        <v>631.46</v>
      </c>
      <c r="O119" s="0" t="n">
        <v>621.3</v>
      </c>
      <c r="P119" s="0" t="n">
        <v>613.29</v>
      </c>
      <c r="R119" s="0" t="n">
        <v>5.2</v>
      </c>
      <c r="S119" s="0" t="n">
        <v>4.83</v>
      </c>
      <c r="T119" s="0" t="n">
        <v>4.65</v>
      </c>
      <c r="U119" s="0" t="n">
        <v>4.47</v>
      </c>
      <c r="V119" s="0" t="n">
        <v>4.83</v>
      </c>
      <c r="W119" s="0" t="n">
        <v>3.82</v>
      </c>
      <c r="X119" s="0" t="n">
        <v>3.82</v>
      </c>
      <c r="Y119" s="0" t="n">
        <v>1.65</v>
      </c>
      <c r="AB119" s="0" t="n">
        <v>3.61</v>
      </c>
      <c r="AC119" s="0" t="n">
        <v>4.79</v>
      </c>
      <c r="AD119" s="0" t="n">
        <v>14.25</v>
      </c>
      <c r="AE119" s="0" t="n">
        <v>14.3</v>
      </c>
      <c r="AF119" s="0" t="n">
        <v>3.67</v>
      </c>
      <c r="AG119" s="0" t="n">
        <v>0.86</v>
      </c>
      <c r="AH119" s="0" t="n">
        <v>12.59</v>
      </c>
      <c r="AI119" s="0" t="n">
        <v>15.15</v>
      </c>
      <c r="AJ119" s="0" t="n">
        <v>8.13</v>
      </c>
      <c r="AK119" s="0" t="n">
        <v>7.02</v>
      </c>
      <c r="AL119" s="0" t="n">
        <v>8.84</v>
      </c>
      <c r="AM119" s="0" t="n">
        <v>9.85</v>
      </c>
      <c r="AN119" s="0" t="n">
        <v>11.3</v>
      </c>
      <c r="AP119" s="0" t="n">
        <v>11.5</v>
      </c>
      <c r="AQ119" s="0" t="n">
        <v>8.53</v>
      </c>
      <c r="AR119" s="0" t="n">
        <v>5.1</v>
      </c>
      <c r="AS119" s="0" t="n">
        <v>4.34</v>
      </c>
      <c r="AT119" s="0" t="n">
        <v>2.07</v>
      </c>
      <c r="AU119" s="0" t="n">
        <v>9.53</v>
      </c>
    </row>
    <row r="120" customFormat="false" ht="14.25" hidden="false" customHeight="false" outlineLevel="0" collapsed="false">
      <c r="A120" s="0" t="n">
        <v>12.15</v>
      </c>
      <c r="B120" s="0" t="n">
        <v>4.1</v>
      </c>
      <c r="C120" s="0" t="n">
        <v>6.5</v>
      </c>
      <c r="D120" s="0" t="n">
        <v>9.77</v>
      </c>
      <c r="E120" s="0" t="n">
        <v>2.84</v>
      </c>
      <c r="F120" s="0" t="n">
        <v>19.69</v>
      </c>
      <c r="G120" s="0" t="n">
        <v>15.94</v>
      </c>
      <c r="H120" s="0" t="n">
        <v>2.92</v>
      </c>
      <c r="I120" s="0" t="n">
        <v>667.69</v>
      </c>
      <c r="J120" s="0" t="n">
        <v>4.37</v>
      </c>
      <c r="K120" s="0" t="n">
        <v>651.29</v>
      </c>
      <c r="L120" s="0" t="n">
        <v>645.99</v>
      </c>
      <c r="M120" s="0" t="n">
        <v>639.59</v>
      </c>
      <c r="N120" s="0" t="n">
        <v>631.47</v>
      </c>
      <c r="O120" s="0" t="n">
        <v>621.3</v>
      </c>
      <c r="P120" s="0" t="n">
        <v>613.28</v>
      </c>
      <c r="R120" s="0" t="n">
        <v>5.23</v>
      </c>
      <c r="S120" s="0" t="n">
        <v>4.83</v>
      </c>
      <c r="T120" s="0" t="n">
        <v>4.64</v>
      </c>
      <c r="U120" s="0" t="n">
        <v>4.34</v>
      </c>
      <c r="V120" s="0" t="n">
        <v>4.82</v>
      </c>
      <c r="W120" s="0" t="n">
        <v>3.82</v>
      </c>
      <c r="X120" s="0" t="n">
        <v>3.82</v>
      </c>
      <c r="Y120" s="0" t="n">
        <v>1.62</v>
      </c>
      <c r="AB120" s="0" t="n">
        <v>3.62</v>
      </c>
      <c r="AC120" s="0" t="n">
        <v>4.79</v>
      </c>
      <c r="AD120" s="0" t="n">
        <v>14.19</v>
      </c>
      <c r="AE120" s="0" t="n">
        <v>14.29</v>
      </c>
      <c r="AF120" s="0" t="n">
        <v>3.61</v>
      </c>
      <c r="AG120" s="0" t="n">
        <v>0.77</v>
      </c>
      <c r="AH120" s="0" t="n">
        <v>12.59</v>
      </c>
      <c r="AI120" s="0" t="n">
        <v>15.14</v>
      </c>
      <c r="AJ120" s="0" t="n">
        <v>8.13</v>
      </c>
      <c r="AK120" s="0" t="n">
        <v>7.01</v>
      </c>
      <c r="AL120" s="0" t="n">
        <v>8.85</v>
      </c>
      <c r="AM120" s="0" t="n">
        <v>9.84</v>
      </c>
      <c r="AN120" s="0" t="n">
        <v>11.42</v>
      </c>
      <c r="AP120" s="0" t="n">
        <v>11.49</v>
      </c>
      <c r="AQ120" s="0" t="n">
        <v>8.47</v>
      </c>
      <c r="AR120" s="0" t="n">
        <v>5.08</v>
      </c>
      <c r="AS120" s="0" t="n">
        <v>4.36</v>
      </c>
      <c r="AT120" s="0" t="n">
        <v>2.07</v>
      </c>
      <c r="AU120" s="0" t="n">
        <v>9.52</v>
      </c>
    </row>
    <row r="121" customFormat="false" ht="14.25" hidden="false" customHeight="false" outlineLevel="0" collapsed="false">
      <c r="A121" s="0" t="n">
        <v>12.15</v>
      </c>
      <c r="B121" s="0" t="n">
        <v>4.11</v>
      </c>
      <c r="C121" s="0" t="n">
        <v>6.5</v>
      </c>
      <c r="D121" s="0" t="n">
        <v>9.76</v>
      </c>
      <c r="E121" s="0" t="n">
        <v>2.84</v>
      </c>
      <c r="F121" s="0" t="n">
        <v>19.7</v>
      </c>
      <c r="G121" s="0" t="n">
        <v>15.94</v>
      </c>
      <c r="H121" s="0" t="n">
        <v>2.92</v>
      </c>
      <c r="I121" s="0" t="n">
        <v>667.68</v>
      </c>
      <c r="J121" s="0" t="n">
        <v>4.37</v>
      </c>
      <c r="K121" s="0" t="n">
        <v>651.29</v>
      </c>
      <c r="L121" s="0" t="n">
        <v>645.98</v>
      </c>
      <c r="M121" s="0" t="n">
        <v>639.59</v>
      </c>
      <c r="N121" s="0" t="n">
        <v>631.46</v>
      </c>
      <c r="O121" s="0" t="n">
        <v>621.3</v>
      </c>
      <c r="P121" s="0" t="n">
        <v>613.28</v>
      </c>
      <c r="R121" s="0" t="n">
        <v>5.23</v>
      </c>
      <c r="S121" s="0" t="n">
        <v>4.83</v>
      </c>
      <c r="T121" s="0" t="n">
        <v>4.64</v>
      </c>
      <c r="U121" s="0" t="n">
        <v>4.51</v>
      </c>
      <c r="V121" s="0" t="n">
        <v>4.82</v>
      </c>
      <c r="W121" s="0" t="n">
        <v>3.84</v>
      </c>
      <c r="X121" s="0" t="n">
        <v>3.81</v>
      </c>
      <c r="Y121" s="0" t="n">
        <v>1.66</v>
      </c>
      <c r="AB121" s="0" t="n">
        <v>3.64</v>
      </c>
      <c r="AC121" s="0" t="n">
        <v>4.77</v>
      </c>
      <c r="AD121" s="0" t="n">
        <v>14.17</v>
      </c>
      <c r="AE121" s="0" t="n">
        <v>14.29</v>
      </c>
      <c r="AF121" s="0" t="n">
        <v>3.57</v>
      </c>
      <c r="AG121" s="0" t="n">
        <v>0.89</v>
      </c>
      <c r="AH121" s="0" t="n">
        <v>12.61</v>
      </c>
      <c r="AI121" s="0" t="n">
        <v>15.14</v>
      </c>
      <c r="AJ121" s="0" t="n">
        <v>8.14</v>
      </c>
      <c r="AK121" s="0" t="n">
        <v>7.01</v>
      </c>
      <c r="AL121" s="0" t="n">
        <v>8.81</v>
      </c>
      <c r="AM121" s="0" t="n">
        <v>9.82</v>
      </c>
      <c r="AN121" s="0" t="n">
        <v>11.46</v>
      </c>
      <c r="AP121" s="0" t="n">
        <v>11.47</v>
      </c>
      <c r="AQ121" s="0" t="n">
        <v>8.42</v>
      </c>
      <c r="AR121" s="0" t="n">
        <v>5.05</v>
      </c>
      <c r="AS121" s="0" t="n">
        <v>4.38</v>
      </c>
      <c r="AT121" s="0" t="n">
        <v>2.09</v>
      </c>
      <c r="AU121" s="0" t="n">
        <v>9.53</v>
      </c>
    </row>
    <row r="122" customFormat="false" ht="14.25" hidden="false" customHeight="false" outlineLevel="0" collapsed="false">
      <c r="A122" s="0" t="n">
        <v>12.15</v>
      </c>
      <c r="B122" s="0" t="n">
        <v>4.1</v>
      </c>
      <c r="C122" s="0" t="n">
        <v>6.5</v>
      </c>
      <c r="D122" s="0" t="n">
        <v>9.76</v>
      </c>
      <c r="E122" s="0" t="n">
        <v>2.82</v>
      </c>
      <c r="F122" s="0" t="n">
        <v>19.71</v>
      </c>
      <c r="G122" s="0" t="n">
        <v>15.94</v>
      </c>
      <c r="H122" s="0" t="n">
        <v>2.83</v>
      </c>
      <c r="I122" s="0" t="n">
        <v>667.69</v>
      </c>
      <c r="J122" s="0" t="n">
        <v>4.37</v>
      </c>
      <c r="K122" s="0" t="n">
        <v>651.29</v>
      </c>
      <c r="L122" s="0" t="n">
        <v>645.99</v>
      </c>
      <c r="M122" s="0" t="n">
        <v>639.57</v>
      </c>
      <c r="N122" s="0" t="n">
        <v>631.47</v>
      </c>
      <c r="O122" s="0" t="n">
        <v>621.3</v>
      </c>
      <c r="P122" s="0" t="n">
        <v>613.29</v>
      </c>
      <c r="R122" s="0" t="n">
        <v>5.22</v>
      </c>
      <c r="S122" s="0" t="n">
        <v>4.88</v>
      </c>
      <c r="T122" s="0" t="n">
        <v>4.65</v>
      </c>
      <c r="U122" s="0" t="n">
        <v>4.51</v>
      </c>
      <c r="V122" s="0" t="n">
        <v>4.81</v>
      </c>
      <c r="W122" s="0" t="n">
        <v>3.83</v>
      </c>
      <c r="X122" s="0" t="n">
        <v>3.81</v>
      </c>
      <c r="Y122" s="0" t="n">
        <v>1.63</v>
      </c>
      <c r="AB122" s="0" t="n">
        <v>3.67</v>
      </c>
      <c r="AC122" s="0" t="n">
        <v>4.79</v>
      </c>
      <c r="AD122" s="0" t="n">
        <v>14.17</v>
      </c>
      <c r="AE122" s="0" t="n">
        <v>14.31</v>
      </c>
      <c r="AF122" s="0" t="n">
        <v>3.55</v>
      </c>
      <c r="AG122" s="0" t="n">
        <v>0.75</v>
      </c>
      <c r="AH122" s="0" t="n">
        <v>12.6</v>
      </c>
      <c r="AI122" s="0" t="n">
        <v>15.14</v>
      </c>
      <c r="AJ122" s="0" t="n">
        <v>8.15</v>
      </c>
      <c r="AK122" s="0" t="n">
        <v>7.01</v>
      </c>
      <c r="AL122" s="0" t="n">
        <v>8.82</v>
      </c>
      <c r="AM122" s="0" t="n">
        <v>9.82</v>
      </c>
      <c r="AN122" s="0" t="n">
        <v>11.46</v>
      </c>
      <c r="AP122" s="0" t="n">
        <v>11.46</v>
      </c>
      <c r="AQ122" s="0" t="n">
        <v>8.39</v>
      </c>
      <c r="AR122" s="0" t="n">
        <v>5.07</v>
      </c>
      <c r="AS122" s="0" t="n">
        <v>4.35</v>
      </c>
      <c r="AT122" s="0" t="n">
        <v>2.07</v>
      </c>
      <c r="AU122" s="0" t="n">
        <v>9.53</v>
      </c>
    </row>
    <row r="123" customFormat="false" ht="14.25" hidden="false" customHeight="false" outlineLevel="0" collapsed="false">
      <c r="A123" s="0" t="n">
        <v>12.15</v>
      </c>
      <c r="B123" s="0" t="n">
        <v>4.1</v>
      </c>
      <c r="C123" s="0" t="n">
        <v>6.5</v>
      </c>
      <c r="D123" s="0" t="n">
        <v>9.74</v>
      </c>
      <c r="E123" s="0" t="n">
        <v>2.78</v>
      </c>
      <c r="F123" s="0" t="n">
        <v>19.7</v>
      </c>
      <c r="G123" s="0" t="n">
        <v>15.95</v>
      </c>
      <c r="H123" s="0" t="n">
        <v>2.91</v>
      </c>
      <c r="I123" s="0" t="n">
        <v>667.69</v>
      </c>
      <c r="J123" s="0" t="n">
        <v>4.38</v>
      </c>
      <c r="K123" s="0" t="n">
        <v>651.28</v>
      </c>
      <c r="L123" s="0" t="n">
        <v>645.99</v>
      </c>
      <c r="M123" s="0" t="n">
        <v>639.57</v>
      </c>
      <c r="N123" s="0" t="n">
        <v>631.49</v>
      </c>
      <c r="O123" s="0" t="n">
        <v>621.3</v>
      </c>
      <c r="P123" s="0" t="n">
        <v>613.29</v>
      </c>
      <c r="R123" s="0" t="n">
        <v>5.23</v>
      </c>
      <c r="S123" s="0" t="n">
        <v>4.83</v>
      </c>
      <c r="T123" s="0" t="n">
        <v>4.65</v>
      </c>
      <c r="U123" s="0" t="n">
        <v>4.51</v>
      </c>
      <c r="V123" s="0" t="n">
        <v>4.81</v>
      </c>
      <c r="W123" s="0" t="n">
        <v>3.84</v>
      </c>
      <c r="X123" s="0" t="n">
        <v>3.82</v>
      </c>
      <c r="Y123" s="0" t="n">
        <v>1.65</v>
      </c>
      <c r="AB123" s="0" t="n">
        <v>3.74</v>
      </c>
      <c r="AC123" s="0" t="n">
        <v>4.81</v>
      </c>
      <c r="AD123" s="0" t="n">
        <v>14.14</v>
      </c>
      <c r="AE123" s="0" t="n">
        <v>14.29</v>
      </c>
      <c r="AF123" s="0" t="n">
        <v>3.56</v>
      </c>
      <c r="AG123" s="0" t="n">
        <v>0.66</v>
      </c>
      <c r="AH123" s="0" t="n">
        <v>12.61</v>
      </c>
      <c r="AI123" s="0" t="n">
        <v>15.13</v>
      </c>
      <c r="AJ123" s="0" t="n">
        <v>8.16</v>
      </c>
      <c r="AK123" s="0" t="n">
        <v>7.01</v>
      </c>
      <c r="AL123" s="0" t="n">
        <v>8.8</v>
      </c>
      <c r="AM123" s="0" t="n">
        <v>9.88</v>
      </c>
      <c r="AN123" s="0" t="n">
        <v>11.47</v>
      </c>
      <c r="AP123" s="0" t="n">
        <v>11.44</v>
      </c>
      <c r="AQ123" s="0" t="n">
        <v>8.35</v>
      </c>
      <c r="AR123" s="0" t="n">
        <v>5.09</v>
      </c>
      <c r="AS123" s="0" t="n">
        <v>4.38</v>
      </c>
      <c r="AT123" s="0" t="n">
        <v>2.07</v>
      </c>
      <c r="AU123" s="0" t="n">
        <v>9.56</v>
      </c>
    </row>
    <row r="124" customFormat="false" ht="14.25" hidden="false" customHeight="false" outlineLevel="0" collapsed="false">
      <c r="A124" s="0" t="n">
        <v>12.15</v>
      </c>
      <c r="B124" s="0" t="n">
        <v>4.1</v>
      </c>
      <c r="C124" s="0" t="n">
        <v>6.5</v>
      </c>
      <c r="D124" s="0" t="n">
        <v>9.73</v>
      </c>
      <c r="E124" s="0" t="n">
        <v>2.79</v>
      </c>
      <c r="F124" s="0" t="n">
        <v>19.71</v>
      </c>
      <c r="G124" s="0" t="n">
        <v>15.95</v>
      </c>
      <c r="H124" s="0" t="n">
        <v>2.89</v>
      </c>
      <c r="I124" s="0" t="n">
        <v>667.69</v>
      </c>
      <c r="J124" s="0" t="n">
        <v>4.39</v>
      </c>
      <c r="K124" s="0" t="n">
        <v>651.28</v>
      </c>
      <c r="L124" s="0" t="n">
        <v>645.99</v>
      </c>
      <c r="M124" s="0" t="n">
        <v>639.56</v>
      </c>
      <c r="N124" s="0" t="n">
        <v>631.47</v>
      </c>
      <c r="O124" s="0" t="n">
        <v>621.3</v>
      </c>
      <c r="P124" s="0" t="n">
        <v>613.29</v>
      </c>
      <c r="R124" s="0" t="n">
        <v>5.23</v>
      </c>
      <c r="S124" s="0" t="n">
        <v>4.82</v>
      </c>
      <c r="T124" s="0" t="n">
        <v>4.65</v>
      </c>
      <c r="U124" s="0" t="n">
        <v>4.35</v>
      </c>
      <c r="V124" s="0" t="n">
        <v>4.81</v>
      </c>
      <c r="W124" s="0" t="n">
        <v>3.85</v>
      </c>
      <c r="X124" s="0" t="n">
        <v>3.83</v>
      </c>
      <c r="Y124" s="0" t="n">
        <v>1.65</v>
      </c>
      <c r="AB124" s="0" t="n">
        <v>3.79</v>
      </c>
      <c r="AC124" s="0" t="n">
        <v>4.81</v>
      </c>
      <c r="AD124" s="0" t="n">
        <v>14.09</v>
      </c>
      <c r="AE124" s="0" t="n">
        <v>14.28</v>
      </c>
      <c r="AF124" s="0" t="n">
        <v>3.6</v>
      </c>
      <c r="AG124" s="0" t="n">
        <v>0.63</v>
      </c>
      <c r="AH124" s="0" t="n">
        <v>12.6</v>
      </c>
      <c r="AI124" s="0" t="n">
        <v>15.13</v>
      </c>
      <c r="AJ124" s="0" t="n">
        <v>8.16</v>
      </c>
      <c r="AK124" s="0" t="n">
        <v>6.99</v>
      </c>
      <c r="AL124" s="0" t="n">
        <v>8.82</v>
      </c>
      <c r="AM124" s="0" t="n">
        <v>9.84</v>
      </c>
      <c r="AN124" s="0" t="n">
        <v>11.42</v>
      </c>
      <c r="AP124" s="0" t="n">
        <v>11.45</v>
      </c>
      <c r="AQ124" s="0" t="n">
        <v>8.32</v>
      </c>
      <c r="AR124" s="0" t="n">
        <v>5.08</v>
      </c>
      <c r="AS124" s="0" t="n">
        <v>4.41</v>
      </c>
      <c r="AT124" s="0" t="n">
        <v>2.07</v>
      </c>
      <c r="AU124" s="0" t="n">
        <v>9.56</v>
      </c>
    </row>
    <row r="125" customFormat="false" ht="14.25" hidden="false" customHeight="false" outlineLevel="0" collapsed="false">
      <c r="A125" s="0" t="n">
        <v>12.15</v>
      </c>
      <c r="B125" s="0" t="n">
        <v>4.09</v>
      </c>
      <c r="C125" s="0" t="n">
        <v>6.5</v>
      </c>
      <c r="D125" s="0" t="n">
        <v>9.78</v>
      </c>
      <c r="E125" s="0" t="n">
        <v>2.77</v>
      </c>
      <c r="F125" s="0" t="n">
        <v>19.71</v>
      </c>
      <c r="G125" s="0" t="n">
        <v>15.96</v>
      </c>
      <c r="H125" s="0" t="n">
        <v>2.92</v>
      </c>
      <c r="I125" s="0" t="n">
        <v>667.69</v>
      </c>
      <c r="J125" s="0" t="n">
        <v>4.39</v>
      </c>
      <c r="K125" s="0" t="n">
        <v>651.28</v>
      </c>
      <c r="L125" s="0" t="n">
        <v>645.99</v>
      </c>
      <c r="M125" s="0" t="n">
        <v>639.56</v>
      </c>
      <c r="N125" s="0" t="n">
        <v>631.46</v>
      </c>
      <c r="O125" s="0" t="n">
        <v>621.3</v>
      </c>
      <c r="P125" s="0" t="n">
        <v>613.29</v>
      </c>
      <c r="R125" s="0" t="n">
        <v>5.23</v>
      </c>
      <c r="S125" s="0" t="n">
        <v>4.83</v>
      </c>
      <c r="T125" s="0" t="n">
        <v>4.66</v>
      </c>
      <c r="U125" s="0" t="n">
        <v>4.51</v>
      </c>
      <c r="V125" s="0" t="n">
        <v>4.81</v>
      </c>
      <c r="W125" s="0" t="n">
        <v>3.85</v>
      </c>
      <c r="X125" s="0" t="n">
        <v>3.83</v>
      </c>
      <c r="Y125" s="0" t="n">
        <v>1.65</v>
      </c>
      <c r="AB125" s="0" t="n">
        <v>3.81</v>
      </c>
      <c r="AC125" s="0" t="n">
        <v>4.75</v>
      </c>
      <c r="AD125" s="0" t="n">
        <v>13.94</v>
      </c>
      <c r="AE125" s="0" t="n">
        <v>14.26</v>
      </c>
      <c r="AF125" s="0" t="n">
        <v>3.58</v>
      </c>
      <c r="AG125" s="0" t="n">
        <v>0.65</v>
      </c>
      <c r="AH125" s="0" t="n">
        <v>12.61</v>
      </c>
      <c r="AI125" s="0" t="n">
        <v>15.13</v>
      </c>
      <c r="AJ125" s="0" t="n">
        <v>8.17</v>
      </c>
      <c r="AK125" s="0" t="n">
        <v>7</v>
      </c>
      <c r="AL125" s="0" t="n">
        <v>8.83</v>
      </c>
      <c r="AM125" s="0" t="n">
        <v>9.84</v>
      </c>
      <c r="AN125" s="0" t="n">
        <v>11.39</v>
      </c>
      <c r="AP125" s="0" t="n">
        <v>11.44</v>
      </c>
      <c r="AQ125" s="0" t="n">
        <v>8.28</v>
      </c>
      <c r="AR125" s="0" t="n">
        <v>5.07</v>
      </c>
      <c r="AS125" s="0" t="n">
        <v>4.43</v>
      </c>
      <c r="AT125" s="0" t="n">
        <v>2.06</v>
      </c>
      <c r="AU125" s="0" t="n">
        <v>9.59</v>
      </c>
    </row>
    <row r="126" customFormat="false" ht="14.25" hidden="false" customHeight="false" outlineLevel="0" collapsed="false">
      <c r="A126" s="0" t="n">
        <v>12.16</v>
      </c>
      <c r="B126" s="0" t="n">
        <v>4.09</v>
      </c>
      <c r="C126" s="0" t="n">
        <v>6.49</v>
      </c>
      <c r="D126" s="0" t="n">
        <v>9.77</v>
      </c>
      <c r="E126" s="0" t="n">
        <v>2.78</v>
      </c>
      <c r="F126" s="0" t="n">
        <v>19.73</v>
      </c>
      <c r="G126" s="0" t="n">
        <v>15.95</v>
      </c>
      <c r="H126" s="0" t="n">
        <v>2.91</v>
      </c>
      <c r="I126" s="0" t="n">
        <v>667.69</v>
      </c>
      <c r="J126" s="0" t="n">
        <v>4.39</v>
      </c>
      <c r="K126" s="0" t="n">
        <v>651.26</v>
      </c>
      <c r="L126" s="0" t="n">
        <v>645.99</v>
      </c>
      <c r="M126" s="0" t="n">
        <v>639.56</v>
      </c>
      <c r="N126" s="0" t="n">
        <v>631.46</v>
      </c>
      <c r="O126" s="0" t="n">
        <v>621.3</v>
      </c>
      <c r="P126" s="0" t="n">
        <v>613.29</v>
      </c>
      <c r="R126" s="0" t="n">
        <v>5.23</v>
      </c>
      <c r="S126" s="0" t="n">
        <v>4.82</v>
      </c>
      <c r="T126" s="0" t="n">
        <v>4.66</v>
      </c>
      <c r="U126" s="0" t="n">
        <v>4.52</v>
      </c>
      <c r="V126" s="0" t="n">
        <v>4.81</v>
      </c>
      <c r="W126" s="0" t="n">
        <v>3.84</v>
      </c>
      <c r="X126" s="0" t="n">
        <v>3.83</v>
      </c>
      <c r="Y126" s="0" t="n">
        <v>1.66</v>
      </c>
      <c r="AB126" s="0" t="n">
        <v>3.79</v>
      </c>
      <c r="AC126" s="0" t="n">
        <v>4.82</v>
      </c>
      <c r="AD126" s="0" t="n">
        <v>13.99</v>
      </c>
      <c r="AE126" s="0" t="n">
        <v>14.26</v>
      </c>
      <c r="AF126" s="0" t="n">
        <v>3.59</v>
      </c>
      <c r="AG126" s="0" t="n">
        <v>0.56</v>
      </c>
      <c r="AH126" s="0" t="n">
        <v>12.61</v>
      </c>
      <c r="AI126" s="0" t="n">
        <v>15.13</v>
      </c>
      <c r="AJ126" s="0" t="n">
        <v>8.17</v>
      </c>
      <c r="AK126" s="0" t="n">
        <v>7</v>
      </c>
      <c r="AL126" s="0" t="n">
        <v>8.82</v>
      </c>
      <c r="AM126" s="0" t="n">
        <v>9.76</v>
      </c>
      <c r="AN126" s="0" t="n">
        <v>11.35</v>
      </c>
      <c r="AP126" s="0" t="n">
        <v>11.45</v>
      </c>
      <c r="AQ126" s="0" t="n">
        <v>8.2</v>
      </c>
      <c r="AR126" s="0" t="n">
        <v>5.07</v>
      </c>
      <c r="AS126" s="0" t="n">
        <v>4.43</v>
      </c>
      <c r="AT126" s="0" t="n">
        <v>2.07</v>
      </c>
      <c r="AU126" s="0" t="n">
        <v>9.6</v>
      </c>
    </row>
    <row r="127" customFormat="false" ht="14.25" hidden="false" customHeight="false" outlineLevel="0" collapsed="false">
      <c r="A127" s="0" t="n">
        <v>12.16</v>
      </c>
      <c r="B127" s="0" t="n">
        <v>4.07</v>
      </c>
      <c r="C127" s="0" t="n">
        <v>6.49</v>
      </c>
      <c r="D127" s="0" t="n">
        <v>9.74</v>
      </c>
      <c r="E127" s="0" t="n">
        <v>2.75</v>
      </c>
      <c r="F127" s="0" t="n">
        <v>19.7</v>
      </c>
      <c r="G127" s="0" t="n">
        <v>15.96</v>
      </c>
      <c r="H127" s="0" t="n">
        <v>2.94</v>
      </c>
      <c r="I127" s="0" t="n">
        <v>667.71</v>
      </c>
      <c r="J127" s="0" t="n">
        <v>4.39</v>
      </c>
      <c r="K127" s="0" t="n">
        <v>651.31</v>
      </c>
      <c r="L127" s="0" t="n">
        <v>645.99</v>
      </c>
      <c r="M127" s="0" t="n">
        <v>639.56</v>
      </c>
      <c r="N127" s="0" t="n">
        <v>631.39</v>
      </c>
      <c r="O127" s="0" t="n">
        <v>621.3</v>
      </c>
      <c r="P127" s="0" t="n">
        <v>613.29</v>
      </c>
      <c r="R127" s="0" t="n">
        <v>5.24</v>
      </c>
      <c r="S127" s="0" t="n">
        <v>4.84</v>
      </c>
      <c r="T127" s="0" t="n">
        <v>4.66</v>
      </c>
      <c r="U127" s="0" t="n">
        <v>4.51</v>
      </c>
      <c r="V127" s="0" t="n">
        <v>4.8</v>
      </c>
      <c r="W127" s="0" t="n">
        <v>3.82</v>
      </c>
      <c r="X127" s="0" t="n">
        <v>3.83</v>
      </c>
      <c r="Y127" s="0" t="n">
        <v>1.66</v>
      </c>
      <c r="AB127" s="0" t="n">
        <v>3.79</v>
      </c>
      <c r="AC127" s="0" t="n">
        <v>4.82</v>
      </c>
      <c r="AD127" s="0" t="n">
        <v>13.98</v>
      </c>
      <c r="AE127" s="0" t="n">
        <v>14.32</v>
      </c>
      <c r="AF127" s="0" t="n">
        <v>3.54</v>
      </c>
      <c r="AG127" s="0" t="n">
        <v>0.57</v>
      </c>
      <c r="AH127" s="0" t="n">
        <v>12.6</v>
      </c>
      <c r="AI127" s="0" t="n">
        <v>15.13</v>
      </c>
      <c r="AJ127" s="0" t="n">
        <v>8.18</v>
      </c>
      <c r="AK127" s="0" t="n">
        <v>6.99</v>
      </c>
      <c r="AL127" s="0" t="n">
        <v>8.82</v>
      </c>
      <c r="AM127" s="0" t="n">
        <v>9.75</v>
      </c>
      <c r="AN127" s="0" t="n">
        <v>11.41</v>
      </c>
      <c r="AP127" s="0" t="n">
        <v>11.43</v>
      </c>
      <c r="AQ127" s="0" t="n">
        <v>8.18</v>
      </c>
      <c r="AR127" s="0" t="n">
        <v>5.07</v>
      </c>
      <c r="AS127" s="0" t="n">
        <v>4.43</v>
      </c>
      <c r="AT127" s="0" t="n">
        <v>2.07</v>
      </c>
      <c r="AU127" s="0" t="n">
        <v>9.63</v>
      </c>
    </row>
    <row r="128" customFormat="false" ht="14.25" hidden="false" customHeight="false" outlineLevel="0" collapsed="false">
      <c r="A128" s="0" t="n">
        <v>12.15</v>
      </c>
      <c r="B128" s="0" t="n">
        <v>4.07</v>
      </c>
      <c r="C128" s="0" t="n">
        <v>6.49</v>
      </c>
      <c r="D128" s="0" t="n">
        <v>9.74</v>
      </c>
      <c r="E128" s="0" t="n">
        <v>2.77</v>
      </c>
      <c r="F128" s="0" t="n">
        <v>19.73</v>
      </c>
      <c r="G128" s="0" t="n">
        <v>15.97</v>
      </c>
      <c r="H128" s="0" t="n">
        <v>2.92</v>
      </c>
      <c r="I128" s="0" t="n">
        <v>667.74</v>
      </c>
      <c r="J128" s="0" t="n">
        <v>4.39</v>
      </c>
      <c r="K128" s="0" t="n">
        <v>651.26</v>
      </c>
      <c r="L128" s="0" t="n">
        <v>645.99</v>
      </c>
      <c r="M128" s="0" t="n">
        <v>639.56</v>
      </c>
      <c r="N128" s="0" t="n">
        <v>631.46</v>
      </c>
      <c r="O128" s="0" t="n">
        <v>621.3</v>
      </c>
      <c r="P128" s="0" t="n">
        <v>613.3</v>
      </c>
      <c r="R128" s="0" t="n">
        <v>5.25</v>
      </c>
      <c r="S128" s="0" t="n">
        <v>4.88</v>
      </c>
      <c r="T128" s="0" t="n">
        <v>4.66</v>
      </c>
      <c r="U128" s="0" t="n">
        <v>4.43</v>
      </c>
      <c r="V128" s="0" t="n">
        <v>4.8</v>
      </c>
      <c r="W128" s="0" t="n">
        <v>3.82</v>
      </c>
      <c r="X128" s="0" t="n">
        <v>3.84</v>
      </c>
      <c r="Y128" s="0" t="n">
        <v>1.68</v>
      </c>
      <c r="AB128" s="0" t="n">
        <v>3.8</v>
      </c>
      <c r="AC128" s="0" t="n">
        <v>4.79</v>
      </c>
      <c r="AD128" s="0" t="n">
        <v>14.03</v>
      </c>
      <c r="AE128" s="0" t="n">
        <v>14.21</v>
      </c>
      <c r="AF128" s="0" t="n">
        <v>3.66</v>
      </c>
      <c r="AG128" s="0" t="n">
        <v>0.55</v>
      </c>
      <c r="AH128" s="0" t="n">
        <v>12.62</v>
      </c>
      <c r="AI128" s="0" t="n">
        <v>15.14</v>
      </c>
      <c r="AJ128" s="0" t="n">
        <v>8.17</v>
      </c>
      <c r="AK128" s="0" t="n">
        <v>7.01</v>
      </c>
      <c r="AL128" s="0" t="n">
        <v>8.83</v>
      </c>
      <c r="AM128" s="0" t="n">
        <v>9.76</v>
      </c>
      <c r="AN128" s="0" t="n">
        <v>11.4</v>
      </c>
      <c r="AP128" s="0" t="n">
        <v>11.43</v>
      </c>
      <c r="AQ128" s="0" t="n">
        <v>8.13</v>
      </c>
      <c r="AR128" s="0" t="n">
        <v>5.06</v>
      </c>
      <c r="AS128" s="0" t="n">
        <v>4.36</v>
      </c>
      <c r="AT128" s="0" t="n">
        <v>2.08</v>
      </c>
      <c r="AU128" s="0" t="n">
        <v>9.62</v>
      </c>
    </row>
    <row r="129" customFormat="false" ht="14.25" hidden="false" customHeight="false" outlineLevel="0" collapsed="false">
      <c r="A129" s="0" t="n">
        <v>12.15</v>
      </c>
      <c r="B129" s="0" t="n">
        <v>4.08</v>
      </c>
      <c r="C129" s="0" t="n">
        <v>6.49</v>
      </c>
      <c r="D129" s="0" t="n">
        <v>9.77</v>
      </c>
      <c r="E129" s="0" t="n">
        <v>2.77</v>
      </c>
      <c r="F129" s="0" t="n">
        <v>19.72</v>
      </c>
      <c r="G129" s="0" t="n">
        <v>15.95</v>
      </c>
      <c r="H129" s="0" t="n">
        <v>2.89</v>
      </c>
      <c r="I129" s="0" t="n">
        <v>667.74</v>
      </c>
      <c r="J129" s="0" t="n">
        <v>4.39</v>
      </c>
      <c r="K129" s="0" t="n">
        <v>651.28</v>
      </c>
      <c r="L129" s="0" t="n">
        <v>645.99</v>
      </c>
      <c r="M129" s="0" t="n">
        <v>639.57</v>
      </c>
      <c r="N129" s="0" t="n">
        <v>631.47</v>
      </c>
      <c r="O129" s="0" t="n">
        <v>621.31</v>
      </c>
      <c r="P129" s="0" t="n">
        <v>613.29</v>
      </c>
      <c r="R129" s="0" t="n">
        <v>5.24</v>
      </c>
      <c r="S129" s="0" t="n">
        <v>4.89</v>
      </c>
      <c r="T129" s="0" t="n">
        <v>4.67</v>
      </c>
      <c r="U129" s="0" t="n">
        <v>4.44</v>
      </c>
      <c r="V129" s="0" t="n">
        <v>4.8</v>
      </c>
      <c r="W129" s="0" t="n">
        <v>3.83</v>
      </c>
      <c r="X129" s="0" t="n">
        <v>3.84</v>
      </c>
      <c r="Y129" s="0" t="n">
        <v>1.67</v>
      </c>
      <c r="AB129" s="0" t="n">
        <v>3.8</v>
      </c>
      <c r="AC129" s="0" t="n">
        <v>4.84</v>
      </c>
      <c r="AD129" s="0" t="n">
        <v>13.99</v>
      </c>
      <c r="AE129" s="0" t="n">
        <v>14.32</v>
      </c>
      <c r="AF129" s="0" t="n">
        <v>3.56</v>
      </c>
      <c r="AG129" s="0" t="n">
        <v>0.57</v>
      </c>
      <c r="AH129" s="0" t="n">
        <v>12.62</v>
      </c>
      <c r="AI129" s="0" t="n">
        <v>15.13</v>
      </c>
      <c r="AJ129" s="0" t="n">
        <v>8.18</v>
      </c>
      <c r="AK129" s="0" t="n">
        <v>7</v>
      </c>
      <c r="AL129" s="0" t="n">
        <v>8.82</v>
      </c>
      <c r="AM129" s="0" t="n">
        <v>9.79</v>
      </c>
      <c r="AN129" s="0" t="n">
        <v>11.39</v>
      </c>
      <c r="AP129" s="0" t="n">
        <v>11.42</v>
      </c>
      <c r="AQ129" s="0" t="n">
        <v>8.11</v>
      </c>
      <c r="AR129" s="0" t="n">
        <v>5.06</v>
      </c>
      <c r="AS129" s="0" t="n">
        <v>4.38</v>
      </c>
      <c r="AT129" s="0" t="n">
        <v>2.07</v>
      </c>
      <c r="AU129" s="0" t="n">
        <v>9.64</v>
      </c>
    </row>
    <row r="130" customFormat="false" ht="14.25" hidden="false" customHeight="false" outlineLevel="0" collapsed="false">
      <c r="A130" s="0" t="n">
        <v>12.16</v>
      </c>
      <c r="B130" s="0" t="n">
        <v>4.08</v>
      </c>
      <c r="C130" s="0" t="n">
        <v>6.49</v>
      </c>
      <c r="D130" s="0" t="n">
        <v>9.77</v>
      </c>
      <c r="E130" s="0" t="n">
        <v>2.76</v>
      </c>
      <c r="F130" s="0" t="n">
        <v>19.74</v>
      </c>
      <c r="G130" s="0" t="n">
        <v>15.96</v>
      </c>
      <c r="H130" s="0" t="n">
        <v>2.92</v>
      </c>
      <c r="I130" s="0" t="n">
        <v>667.75</v>
      </c>
      <c r="J130" s="0" t="n">
        <v>4.39</v>
      </c>
      <c r="K130" s="0" t="n">
        <v>651.32</v>
      </c>
      <c r="L130" s="0" t="n">
        <v>645.99</v>
      </c>
      <c r="M130" s="0" t="n">
        <v>639.57</v>
      </c>
      <c r="N130" s="0" t="n">
        <v>631.39</v>
      </c>
      <c r="O130" s="0" t="n">
        <v>621.31</v>
      </c>
      <c r="P130" s="0" t="n">
        <v>613.29</v>
      </c>
      <c r="R130" s="0" t="n">
        <v>5.25</v>
      </c>
      <c r="S130" s="0" t="n">
        <v>4.87</v>
      </c>
      <c r="T130" s="0" t="n">
        <v>4.67</v>
      </c>
      <c r="U130" s="0" t="n">
        <v>4.49</v>
      </c>
      <c r="V130" s="0" t="n">
        <v>4.79</v>
      </c>
      <c r="W130" s="0" t="n">
        <v>3.82</v>
      </c>
      <c r="X130" s="0" t="n">
        <v>3.83</v>
      </c>
      <c r="Y130" s="0" t="n">
        <v>1.66</v>
      </c>
      <c r="AB130" s="0" t="n">
        <v>3.8</v>
      </c>
      <c r="AC130" s="0" t="n">
        <v>4.88</v>
      </c>
      <c r="AD130" s="0" t="n">
        <v>13.99</v>
      </c>
      <c r="AE130" s="0" t="n">
        <v>14.33</v>
      </c>
      <c r="AF130" s="0" t="n">
        <v>3.52</v>
      </c>
      <c r="AG130" s="0" t="n">
        <v>0.53</v>
      </c>
      <c r="AH130" s="0" t="n">
        <v>12.62</v>
      </c>
      <c r="AI130" s="0" t="n">
        <v>15.13</v>
      </c>
      <c r="AJ130" s="0" t="n">
        <v>8.19</v>
      </c>
      <c r="AK130" s="0" t="n">
        <v>6.97</v>
      </c>
      <c r="AL130" s="0" t="n">
        <v>8.8</v>
      </c>
      <c r="AM130" s="0" t="n">
        <v>9.84</v>
      </c>
      <c r="AN130" s="0" t="n">
        <v>11.4</v>
      </c>
      <c r="AP130" s="0" t="n">
        <v>11.4</v>
      </c>
      <c r="AQ130" s="0" t="n">
        <v>8.05</v>
      </c>
      <c r="AR130" s="0" t="n">
        <v>5.05</v>
      </c>
      <c r="AS130" s="0" t="n">
        <v>4.35</v>
      </c>
      <c r="AT130" s="0" t="n">
        <v>2.08</v>
      </c>
      <c r="AU130" s="0" t="n">
        <v>9.61</v>
      </c>
    </row>
    <row r="131" customFormat="false" ht="14.25" hidden="false" customHeight="false" outlineLevel="0" collapsed="false">
      <c r="A131" s="0" t="n">
        <v>12.17</v>
      </c>
      <c r="B131" s="0" t="n">
        <v>4.05</v>
      </c>
      <c r="C131" s="0" t="n">
        <v>6.49</v>
      </c>
      <c r="D131" s="0" t="n">
        <v>9.77</v>
      </c>
      <c r="E131" s="0" t="n">
        <v>2.75</v>
      </c>
      <c r="F131" s="0" t="n">
        <v>19.73</v>
      </c>
      <c r="G131" s="0" t="n">
        <v>15.97</v>
      </c>
      <c r="H131" s="0" t="n">
        <v>2.92</v>
      </c>
      <c r="I131" s="0" t="n">
        <v>667.71</v>
      </c>
      <c r="J131" s="0" t="n">
        <v>4.39</v>
      </c>
      <c r="K131" s="0" t="n">
        <v>651.26</v>
      </c>
      <c r="L131" s="0" t="n">
        <v>645.99</v>
      </c>
      <c r="M131" s="0" t="n">
        <v>639.56</v>
      </c>
      <c r="N131" s="0" t="n">
        <v>631.48</v>
      </c>
      <c r="O131" s="0" t="n">
        <v>621.31</v>
      </c>
      <c r="P131" s="0" t="n">
        <v>613.3</v>
      </c>
      <c r="R131" s="0" t="n">
        <v>5.23</v>
      </c>
      <c r="S131" s="0" t="n">
        <v>4.89</v>
      </c>
      <c r="T131" s="0" t="n">
        <v>4.68</v>
      </c>
      <c r="U131" s="0" t="n">
        <v>4.42</v>
      </c>
      <c r="V131" s="0" t="n">
        <v>4.79</v>
      </c>
      <c r="W131" s="0" t="n">
        <v>3.83</v>
      </c>
      <c r="X131" s="0" t="n">
        <v>3.85</v>
      </c>
      <c r="Y131" s="0" t="n">
        <v>1.65</v>
      </c>
      <c r="AB131" s="0" t="n">
        <v>3.79</v>
      </c>
      <c r="AC131" s="0" t="n">
        <v>4.75</v>
      </c>
      <c r="AD131" s="0" t="n">
        <v>14.01</v>
      </c>
      <c r="AE131" s="0" t="n">
        <v>14.3</v>
      </c>
      <c r="AF131" s="0" t="n">
        <v>3.47</v>
      </c>
      <c r="AG131" s="0" t="n">
        <v>0.58</v>
      </c>
      <c r="AH131" s="0" t="n">
        <v>12.62</v>
      </c>
      <c r="AI131" s="0" t="n">
        <v>15.13</v>
      </c>
      <c r="AJ131" s="0" t="n">
        <v>8.2</v>
      </c>
      <c r="AK131" s="0" t="n">
        <v>6.98</v>
      </c>
      <c r="AL131" s="0" t="n">
        <v>8.83</v>
      </c>
      <c r="AM131" s="0" t="n">
        <v>9.75</v>
      </c>
      <c r="AN131" s="0" t="n">
        <v>11.44</v>
      </c>
      <c r="AP131" s="0" t="n">
        <v>11.39</v>
      </c>
      <c r="AQ131" s="0" t="n">
        <v>8.04</v>
      </c>
      <c r="AR131" s="0" t="n">
        <v>5.05</v>
      </c>
      <c r="AS131" s="0" t="n">
        <v>4.37</v>
      </c>
      <c r="AT131" s="0" t="n">
        <v>2.07</v>
      </c>
      <c r="AU131" s="0" t="n">
        <v>9.62</v>
      </c>
    </row>
    <row r="132" customFormat="false" ht="14.25" hidden="false" customHeight="false" outlineLevel="0" collapsed="false">
      <c r="A132" s="0" t="n">
        <v>12.16</v>
      </c>
      <c r="B132" s="0" t="n">
        <v>4.08</v>
      </c>
      <c r="C132" s="0" t="n">
        <v>6.48</v>
      </c>
      <c r="D132" s="0" t="n">
        <v>9.73</v>
      </c>
      <c r="E132" s="0" t="n">
        <v>2.76</v>
      </c>
      <c r="F132" s="0" t="n">
        <v>19.73</v>
      </c>
      <c r="G132" s="0" t="n">
        <v>15.99</v>
      </c>
      <c r="H132" s="0" t="n">
        <v>2.9</v>
      </c>
      <c r="I132" s="0" t="n">
        <v>667.71</v>
      </c>
      <c r="J132" s="0" t="n">
        <v>4.39</v>
      </c>
      <c r="K132" s="0" t="n">
        <v>651.35</v>
      </c>
      <c r="L132" s="0" t="n">
        <v>645.99</v>
      </c>
      <c r="M132" s="0" t="n">
        <v>639.56</v>
      </c>
      <c r="N132" s="0" t="n">
        <v>631.48</v>
      </c>
      <c r="O132" s="0" t="n">
        <v>621.32</v>
      </c>
      <c r="P132" s="0" t="n">
        <v>613.3</v>
      </c>
      <c r="R132" s="0" t="n">
        <v>5.25</v>
      </c>
      <c r="S132" s="0" t="n">
        <v>4.88</v>
      </c>
      <c r="T132" s="0" t="n">
        <v>4.68</v>
      </c>
      <c r="U132" s="0" t="n">
        <v>4.51</v>
      </c>
      <c r="V132" s="0" t="n">
        <v>4.79</v>
      </c>
      <c r="W132" s="0" t="n">
        <v>3.82</v>
      </c>
      <c r="X132" s="0" t="n">
        <v>3.85</v>
      </c>
      <c r="Y132" s="0" t="n">
        <v>1.66</v>
      </c>
      <c r="AB132" s="0" t="n">
        <v>3.81</v>
      </c>
      <c r="AC132" s="0" t="n">
        <v>4.77</v>
      </c>
      <c r="AD132" s="0" t="n">
        <v>13.99</v>
      </c>
      <c r="AE132" s="0" t="n">
        <v>14.28</v>
      </c>
      <c r="AF132" s="0" t="n">
        <v>3.45</v>
      </c>
      <c r="AG132" s="0" t="n">
        <v>0.55</v>
      </c>
      <c r="AH132" s="0" t="n">
        <v>12.62</v>
      </c>
      <c r="AI132" s="0" t="n">
        <v>15.12</v>
      </c>
      <c r="AJ132" s="0" t="n">
        <v>8.19</v>
      </c>
      <c r="AK132" s="0" t="n">
        <v>6.96</v>
      </c>
      <c r="AL132" s="0" t="n">
        <v>8.82</v>
      </c>
      <c r="AM132" s="0" t="n">
        <v>9.76</v>
      </c>
      <c r="AN132" s="0" t="n">
        <v>11.44</v>
      </c>
      <c r="AP132" s="0" t="n">
        <v>11.37</v>
      </c>
      <c r="AQ132" s="0" t="n">
        <v>7.96</v>
      </c>
      <c r="AR132" s="0" t="n">
        <v>5.04</v>
      </c>
      <c r="AS132" s="0" t="n">
        <v>4.39</v>
      </c>
      <c r="AT132" s="0" t="n">
        <v>2.06</v>
      </c>
      <c r="AU132" s="0" t="n">
        <v>9.64</v>
      </c>
    </row>
    <row r="133" customFormat="false" ht="14.25" hidden="false" customHeight="false" outlineLevel="0" collapsed="false">
      <c r="A133" s="0" t="n">
        <v>12.15</v>
      </c>
      <c r="B133" s="0" t="n">
        <v>4.11</v>
      </c>
      <c r="C133" s="0" t="n">
        <v>6.48</v>
      </c>
      <c r="D133" s="0" t="n">
        <v>9.73</v>
      </c>
      <c r="E133" s="0" t="n">
        <v>2.72</v>
      </c>
      <c r="F133" s="0" t="n">
        <v>19.75</v>
      </c>
      <c r="G133" s="0" t="n">
        <v>15.98</v>
      </c>
      <c r="H133" s="0" t="n">
        <v>2.93</v>
      </c>
      <c r="I133" s="0" t="n">
        <v>667.72</v>
      </c>
      <c r="J133" s="0" t="n">
        <v>4.39</v>
      </c>
      <c r="K133" s="0" t="n">
        <v>651.28</v>
      </c>
      <c r="L133" s="0" t="n">
        <v>645.99</v>
      </c>
      <c r="M133" s="0" t="n">
        <v>639.56</v>
      </c>
      <c r="N133" s="0" t="n">
        <v>631.48</v>
      </c>
      <c r="O133" s="0" t="n">
        <v>621.32</v>
      </c>
      <c r="P133" s="0" t="n">
        <v>613.28</v>
      </c>
      <c r="R133" s="0" t="n">
        <v>5.28</v>
      </c>
      <c r="S133" s="0" t="n">
        <v>4.88</v>
      </c>
      <c r="T133" s="0" t="n">
        <v>4.68</v>
      </c>
      <c r="U133" s="0" t="n">
        <v>4.51</v>
      </c>
      <c r="V133" s="0" t="n">
        <v>4.79</v>
      </c>
      <c r="W133" s="0" t="n">
        <v>3.86</v>
      </c>
      <c r="X133" s="0" t="n">
        <v>3.86</v>
      </c>
      <c r="Y133" s="0" t="n">
        <v>1.65</v>
      </c>
      <c r="AB133" s="0" t="n">
        <v>3.8</v>
      </c>
      <c r="AC133" s="0" t="n">
        <v>4.79</v>
      </c>
      <c r="AD133" s="0" t="n">
        <v>14.01</v>
      </c>
      <c r="AE133" s="0" t="n">
        <v>14.29</v>
      </c>
      <c r="AF133" s="0" t="n">
        <v>3.5</v>
      </c>
      <c r="AG133" s="0" t="n">
        <v>0.57</v>
      </c>
      <c r="AH133" s="0" t="n">
        <v>12.62</v>
      </c>
      <c r="AI133" s="0" t="n">
        <v>15.13</v>
      </c>
      <c r="AJ133" s="0" t="n">
        <v>8.19</v>
      </c>
      <c r="AK133" s="0" t="n">
        <v>6.96</v>
      </c>
      <c r="AL133" s="0" t="n">
        <v>8.83</v>
      </c>
      <c r="AM133" s="0" t="n">
        <v>9.81</v>
      </c>
      <c r="AN133" s="0" t="n">
        <v>11.41</v>
      </c>
      <c r="AP133" s="0" t="n">
        <v>11.35</v>
      </c>
      <c r="AQ133" s="0" t="n">
        <v>7.93</v>
      </c>
      <c r="AR133" s="0" t="n">
        <v>5.03</v>
      </c>
      <c r="AS133" s="0" t="n">
        <v>4.41</v>
      </c>
      <c r="AT133" s="0" t="n">
        <v>2.06</v>
      </c>
      <c r="AU133" s="0" t="n">
        <v>9.64</v>
      </c>
    </row>
    <row r="134" customFormat="false" ht="14.25" hidden="false" customHeight="false" outlineLevel="0" collapsed="false">
      <c r="A134" s="0" t="n">
        <v>12.14</v>
      </c>
      <c r="B134" s="0" t="n">
        <v>4.1</v>
      </c>
      <c r="C134" s="0" t="n">
        <v>6.47</v>
      </c>
      <c r="D134" s="0" t="n">
        <v>9.72</v>
      </c>
      <c r="E134" s="0" t="n">
        <v>2.72</v>
      </c>
      <c r="F134" s="0" t="n">
        <v>19.73</v>
      </c>
      <c r="G134" s="0" t="n">
        <v>15.98</v>
      </c>
      <c r="H134" s="0" t="n">
        <v>2.93</v>
      </c>
      <c r="I134" s="0" t="n">
        <v>667.72</v>
      </c>
      <c r="J134" s="0" t="n">
        <v>4.39</v>
      </c>
      <c r="K134" s="0" t="n">
        <v>651.28</v>
      </c>
      <c r="L134" s="0" t="n">
        <v>645.99</v>
      </c>
      <c r="M134" s="0" t="n">
        <v>639.56</v>
      </c>
      <c r="N134" s="0" t="n">
        <v>631.51</v>
      </c>
      <c r="O134" s="0" t="n">
        <v>621.31</v>
      </c>
      <c r="P134" s="0" t="n">
        <v>613.32</v>
      </c>
      <c r="R134" s="0" t="n">
        <v>5.17</v>
      </c>
      <c r="S134" s="0" t="n">
        <v>4.89</v>
      </c>
      <c r="T134" s="0" t="n">
        <v>4.69</v>
      </c>
      <c r="U134" s="0" t="n">
        <v>4.53</v>
      </c>
      <c r="V134" s="0" t="n">
        <v>4.79</v>
      </c>
      <c r="W134" s="0" t="n">
        <v>3.83</v>
      </c>
      <c r="X134" s="0" t="n">
        <v>3.86</v>
      </c>
      <c r="Y134" s="0" t="n">
        <v>1.65</v>
      </c>
      <c r="AB134" s="0" t="n">
        <v>3.81</v>
      </c>
      <c r="AC134" s="0" t="n">
        <v>4.76</v>
      </c>
      <c r="AD134" s="0" t="n">
        <v>14</v>
      </c>
      <c r="AE134" s="0" t="n">
        <v>14.27</v>
      </c>
      <c r="AF134" s="0" t="n">
        <v>3.5</v>
      </c>
      <c r="AG134" s="0" t="n">
        <v>0.69</v>
      </c>
      <c r="AH134" s="0" t="n">
        <v>12.62</v>
      </c>
      <c r="AI134" s="0" t="n">
        <v>15.12</v>
      </c>
      <c r="AJ134" s="0" t="n">
        <v>8.19</v>
      </c>
      <c r="AK134" s="0" t="n">
        <v>6.95</v>
      </c>
      <c r="AL134" s="0" t="n">
        <v>8.82</v>
      </c>
      <c r="AM134" s="0" t="n">
        <v>9.75</v>
      </c>
      <c r="AN134" s="0" t="n">
        <v>11.43</v>
      </c>
      <c r="AP134" s="0" t="n">
        <v>11.34</v>
      </c>
      <c r="AQ134" s="0" t="n">
        <v>7.87</v>
      </c>
      <c r="AR134" s="0" t="n">
        <v>5.02</v>
      </c>
      <c r="AS134" s="0" t="n">
        <v>4.42</v>
      </c>
      <c r="AT134" s="0" t="n">
        <v>2.07</v>
      </c>
      <c r="AU134" s="0" t="n">
        <v>9.65</v>
      </c>
    </row>
    <row r="135" customFormat="false" ht="14.25" hidden="false" customHeight="false" outlineLevel="0" collapsed="false">
      <c r="A135" s="0" t="n">
        <v>12.14</v>
      </c>
      <c r="B135" s="0" t="n">
        <v>4.12</v>
      </c>
      <c r="C135" s="0" t="n">
        <v>6.47</v>
      </c>
      <c r="D135" s="0" t="n">
        <v>9.77</v>
      </c>
      <c r="E135" s="0" t="n">
        <v>2.74</v>
      </c>
      <c r="F135" s="0" t="n">
        <v>19.74</v>
      </c>
      <c r="G135" s="0" t="n">
        <v>15.98</v>
      </c>
      <c r="H135" s="0" t="n">
        <v>2.9</v>
      </c>
      <c r="I135" s="0" t="n">
        <v>667.71</v>
      </c>
      <c r="J135" s="0" t="n">
        <v>4.4</v>
      </c>
      <c r="K135" s="0" t="n">
        <v>651.28</v>
      </c>
      <c r="L135" s="0" t="n">
        <v>645.99</v>
      </c>
      <c r="M135" s="0" t="n">
        <v>639.56</v>
      </c>
      <c r="N135" s="0" t="n">
        <v>631.48</v>
      </c>
      <c r="O135" s="0" t="n">
        <v>621.35</v>
      </c>
      <c r="P135" s="0" t="n">
        <v>613.29</v>
      </c>
      <c r="R135" s="0" t="n">
        <v>5.19</v>
      </c>
      <c r="S135" s="0" t="n">
        <v>4.89</v>
      </c>
      <c r="T135" s="0" t="n">
        <v>4.69</v>
      </c>
      <c r="U135" s="0" t="n">
        <v>4.5</v>
      </c>
      <c r="V135" s="0" t="n">
        <v>4.78</v>
      </c>
      <c r="W135" s="0" t="n">
        <v>3.85</v>
      </c>
      <c r="X135" s="0" t="n">
        <v>3.9</v>
      </c>
      <c r="Y135" s="0" t="n">
        <v>1.64</v>
      </c>
      <c r="AB135" s="0" t="n">
        <v>3.8</v>
      </c>
      <c r="AC135" s="0" t="n">
        <v>4.78</v>
      </c>
      <c r="AD135" s="0" t="n">
        <v>13.99</v>
      </c>
      <c r="AE135" s="0" t="n">
        <v>14.3</v>
      </c>
      <c r="AF135" s="0" t="n">
        <v>3.37</v>
      </c>
      <c r="AG135" s="0" t="n">
        <v>0.58</v>
      </c>
      <c r="AH135" s="0" t="n">
        <v>12.62</v>
      </c>
      <c r="AI135" s="0" t="n">
        <v>15.11</v>
      </c>
      <c r="AJ135" s="0" t="n">
        <v>8.19</v>
      </c>
      <c r="AK135" s="0" t="n">
        <v>6.95</v>
      </c>
      <c r="AL135" s="0" t="n">
        <v>8.83</v>
      </c>
      <c r="AM135" s="0" t="n">
        <v>9.75</v>
      </c>
      <c r="AN135" s="0" t="n">
        <v>11.44</v>
      </c>
      <c r="AP135" s="0" t="n">
        <v>11.33</v>
      </c>
      <c r="AQ135" s="0" t="n">
        <v>7.84</v>
      </c>
      <c r="AR135" s="0" t="n">
        <v>5.01</v>
      </c>
      <c r="AS135" s="0" t="n">
        <v>4.44</v>
      </c>
      <c r="AT135" s="0" t="n">
        <v>2.05</v>
      </c>
      <c r="AU135" s="0" t="n">
        <v>9.66</v>
      </c>
    </row>
    <row r="136" customFormat="false" ht="14.25" hidden="false" customHeight="false" outlineLevel="0" collapsed="false">
      <c r="A136" s="0" t="n">
        <v>12.14</v>
      </c>
      <c r="B136" s="0" t="n">
        <v>4.09</v>
      </c>
      <c r="C136" s="0" t="n">
        <v>6.46</v>
      </c>
      <c r="D136" s="0" t="n">
        <v>9.73</v>
      </c>
      <c r="E136" s="0" t="n">
        <v>2.71</v>
      </c>
      <c r="F136" s="0" t="n">
        <v>19.72</v>
      </c>
      <c r="G136" s="0" t="n">
        <v>15.97</v>
      </c>
      <c r="H136" s="0" t="n">
        <v>2.83</v>
      </c>
      <c r="I136" s="0" t="n">
        <v>667.71</v>
      </c>
      <c r="J136" s="0" t="n">
        <v>4.4</v>
      </c>
      <c r="K136" s="0" t="n">
        <v>651.28</v>
      </c>
      <c r="L136" s="0" t="n">
        <v>645.99</v>
      </c>
      <c r="M136" s="0" t="n">
        <v>639.57</v>
      </c>
      <c r="N136" s="0" t="n">
        <v>631.44</v>
      </c>
      <c r="O136" s="0" t="n">
        <v>621.32</v>
      </c>
      <c r="P136" s="0" t="n">
        <v>613.29</v>
      </c>
      <c r="R136" s="0" t="n">
        <v>5.21</v>
      </c>
      <c r="S136" s="0" t="n">
        <v>4.88</v>
      </c>
      <c r="T136" s="0" t="n">
        <v>4.69</v>
      </c>
      <c r="U136" s="0" t="n">
        <v>4.52</v>
      </c>
      <c r="V136" s="0" t="n">
        <v>4.78</v>
      </c>
      <c r="W136" s="0" t="n">
        <v>3.84</v>
      </c>
      <c r="X136" s="0" t="n">
        <v>3.9</v>
      </c>
      <c r="Y136" s="0" t="n">
        <v>1.64</v>
      </c>
      <c r="AB136" s="0" t="n">
        <v>3.8</v>
      </c>
      <c r="AC136" s="0" t="n">
        <v>4.77</v>
      </c>
      <c r="AD136" s="0" t="n">
        <v>14</v>
      </c>
      <c r="AE136" s="0" t="n">
        <v>14.3</v>
      </c>
      <c r="AF136" s="0" t="n">
        <v>3.34</v>
      </c>
      <c r="AG136" s="0" t="n">
        <v>0.58</v>
      </c>
      <c r="AH136" s="0" t="n">
        <v>12.63</v>
      </c>
      <c r="AI136" s="0" t="n">
        <v>15.12</v>
      </c>
      <c r="AJ136" s="0" t="n">
        <v>8.19</v>
      </c>
      <c r="AK136" s="0" t="n">
        <v>6.93</v>
      </c>
      <c r="AL136" s="0" t="n">
        <v>8.81</v>
      </c>
      <c r="AM136" s="0" t="n">
        <v>9.8</v>
      </c>
      <c r="AN136" s="0" t="n">
        <v>11.47</v>
      </c>
      <c r="AP136" s="0" t="n">
        <v>11.32</v>
      </c>
      <c r="AQ136" s="0" t="n">
        <v>7.78</v>
      </c>
      <c r="AR136" s="0" t="n">
        <v>5</v>
      </c>
      <c r="AS136" s="0" t="n">
        <v>4.37</v>
      </c>
      <c r="AT136" s="0" t="n">
        <v>2.05</v>
      </c>
      <c r="AU136" s="0" t="n">
        <v>9.67</v>
      </c>
    </row>
    <row r="137" customFormat="false" ht="14.25" hidden="false" customHeight="false" outlineLevel="0" collapsed="false">
      <c r="A137" s="0" t="n">
        <v>12.14</v>
      </c>
      <c r="B137" s="0" t="n">
        <v>4.1</v>
      </c>
      <c r="C137" s="0" t="n">
        <v>6.46</v>
      </c>
      <c r="D137" s="0" t="n">
        <v>9.74</v>
      </c>
      <c r="E137" s="0" t="n">
        <v>2.75</v>
      </c>
      <c r="F137" s="0" t="n">
        <v>19.74</v>
      </c>
      <c r="G137" s="0" t="n">
        <v>15.98</v>
      </c>
      <c r="H137" s="0" t="n">
        <v>2.87</v>
      </c>
      <c r="I137" s="0" t="n">
        <v>667.69</v>
      </c>
      <c r="J137" s="0" t="n">
        <v>4.4</v>
      </c>
      <c r="K137" s="0" t="n">
        <v>651.28</v>
      </c>
      <c r="L137" s="0" t="n">
        <v>645.99</v>
      </c>
      <c r="M137" s="0" t="n">
        <v>639.61</v>
      </c>
      <c r="N137" s="0" t="n">
        <v>631.47</v>
      </c>
      <c r="O137" s="0" t="n">
        <v>621.32</v>
      </c>
      <c r="P137" s="0" t="n">
        <v>613.29</v>
      </c>
      <c r="R137" s="0" t="n">
        <v>5.26</v>
      </c>
      <c r="S137" s="0" t="n">
        <v>4.92</v>
      </c>
      <c r="T137" s="0" t="n">
        <v>4.7</v>
      </c>
      <c r="U137" s="0" t="n">
        <v>4.52</v>
      </c>
      <c r="V137" s="0" t="n">
        <v>4.79</v>
      </c>
      <c r="W137" s="0" t="n">
        <v>3.85</v>
      </c>
      <c r="X137" s="0" t="n">
        <v>3.91</v>
      </c>
      <c r="Y137" s="0" t="n">
        <v>1.65</v>
      </c>
      <c r="AB137" s="0" t="n">
        <v>3.8</v>
      </c>
      <c r="AC137" s="0" t="n">
        <v>4.77</v>
      </c>
      <c r="AD137" s="0" t="n">
        <v>13.99</v>
      </c>
      <c r="AE137" s="0" t="n">
        <v>14.29</v>
      </c>
      <c r="AF137" s="0" t="n">
        <v>3.32</v>
      </c>
      <c r="AG137" s="0" t="n">
        <v>0.59</v>
      </c>
      <c r="AH137" s="0" t="n">
        <v>12.62</v>
      </c>
      <c r="AI137" s="0" t="n">
        <v>15.12</v>
      </c>
      <c r="AJ137" s="0" t="n">
        <v>8.19</v>
      </c>
      <c r="AK137" s="0" t="n">
        <v>6.93</v>
      </c>
      <c r="AL137" s="0" t="n">
        <v>8.81</v>
      </c>
      <c r="AM137" s="0" t="n">
        <v>9.76</v>
      </c>
      <c r="AN137" s="0" t="n">
        <v>11.42</v>
      </c>
      <c r="AP137" s="0" t="n">
        <v>11.32</v>
      </c>
      <c r="AQ137" s="0" t="n">
        <v>7.74</v>
      </c>
      <c r="AR137" s="0" t="n">
        <v>4.99</v>
      </c>
      <c r="AS137" s="0" t="n">
        <v>4.35</v>
      </c>
      <c r="AT137" s="0" t="n">
        <v>2.05</v>
      </c>
      <c r="AU137" s="0" t="n">
        <v>9.66</v>
      </c>
    </row>
    <row r="138" customFormat="false" ht="14.25" hidden="false" customHeight="false" outlineLevel="0" collapsed="false">
      <c r="A138" s="0" t="n">
        <v>12.13</v>
      </c>
      <c r="B138" s="0" t="n">
        <v>4.1</v>
      </c>
      <c r="C138" s="0" t="n">
        <v>6.46</v>
      </c>
      <c r="D138" s="0" t="n">
        <v>9.72</v>
      </c>
      <c r="E138" s="0" t="n">
        <v>2.73</v>
      </c>
      <c r="F138" s="0" t="n">
        <v>19.74</v>
      </c>
      <c r="G138" s="0" t="n">
        <v>15.95</v>
      </c>
      <c r="H138" s="0" t="n">
        <v>2.93</v>
      </c>
      <c r="I138" s="0" t="n">
        <v>667.71</v>
      </c>
      <c r="J138" s="0" t="n">
        <v>4.4</v>
      </c>
      <c r="K138" s="0" t="n">
        <v>651.28</v>
      </c>
      <c r="L138" s="0" t="n">
        <v>645.99</v>
      </c>
      <c r="M138" s="0" t="n">
        <v>639.55</v>
      </c>
      <c r="N138" s="0" t="n">
        <v>631.49</v>
      </c>
      <c r="O138" s="0" t="n">
        <v>621.34</v>
      </c>
      <c r="P138" s="0" t="n">
        <v>613.29</v>
      </c>
      <c r="R138" s="0" t="n">
        <v>5.26</v>
      </c>
      <c r="S138" s="0" t="n">
        <v>4.87</v>
      </c>
      <c r="T138" s="0" t="n">
        <v>4.7</v>
      </c>
      <c r="U138" s="0" t="n">
        <v>4.49</v>
      </c>
      <c r="V138" s="0" t="n">
        <v>4.78</v>
      </c>
      <c r="W138" s="0" t="n">
        <v>3.86</v>
      </c>
      <c r="X138" s="0" t="n">
        <v>3.93</v>
      </c>
      <c r="Y138" s="0" t="n">
        <v>1.66</v>
      </c>
      <c r="AB138" s="0" t="n">
        <v>3.81</v>
      </c>
      <c r="AC138" s="0" t="n">
        <v>4.77</v>
      </c>
      <c r="AD138" s="0" t="n">
        <v>14.01</v>
      </c>
      <c r="AE138" s="0" t="n">
        <v>14.28</v>
      </c>
      <c r="AF138" s="0" t="n">
        <v>3.39</v>
      </c>
      <c r="AG138" s="0" t="n">
        <v>0.58</v>
      </c>
      <c r="AH138" s="0" t="n">
        <v>12.62</v>
      </c>
      <c r="AI138" s="0" t="n">
        <v>15.11</v>
      </c>
      <c r="AJ138" s="0" t="n">
        <v>8.19</v>
      </c>
      <c r="AK138" s="0" t="n">
        <v>6.93</v>
      </c>
      <c r="AL138" s="0" t="n">
        <v>8.82</v>
      </c>
      <c r="AM138" s="0" t="n">
        <v>9.85</v>
      </c>
      <c r="AN138" s="0" t="n">
        <v>11.44</v>
      </c>
      <c r="AP138" s="0" t="n">
        <v>11.3</v>
      </c>
      <c r="AQ138" s="0" t="n">
        <v>7.7</v>
      </c>
      <c r="AR138" s="0" t="n">
        <v>4.98</v>
      </c>
      <c r="AS138" s="0" t="n">
        <v>4.46</v>
      </c>
      <c r="AT138" s="0" t="n">
        <v>2.06</v>
      </c>
      <c r="AU138" s="0" t="n">
        <v>9.69</v>
      </c>
    </row>
    <row r="139" customFormat="false" ht="14.25" hidden="false" customHeight="false" outlineLevel="0" collapsed="false">
      <c r="A139" s="0" t="n">
        <v>12.14</v>
      </c>
      <c r="B139" s="0" t="n">
        <v>4.11</v>
      </c>
      <c r="C139" s="0" t="n">
        <v>6.46</v>
      </c>
      <c r="D139" s="0" t="n">
        <v>9.73</v>
      </c>
      <c r="E139" s="0" t="n">
        <v>2.76</v>
      </c>
      <c r="F139" s="0" t="n">
        <v>19.76</v>
      </c>
      <c r="G139" s="0" t="n">
        <v>15.94</v>
      </c>
      <c r="H139" s="0" t="n">
        <v>2.95</v>
      </c>
      <c r="I139" s="0" t="n">
        <v>667.71</v>
      </c>
      <c r="J139" s="0" t="n">
        <v>4.4</v>
      </c>
      <c r="K139" s="0" t="n">
        <v>651.28</v>
      </c>
      <c r="L139" s="0" t="n">
        <v>645.99</v>
      </c>
      <c r="M139" s="0" t="n">
        <v>639.55</v>
      </c>
      <c r="N139" s="0" t="n">
        <v>631.5</v>
      </c>
      <c r="O139" s="0" t="n">
        <v>621.33</v>
      </c>
      <c r="P139" s="0" t="n">
        <v>613.29</v>
      </c>
      <c r="R139" s="0" t="n">
        <v>5.27</v>
      </c>
      <c r="S139" s="0" t="n">
        <v>4.88</v>
      </c>
      <c r="T139" s="0" t="n">
        <v>4.7</v>
      </c>
      <c r="U139" s="0" t="n">
        <v>4.45</v>
      </c>
      <c r="V139" s="0" t="n">
        <v>4.78</v>
      </c>
      <c r="W139" s="0" t="n">
        <v>3.86</v>
      </c>
      <c r="X139" s="0" t="n">
        <v>3.93</v>
      </c>
      <c r="Y139" s="0" t="n">
        <v>1.7</v>
      </c>
      <c r="AB139" s="0" t="n">
        <v>3.82</v>
      </c>
      <c r="AC139" s="0" t="n">
        <v>4.77</v>
      </c>
      <c r="AD139" s="0" t="n">
        <v>14.03</v>
      </c>
      <c r="AE139" s="0" t="n">
        <v>14.28</v>
      </c>
      <c r="AF139" s="0" t="n">
        <v>3.4</v>
      </c>
      <c r="AG139" s="0" t="n">
        <v>0.58</v>
      </c>
      <c r="AH139" s="0" t="n">
        <v>12.62</v>
      </c>
      <c r="AI139" s="0" t="n">
        <v>15.11</v>
      </c>
      <c r="AJ139" s="0" t="n">
        <v>8.19</v>
      </c>
      <c r="AK139" s="0" t="n">
        <v>6.93</v>
      </c>
      <c r="AL139" s="0" t="n">
        <v>8.82</v>
      </c>
      <c r="AM139" s="0" t="n">
        <v>9.79</v>
      </c>
      <c r="AN139" s="0" t="n">
        <v>11.43</v>
      </c>
      <c r="AP139" s="0" t="n">
        <v>11.29</v>
      </c>
      <c r="AQ139" s="0" t="n">
        <v>7.63</v>
      </c>
      <c r="AR139" s="0" t="n">
        <v>4.96</v>
      </c>
      <c r="AS139" s="0" t="n">
        <v>4.42</v>
      </c>
      <c r="AT139" s="0" t="n">
        <v>2.06</v>
      </c>
      <c r="AU139" s="0" t="n">
        <v>9.71</v>
      </c>
    </row>
    <row r="140" customFormat="false" ht="14.25" hidden="false" customHeight="false" outlineLevel="0" collapsed="false">
      <c r="A140" s="0" t="n">
        <v>12.14</v>
      </c>
      <c r="B140" s="0" t="n">
        <v>4.12</v>
      </c>
      <c r="C140" s="0" t="n">
        <v>6.45</v>
      </c>
      <c r="D140" s="0" t="n">
        <v>9.73</v>
      </c>
      <c r="E140" s="0" t="n">
        <v>2.74</v>
      </c>
      <c r="F140" s="0" t="n">
        <v>19.75</v>
      </c>
      <c r="G140" s="0" t="n">
        <v>15.94</v>
      </c>
      <c r="H140" s="0" t="n">
        <v>2.96</v>
      </c>
      <c r="I140" s="0" t="n">
        <v>667.71</v>
      </c>
      <c r="J140" s="0" t="n">
        <v>4.4</v>
      </c>
      <c r="K140" s="0" t="n">
        <v>651.28</v>
      </c>
      <c r="L140" s="0" t="n">
        <v>645.99</v>
      </c>
      <c r="M140" s="0" t="n">
        <v>639.55</v>
      </c>
      <c r="N140" s="0" t="n">
        <v>631.52</v>
      </c>
      <c r="O140" s="0" t="n">
        <v>621.33</v>
      </c>
      <c r="P140" s="0" t="n">
        <v>613.3</v>
      </c>
      <c r="R140" s="0" t="n">
        <v>5.3</v>
      </c>
      <c r="S140" s="0" t="n">
        <v>4.87</v>
      </c>
      <c r="T140" s="0" t="n">
        <v>4.77</v>
      </c>
      <c r="U140" s="0" t="n">
        <v>4.52</v>
      </c>
      <c r="V140" s="0" t="n">
        <v>4.78</v>
      </c>
      <c r="W140" s="0" t="n">
        <v>3.85</v>
      </c>
      <c r="X140" s="0" t="n">
        <v>3.98</v>
      </c>
      <c r="Y140" s="0" t="n">
        <v>1.69</v>
      </c>
      <c r="AB140" s="0" t="n">
        <v>3.81</v>
      </c>
      <c r="AC140" s="0" t="n">
        <v>4.78</v>
      </c>
      <c r="AD140" s="0" t="n">
        <v>14.03</v>
      </c>
      <c r="AE140" s="0" t="n">
        <v>14.27</v>
      </c>
      <c r="AF140" s="0" t="n">
        <v>3.36</v>
      </c>
      <c r="AG140" s="0" t="n">
        <v>0.6</v>
      </c>
      <c r="AH140" s="0" t="n">
        <v>12.63</v>
      </c>
      <c r="AI140" s="0" t="n">
        <v>15.1</v>
      </c>
      <c r="AJ140" s="0" t="n">
        <v>8.19</v>
      </c>
      <c r="AK140" s="0" t="n">
        <v>6.91</v>
      </c>
      <c r="AL140" s="0" t="n">
        <v>8.82</v>
      </c>
      <c r="AM140" s="0" t="n">
        <v>9.83</v>
      </c>
      <c r="AN140" s="0" t="n">
        <v>11.42</v>
      </c>
      <c r="AP140" s="0" t="n">
        <v>11.25</v>
      </c>
      <c r="AQ140" s="0" t="n">
        <v>7.62</v>
      </c>
      <c r="AR140" s="0" t="n">
        <v>4.98</v>
      </c>
      <c r="AS140" s="0" t="n">
        <v>4.46</v>
      </c>
      <c r="AT140" s="0" t="n">
        <v>2.05</v>
      </c>
      <c r="AU140" s="0" t="n">
        <v>9.71</v>
      </c>
    </row>
    <row r="141" customFormat="false" ht="14.25" hidden="false" customHeight="false" outlineLevel="0" collapsed="false">
      <c r="A141" s="0" t="n">
        <v>12.13</v>
      </c>
      <c r="B141" s="0" t="n">
        <v>4.12</v>
      </c>
      <c r="C141" s="0" t="n">
        <v>6.45</v>
      </c>
      <c r="D141" s="0" t="n">
        <v>9.74</v>
      </c>
      <c r="E141" s="0" t="n">
        <v>2.76</v>
      </c>
      <c r="F141" s="0" t="n">
        <v>19.74</v>
      </c>
      <c r="G141" s="0" t="n">
        <v>15.96</v>
      </c>
      <c r="H141" s="0" t="n">
        <v>2.88</v>
      </c>
      <c r="I141" s="0" t="n">
        <v>667.71</v>
      </c>
      <c r="J141" s="0" t="n">
        <v>4.41</v>
      </c>
      <c r="K141" s="0" t="n">
        <v>651.26</v>
      </c>
      <c r="L141" s="0" t="n">
        <v>645.99</v>
      </c>
      <c r="M141" s="0" t="n">
        <v>639.55</v>
      </c>
      <c r="N141" s="0" t="n">
        <v>631.49</v>
      </c>
      <c r="O141" s="0" t="n">
        <v>621.35</v>
      </c>
      <c r="P141" s="0" t="n">
        <v>613.29</v>
      </c>
      <c r="R141" s="0" t="n">
        <v>5.3</v>
      </c>
      <c r="S141" s="0" t="n">
        <v>4.88</v>
      </c>
      <c r="T141" s="0" t="n">
        <v>4.77</v>
      </c>
      <c r="U141" s="0" t="n">
        <v>4.52</v>
      </c>
      <c r="V141" s="0" t="n">
        <v>4.78</v>
      </c>
      <c r="W141" s="0" t="n">
        <v>3.9</v>
      </c>
      <c r="X141" s="0" t="n">
        <v>3.93</v>
      </c>
      <c r="Y141" s="0" t="n">
        <v>1.66</v>
      </c>
      <c r="AB141" s="0" t="n">
        <v>3.81</v>
      </c>
      <c r="AC141" s="0" t="n">
        <v>4.77</v>
      </c>
      <c r="AD141" s="0" t="n">
        <v>14.04</v>
      </c>
      <c r="AE141" s="0" t="n">
        <v>14.27</v>
      </c>
      <c r="AF141" s="0" t="n">
        <v>3.37</v>
      </c>
      <c r="AG141" s="0" t="n">
        <v>0.62</v>
      </c>
      <c r="AH141" s="0" t="n">
        <v>12.63</v>
      </c>
      <c r="AI141" s="0" t="n">
        <v>15.1</v>
      </c>
      <c r="AJ141" s="0" t="n">
        <v>8.19</v>
      </c>
      <c r="AK141" s="0" t="n">
        <v>6.91</v>
      </c>
      <c r="AL141" s="0" t="n">
        <v>8.84</v>
      </c>
      <c r="AM141" s="0" t="n">
        <v>9.82</v>
      </c>
      <c r="AN141" s="0" t="n">
        <v>11.36</v>
      </c>
      <c r="AP141" s="0" t="n">
        <v>11.21</v>
      </c>
      <c r="AQ141" s="0" t="n">
        <v>7.55</v>
      </c>
      <c r="AR141" s="0" t="n">
        <v>5.03</v>
      </c>
      <c r="AS141" s="0" t="n">
        <v>4.47</v>
      </c>
      <c r="AT141" s="0" t="n">
        <v>2.05</v>
      </c>
      <c r="AU141" s="0" t="n">
        <v>9.73</v>
      </c>
    </row>
    <row r="142" customFormat="false" ht="14.25" hidden="false" customHeight="false" outlineLevel="0" collapsed="false">
      <c r="A142" s="0" t="n">
        <v>12.13</v>
      </c>
      <c r="B142" s="0" t="n">
        <v>4.1</v>
      </c>
      <c r="C142" s="0" t="n">
        <v>6.45</v>
      </c>
      <c r="D142" s="0" t="n">
        <v>9.74</v>
      </c>
      <c r="E142" s="0" t="n">
        <v>2.76</v>
      </c>
      <c r="F142" s="0" t="n">
        <v>19.71</v>
      </c>
      <c r="G142" s="0" t="n">
        <v>15.96</v>
      </c>
      <c r="H142" s="0" t="n">
        <v>2.89</v>
      </c>
      <c r="I142" s="0" t="n">
        <v>667.73</v>
      </c>
      <c r="J142" s="0" t="n">
        <v>4.41</v>
      </c>
      <c r="K142" s="0" t="n">
        <v>651.27</v>
      </c>
      <c r="L142" s="0" t="n">
        <v>645.99</v>
      </c>
      <c r="M142" s="0" t="n">
        <v>639.55</v>
      </c>
      <c r="N142" s="0" t="n">
        <v>631.5</v>
      </c>
      <c r="O142" s="0" t="n">
        <v>621.32</v>
      </c>
      <c r="P142" s="0" t="n">
        <v>613.3</v>
      </c>
      <c r="R142" s="0" t="n">
        <v>5.3</v>
      </c>
      <c r="S142" s="0" t="n">
        <v>4.78</v>
      </c>
      <c r="T142" s="0" t="n">
        <v>4.77</v>
      </c>
      <c r="U142" s="0" t="n">
        <v>4.53</v>
      </c>
      <c r="V142" s="0" t="n">
        <v>4.78</v>
      </c>
      <c r="W142" s="0" t="n">
        <v>3.92</v>
      </c>
      <c r="X142" s="0" t="n">
        <v>3.93</v>
      </c>
      <c r="Y142" s="0" t="n">
        <v>1.68</v>
      </c>
      <c r="AB142" s="0" t="n">
        <v>3.81</v>
      </c>
      <c r="AC142" s="0" t="n">
        <v>4.77</v>
      </c>
      <c r="AD142" s="0" t="n">
        <v>14.03</v>
      </c>
      <c r="AE142" s="0" t="n">
        <v>14.28</v>
      </c>
      <c r="AF142" s="0" t="n">
        <v>3.36</v>
      </c>
      <c r="AG142" s="0" t="n">
        <v>0.6</v>
      </c>
      <c r="AH142" s="0" t="n">
        <v>12.62</v>
      </c>
      <c r="AI142" s="0" t="n">
        <v>15.1</v>
      </c>
      <c r="AJ142" s="0" t="n">
        <v>8.19</v>
      </c>
      <c r="AK142" s="0" t="n">
        <v>6.91</v>
      </c>
      <c r="AL142" s="0" t="n">
        <v>8.81</v>
      </c>
      <c r="AM142" s="0" t="n">
        <v>9.83</v>
      </c>
      <c r="AN142" s="0" t="n">
        <v>11.36</v>
      </c>
      <c r="AP142" s="0" t="n">
        <v>11.22</v>
      </c>
      <c r="AQ142" s="0" t="n">
        <v>7.52</v>
      </c>
      <c r="AR142" s="0" t="n">
        <v>5.01</v>
      </c>
      <c r="AS142" s="0" t="n">
        <v>4.47</v>
      </c>
      <c r="AT142" s="0" t="n">
        <v>2.04</v>
      </c>
      <c r="AU142" s="0" t="n">
        <v>9.72</v>
      </c>
    </row>
    <row r="143" customFormat="false" ht="14.25" hidden="false" customHeight="false" outlineLevel="0" collapsed="false">
      <c r="A143" s="0" t="n">
        <v>12.14</v>
      </c>
      <c r="B143" s="0" t="n">
        <v>4.11</v>
      </c>
      <c r="C143" s="0" t="n">
        <v>6.45</v>
      </c>
      <c r="D143" s="0" t="n">
        <v>9.76</v>
      </c>
      <c r="E143" s="0" t="n">
        <v>2.79</v>
      </c>
      <c r="F143" s="0" t="n">
        <v>19.67</v>
      </c>
      <c r="G143" s="0" t="n">
        <v>15.96</v>
      </c>
      <c r="H143" s="0" t="n">
        <v>2.9</v>
      </c>
      <c r="I143" s="0" t="n">
        <v>667.72</v>
      </c>
      <c r="J143" s="0" t="n">
        <v>4.41</v>
      </c>
      <c r="K143" s="0" t="n">
        <v>651.25</v>
      </c>
      <c r="L143" s="0" t="n">
        <v>645.99</v>
      </c>
      <c r="M143" s="0" t="n">
        <v>639.56</v>
      </c>
      <c r="N143" s="0" t="n">
        <v>631.49</v>
      </c>
      <c r="O143" s="0" t="n">
        <v>621.32</v>
      </c>
      <c r="P143" s="0" t="n">
        <v>613.3</v>
      </c>
      <c r="R143" s="0" t="n">
        <v>5.29</v>
      </c>
      <c r="S143" s="0" t="n">
        <v>4.87</v>
      </c>
      <c r="T143" s="0" t="n">
        <v>4.77</v>
      </c>
      <c r="U143" s="0" t="n">
        <v>4.52</v>
      </c>
      <c r="V143" s="0" t="n">
        <v>4.78</v>
      </c>
      <c r="W143" s="0" t="n">
        <v>3.92</v>
      </c>
      <c r="X143" s="0" t="n">
        <v>3.92</v>
      </c>
      <c r="Y143" s="0" t="n">
        <v>1.68</v>
      </c>
      <c r="AB143" s="0" t="n">
        <v>3.82</v>
      </c>
      <c r="AC143" s="0" t="n">
        <v>4.78</v>
      </c>
      <c r="AD143" s="0" t="n">
        <v>14.04</v>
      </c>
      <c r="AE143" s="0" t="n">
        <v>14.27</v>
      </c>
      <c r="AF143" s="0" t="n">
        <v>3.37</v>
      </c>
      <c r="AG143" s="0" t="n">
        <v>0.63</v>
      </c>
      <c r="AH143" s="0" t="n">
        <v>12.62</v>
      </c>
      <c r="AI143" s="0" t="n">
        <v>15.09</v>
      </c>
      <c r="AJ143" s="0" t="n">
        <v>8.19</v>
      </c>
      <c r="AK143" s="0" t="n">
        <v>6.89</v>
      </c>
      <c r="AL143" s="0" t="n">
        <v>8.83</v>
      </c>
      <c r="AM143" s="0" t="n">
        <v>9.8</v>
      </c>
      <c r="AN143" s="0" t="n">
        <v>11.35</v>
      </c>
      <c r="AP143" s="0" t="n">
        <v>11.19</v>
      </c>
      <c r="AQ143" s="0" t="n">
        <v>7.44</v>
      </c>
      <c r="AR143" s="0" t="n">
        <v>5.01</v>
      </c>
      <c r="AS143" s="0" t="n">
        <v>4.47</v>
      </c>
      <c r="AT143" s="0" t="n">
        <v>2.04</v>
      </c>
      <c r="AU143" s="0" t="n">
        <v>9.75</v>
      </c>
    </row>
    <row r="144" customFormat="false" ht="14.25" hidden="false" customHeight="false" outlineLevel="0" collapsed="false">
      <c r="A144" s="0" t="n">
        <v>12.15</v>
      </c>
      <c r="B144" s="0" t="n">
        <v>4.09</v>
      </c>
      <c r="C144" s="0" t="n">
        <v>6.44</v>
      </c>
      <c r="D144" s="0" t="n">
        <v>9.77</v>
      </c>
      <c r="E144" s="0" t="n">
        <v>2.81</v>
      </c>
      <c r="F144" s="0" t="n">
        <v>19.64</v>
      </c>
      <c r="G144" s="0" t="n">
        <v>15.95</v>
      </c>
      <c r="H144" s="0" t="n">
        <v>2.86</v>
      </c>
      <c r="I144" s="0" t="n">
        <v>667.71</v>
      </c>
      <c r="J144" s="0" t="n">
        <v>4.41</v>
      </c>
      <c r="K144" s="0" t="n">
        <v>651.28</v>
      </c>
      <c r="L144" s="0" t="n">
        <v>645.99</v>
      </c>
      <c r="M144" s="0" t="n">
        <v>639.56</v>
      </c>
      <c r="N144" s="0" t="n">
        <v>631.49</v>
      </c>
      <c r="O144" s="0" t="n">
        <v>621.32</v>
      </c>
      <c r="P144" s="0" t="n">
        <v>613.3</v>
      </c>
      <c r="R144" s="0" t="n">
        <v>5.29</v>
      </c>
      <c r="S144" s="0" t="n">
        <v>4.86</v>
      </c>
      <c r="T144" s="0" t="n">
        <v>4.78</v>
      </c>
      <c r="U144" s="0" t="n">
        <v>4.64</v>
      </c>
      <c r="V144" s="0" t="n">
        <v>4.77</v>
      </c>
      <c r="W144" s="0" t="n">
        <v>3.93</v>
      </c>
      <c r="X144" s="0" t="n">
        <v>3.9</v>
      </c>
      <c r="Y144" s="0" t="n">
        <v>1.67</v>
      </c>
      <c r="AB144" s="0" t="n">
        <v>3.81</v>
      </c>
      <c r="AC144" s="0" t="n">
        <v>4.77</v>
      </c>
      <c r="AD144" s="0" t="n">
        <v>14.01</v>
      </c>
      <c r="AE144" s="0" t="n">
        <v>14.27</v>
      </c>
      <c r="AF144" s="0" t="n">
        <v>3.37</v>
      </c>
      <c r="AG144" s="0" t="n">
        <v>0.63</v>
      </c>
      <c r="AH144" s="0" t="n">
        <v>12.62</v>
      </c>
      <c r="AI144" s="0" t="n">
        <v>15.09</v>
      </c>
      <c r="AJ144" s="0" t="n">
        <v>8.19</v>
      </c>
      <c r="AK144" s="0" t="n">
        <v>6.9</v>
      </c>
      <c r="AL144" s="0" t="n">
        <v>8.83</v>
      </c>
      <c r="AM144" s="0" t="n">
        <v>9.8</v>
      </c>
      <c r="AN144" s="0" t="n">
        <v>11.35</v>
      </c>
      <c r="AP144" s="0" t="n">
        <v>11.2</v>
      </c>
      <c r="AQ144" s="0" t="n">
        <v>7.4</v>
      </c>
      <c r="AR144" s="0" t="n">
        <v>5.02</v>
      </c>
      <c r="AS144" s="0" t="n">
        <v>4.47</v>
      </c>
      <c r="AT144" s="0" t="n">
        <v>2.04</v>
      </c>
      <c r="AU144" s="0" t="n">
        <v>9.72</v>
      </c>
    </row>
    <row r="145" customFormat="false" ht="14.25" hidden="false" customHeight="false" outlineLevel="0" collapsed="false">
      <c r="A145" s="0" t="n">
        <v>12.13</v>
      </c>
      <c r="B145" s="0" t="n">
        <v>4.1</v>
      </c>
      <c r="C145" s="0" t="n">
        <v>6.44</v>
      </c>
      <c r="D145" s="0" t="n">
        <v>9.78</v>
      </c>
      <c r="E145" s="0" t="n">
        <v>2.81</v>
      </c>
      <c r="F145" s="0" t="n">
        <v>19.69</v>
      </c>
      <c r="G145" s="0" t="n">
        <v>15.93</v>
      </c>
      <c r="H145" s="0" t="n">
        <v>2.9</v>
      </c>
      <c r="I145" s="0" t="n">
        <v>667.69</v>
      </c>
      <c r="J145" s="0" t="n">
        <v>4.41</v>
      </c>
      <c r="K145" s="0" t="n">
        <v>651.28</v>
      </c>
      <c r="L145" s="0" t="n">
        <v>645.98</v>
      </c>
      <c r="M145" s="0" t="n">
        <v>639.56</v>
      </c>
      <c r="N145" s="0" t="n">
        <v>631.48</v>
      </c>
      <c r="O145" s="0" t="n">
        <v>621.34</v>
      </c>
      <c r="P145" s="0" t="n">
        <v>613.3</v>
      </c>
      <c r="R145" s="0" t="n">
        <v>5.29</v>
      </c>
      <c r="S145" s="0" t="n">
        <v>4.86</v>
      </c>
      <c r="T145" s="0" t="n">
        <v>4.77</v>
      </c>
      <c r="U145" s="0" t="n">
        <v>4.53</v>
      </c>
      <c r="V145" s="0" t="n">
        <v>4.77</v>
      </c>
      <c r="W145" s="0" t="n">
        <v>3.93</v>
      </c>
      <c r="X145" s="0" t="n">
        <v>3.94</v>
      </c>
      <c r="Y145" s="0" t="n">
        <v>1.66</v>
      </c>
      <c r="AB145" s="0" t="n">
        <v>3.8</v>
      </c>
      <c r="AC145" s="0" t="n">
        <v>4.78</v>
      </c>
      <c r="AD145" s="0" t="n">
        <v>14.05</v>
      </c>
      <c r="AE145" s="0" t="n">
        <v>14.27</v>
      </c>
      <c r="AF145" s="0" t="n">
        <v>3.36</v>
      </c>
      <c r="AG145" s="0" t="n">
        <v>0.63</v>
      </c>
      <c r="AH145" s="0" t="n">
        <v>12.63</v>
      </c>
      <c r="AI145" s="0" t="n">
        <v>15.09</v>
      </c>
      <c r="AJ145" s="0" t="n">
        <v>8.19</v>
      </c>
      <c r="AK145" s="0" t="n">
        <v>6.89</v>
      </c>
      <c r="AL145" s="0" t="n">
        <v>8.82</v>
      </c>
      <c r="AM145" s="0" t="n">
        <v>9.84</v>
      </c>
      <c r="AN145" s="0" t="n">
        <v>11.31</v>
      </c>
      <c r="AP145" s="0" t="n">
        <v>11.19</v>
      </c>
      <c r="AQ145" s="0" t="n">
        <v>7.36</v>
      </c>
      <c r="AR145" s="0" t="n">
        <v>5.01</v>
      </c>
      <c r="AS145" s="0" t="n">
        <v>4.46</v>
      </c>
      <c r="AT145" s="0" t="n">
        <v>2.04</v>
      </c>
      <c r="AU145" s="0" t="n">
        <v>9.73</v>
      </c>
    </row>
    <row r="146" customFormat="false" ht="14.25" hidden="false" customHeight="false" outlineLevel="0" collapsed="false">
      <c r="A146" s="0" t="n">
        <v>12.1</v>
      </c>
      <c r="B146" s="0" t="n">
        <v>4.1</v>
      </c>
      <c r="C146" s="0" t="n">
        <v>6.44</v>
      </c>
      <c r="D146" s="0" t="n">
        <v>9.79</v>
      </c>
      <c r="E146" s="0" t="n">
        <v>2.83</v>
      </c>
      <c r="F146" s="0" t="n">
        <v>19.72</v>
      </c>
      <c r="G146" s="0" t="n">
        <v>15.92</v>
      </c>
      <c r="H146" s="0" t="n">
        <v>2.91</v>
      </c>
      <c r="I146" s="0" t="n">
        <v>667.69</v>
      </c>
      <c r="J146" s="0" t="n">
        <v>4.43</v>
      </c>
      <c r="K146" s="0" t="n">
        <v>651.29</v>
      </c>
      <c r="L146" s="0" t="n">
        <v>645.99</v>
      </c>
      <c r="M146" s="0" t="n">
        <v>639.56</v>
      </c>
      <c r="N146" s="0" t="n">
        <v>631.47</v>
      </c>
      <c r="O146" s="0" t="n">
        <v>621.33</v>
      </c>
      <c r="P146" s="0" t="n">
        <v>613.3</v>
      </c>
      <c r="R146" s="0" t="n">
        <v>5.3</v>
      </c>
      <c r="S146" s="0" t="n">
        <v>4.86</v>
      </c>
      <c r="T146" s="0" t="n">
        <v>4.77</v>
      </c>
      <c r="U146" s="0" t="n">
        <v>4.55</v>
      </c>
      <c r="V146" s="0" t="n">
        <v>4.77</v>
      </c>
      <c r="W146" s="0" t="n">
        <v>3.92</v>
      </c>
      <c r="X146" s="0" t="n">
        <v>3.91</v>
      </c>
      <c r="Y146" s="0" t="n">
        <v>1.65</v>
      </c>
      <c r="AB146" s="0" t="n">
        <v>3.8</v>
      </c>
      <c r="AC146" s="0" t="n">
        <v>4.76</v>
      </c>
      <c r="AD146" s="0" t="n">
        <v>14.05</v>
      </c>
      <c r="AE146" s="0" t="n">
        <v>14.29</v>
      </c>
      <c r="AF146" s="0" t="n">
        <v>3.34</v>
      </c>
      <c r="AG146" s="0" t="n">
        <v>0.6</v>
      </c>
      <c r="AH146" s="0" t="n">
        <v>12.63</v>
      </c>
      <c r="AI146" s="0" t="n">
        <v>15.09</v>
      </c>
      <c r="AJ146" s="0" t="n">
        <v>8.18</v>
      </c>
      <c r="AK146" s="0" t="n">
        <v>6.9</v>
      </c>
      <c r="AL146" s="0" t="n">
        <v>8.82</v>
      </c>
      <c r="AM146" s="0" t="n">
        <v>9.8</v>
      </c>
      <c r="AN146" s="0" t="n">
        <v>11.32</v>
      </c>
      <c r="AP146" s="0" t="n">
        <v>11.17</v>
      </c>
      <c r="AQ146" s="0" t="n">
        <v>7.31</v>
      </c>
      <c r="AR146" s="0" t="n">
        <v>5</v>
      </c>
      <c r="AS146" s="0" t="n">
        <v>4.42</v>
      </c>
      <c r="AT146" s="0" t="n">
        <v>2.05</v>
      </c>
      <c r="AU146" s="0" t="n">
        <v>9.71</v>
      </c>
    </row>
    <row r="147" customFormat="false" ht="14.25" hidden="false" customHeight="false" outlineLevel="0" collapsed="false">
      <c r="A147" s="0" t="n">
        <v>12.1</v>
      </c>
      <c r="B147" s="0" t="n">
        <v>4.09</v>
      </c>
      <c r="C147" s="0" t="n">
        <v>6.43</v>
      </c>
      <c r="D147" s="0" t="n">
        <v>9.76</v>
      </c>
      <c r="E147" s="0" t="n">
        <v>2.84</v>
      </c>
      <c r="F147" s="0" t="n">
        <v>19.68</v>
      </c>
      <c r="G147" s="0" t="n">
        <v>15.92</v>
      </c>
      <c r="H147" s="0" t="n">
        <v>2.94</v>
      </c>
      <c r="I147" s="0" t="n">
        <v>667.71</v>
      </c>
      <c r="J147" s="0" t="n">
        <v>4.41</v>
      </c>
      <c r="K147" s="0" t="n">
        <v>651.32</v>
      </c>
      <c r="L147" s="0" t="n">
        <v>645.99</v>
      </c>
      <c r="M147" s="0" t="n">
        <v>639.56</v>
      </c>
      <c r="N147" s="0" t="n">
        <v>631.48</v>
      </c>
      <c r="O147" s="0" t="n">
        <v>621.33</v>
      </c>
      <c r="P147" s="0" t="n">
        <v>613.3</v>
      </c>
      <c r="R147" s="0" t="n">
        <v>5.29</v>
      </c>
      <c r="S147" s="0" t="n">
        <v>4.88</v>
      </c>
      <c r="T147" s="0" t="n">
        <v>4.79</v>
      </c>
      <c r="U147" s="0" t="n">
        <v>4.54</v>
      </c>
      <c r="V147" s="0" t="n">
        <v>4.76</v>
      </c>
      <c r="W147" s="0" t="n">
        <v>3.93</v>
      </c>
      <c r="X147" s="0" t="n">
        <v>3.95</v>
      </c>
      <c r="Y147" s="0" t="n">
        <v>1.65</v>
      </c>
      <c r="AB147" s="0" t="n">
        <v>3.8</v>
      </c>
      <c r="AC147" s="0" t="n">
        <v>4.78</v>
      </c>
      <c r="AD147" s="0" t="n">
        <v>14.03</v>
      </c>
      <c r="AE147" s="0" t="n">
        <v>14.28</v>
      </c>
      <c r="AF147" s="0" t="n">
        <v>3.51</v>
      </c>
      <c r="AG147" s="0" t="n">
        <v>0.51</v>
      </c>
      <c r="AH147" s="0" t="n">
        <v>12.63</v>
      </c>
      <c r="AI147" s="0" t="n">
        <v>15.08</v>
      </c>
      <c r="AJ147" s="0" t="n">
        <v>8.18</v>
      </c>
      <c r="AK147" s="0" t="n">
        <v>6.9</v>
      </c>
      <c r="AL147" s="0" t="n">
        <v>8.83</v>
      </c>
      <c r="AM147" s="0" t="n">
        <v>9.85</v>
      </c>
      <c r="AN147" s="0" t="n">
        <v>11.3</v>
      </c>
      <c r="AP147" s="0" t="n">
        <v>11.19</v>
      </c>
      <c r="AQ147" s="0" t="n">
        <v>7.25</v>
      </c>
      <c r="AR147" s="0" t="n">
        <v>4.96</v>
      </c>
      <c r="AS147" s="0" t="n">
        <v>4.42</v>
      </c>
      <c r="AT147" s="0" t="n">
        <v>2.04</v>
      </c>
      <c r="AU147" s="0" t="n">
        <v>9.72</v>
      </c>
    </row>
    <row r="148" customFormat="false" ht="14.25" hidden="false" customHeight="false" outlineLevel="0" collapsed="false">
      <c r="A148" s="0" t="n">
        <v>12.1</v>
      </c>
      <c r="B148" s="0" t="n">
        <v>4.08</v>
      </c>
      <c r="C148" s="0" t="n">
        <v>6.41</v>
      </c>
      <c r="D148" s="0" t="n">
        <v>9.76</v>
      </c>
      <c r="E148" s="0" t="n">
        <v>2.87</v>
      </c>
      <c r="F148" s="0" t="n">
        <v>19.68</v>
      </c>
      <c r="G148" s="0" t="n">
        <v>15.92</v>
      </c>
      <c r="H148" s="0" t="n">
        <v>2.89</v>
      </c>
      <c r="I148" s="0" t="n">
        <v>667.71</v>
      </c>
      <c r="J148" s="0" t="n">
        <v>4.41</v>
      </c>
      <c r="K148" s="0" t="n">
        <v>651.28</v>
      </c>
      <c r="L148" s="0" t="n">
        <v>645.99</v>
      </c>
      <c r="M148" s="0" t="n">
        <v>639.57</v>
      </c>
      <c r="N148" s="0" t="n">
        <v>631.48</v>
      </c>
      <c r="O148" s="0" t="n">
        <v>621.33</v>
      </c>
      <c r="P148" s="0" t="n">
        <v>613.3</v>
      </c>
      <c r="R148" s="0" t="n">
        <v>5.29</v>
      </c>
      <c r="S148" s="0" t="n">
        <v>4.86</v>
      </c>
      <c r="T148" s="0" t="n">
        <v>4.78</v>
      </c>
      <c r="U148" s="0" t="n">
        <v>4.55</v>
      </c>
      <c r="V148" s="0" t="n">
        <v>4.76</v>
      </c>
      <c r="W148" s="0" t="n">
        <v>3.94</v>
      </c>
      <c r="X148" s="0" t="n">
        <v>3.92</v>
      </c>
      <c r="Y148" s="0" t="n">
        <v>1.65</v>
      </c>
      <c r="AB148" s="0" t="n">
        <v>3.81</v>
      </c>
      <c r="AC148" s="0" t="n">
        <v>4.77</v>
      </c>
      <c r="AD148" s="0" t="n">
        <v>14.04</v>
      </c>
      <c r="AE148" s="0" t="n">
        <v>14.29</v>
      </c>
      <c r="AF148" s="0" t="n">
        <v>3.38</v>
      </c>
      <c r="AG148" s="0" t="n">
        <v>0.51</v>
      </c>
      <c r="AH148" s="0" t="n">
        <v>12.63</v>
      </c>
      <c r="AI148" s="0" t="n">
        <v>15.07</v>
      </c>
      <c r="AJ148" s="0" t="n">
        <v>8.18</v>
      </c>
      <c r="AK148" s="0" t="n">
        <v>6.88</v>
      </c>
      <c r="AL148" s="0" t="n">
        <v>8.84</v>
      </c>
      <c r="AM148" s="0" t="n">
        <v>9.75</v>
      </c>
      <c r="AN148" s="0" t="n">
        <v>11.31</v>
      </c>
      <c r="AP148" s="0" t="n">
        <v>11.19</v>
      </c>
      <c r="AQ148" s="0" t="n">
        <v>7.21</v>
      </c>
      <c r="AR148" s="0" t="n">
        <v>4.96</v>
      </c>
      <c r="AS148" s="0" t="n">
        <v>4.37</v>
      </c>
      <c r="AT148" s="0" t="n">
        <v>2.05</v>
      </c>
      <c r="AU148" s="0" t="n">
        <v>9.76</v>
      </c>
    </row>
    <row r="149" customFormat="false" ht="14.25" hidden="false" customHeight="false" outlineLevel="0" collapsed="false">
      <c r="A149" s="0" t="n">
        <v>12.09</v>
      </c>
      <c r="B149" s="0" t="n">
        <v>4.08</v>
      </c>
      <c r="C149" s="0" t="n">
        <v>6.46</v>
      </c>
      <c r="D149" s="0" t="n">
        <v>9.79</v>
      </c>
      <c r="E149" s="0" t="n">
        <v>2.84</v>
      </c>
      <c r="F149" s="0" t="n">
        <v>19.67</v>
      </c>
      <c r="G149" s="0" t="n">
        <v>15.92</v>
      </c>
      <c r="H149" s="0" t="n">
        <v>2.88</v>
      </c>
      <c r="I149" s="0" t="n">
        <v>667.69</v>
      </c>
      <c r="J149" s="0" t="n">
        <v>4.41</v>
      </c>
      <c r="K149" s="0" t="n">
        <v>651.35</v>
      </c>
      <c r="L149" s="0" t="n">
        <v>645.99</v>
      </c>
      <c r="M149" s="0" t="n">
        <v>639.58</v>
      </c>
      <c r="N149" s="0" t="n">
        <v>631.47</v>
      </c>
      <c r="O149" s="0" t="n">
        <v>621.33</v>
      </c>
      <c r="P149" s="0" t="n">
        <v>613.3</v>
      </c>
      <c r="R149" s="0" t="n">
        <v>5.29</v>
      </c>
      <c r="S149" s="0" t="n">
        <v>4.86</v>
      </c>
      <c r="T149" s="0" t="n">
        <v>4.78</v>
      </c>
      <c r="U149" s="0" t="n">
        <v>4.55</v>
      </c>
      <c r="V149" s="0" t="n">
        <v>4.76</v>
      </c>
      <c r="W149" s="0" t="n">
        <v>3.94</v>
      </c>
      <c r="X149" s="0" t="n">
        <v>3.95</v>
      </c>
      <c r="Y149" s="0" t="n">
        <v>1.65</v>
      </c>
      <c r="AB149" s="0" t="n">
        <v>3.81</v>
      </c>
      <c r="AC149" s="0" t="n">
        <v>4.77</v>
      </c>
      <c r="AD149" s="0" t="n">
        <v>14.04</v>
      </c>
      <c r="AE149" s="0" t="n">
        <v>14.27</v>
      </c>
      <c r="AF149" s="0" t="n">
        <v>3.39</v>
      </c>
      <c r="AG149" s="0" t="n">
        <v>0.43</v>
      </c>
      <c r="AH149" s="0" t="n">
        <v>12.62</v>
      </c>
      <c r="AI149" s="0" t="n">
        <v>15.06</v>
      </c>
      <c r="AJ149" s="0" t="n">
        <v>8.18</v>
      </c>
      <c r="AK149" s="0" t="n">
        <v>6.86</v>
      </c>
      <c r="AL149" s="0" t="n">
        <v>8.82</v>
      </c>
      <c r="AM149" s="0" t="n">
        <v>9.87</v>
      </c>
      <c r="AN149" s="0" t="n">
        <v>11.35</v>
      </c>
      <c r="AP149" s="0" t="n">
        <v>11.17</v>
      </c>
      <c r="AQ149" s="0" t="n">
        <v>7.18</v>
      </c>
      <c r="AR149" s="0" t="n">
        <v>4.96</v>
      </c>
      <c r="AS149" s="0" t="n">
        <v>4.42</v>
      </c>
      <c r="AT149" s="0" t="n">
        <v>2.04</v>
      </c>
      <c r="AU149" s="0" t="n">
        <v>9.76</v>
      </c>
    </row>
    <row r="150" customFormat="false" ht="14.25" hidden="false" customHeight="false" outlineLevel="0" collapsed="false">
      <c r="A150" s="0" t="n">
        <v>12.1</v>
      </c>
      <c r="B150" s="0" t="n">
        <v>4.08</v>
      </c>
      <c r="C150" s="0" t="n">
        <v>6.45</v>
      </c>
      <c r="D150" s="0" t="n">
        <v>9.77</v>
      </c>
      <c r="E150" s="0" t="n">
        <v>2.84</v>
      </c>
      <c r="F150" s="0" t="n">
        <v>19.67</v>
      </c>
      <c r="G150" s="0" t="n">
        <v>15.89</v>
      </c>
      <c r="H150" s="0" t="n">
        <v>2.91</v>
      </c>
      <c r="I150" s="0" t="n">
        <v>667.69</v>
      </c>
      <c r="J150" s="0" t="n">
        <v>4.42</v>
      </c>
      <c r="K150" s="0" t="n">
        <v>651.28</v>
      </c>
      <c r="L150" s="0" t="n">
        <v>645.99</v>
      </c>
      <c r="M150" s="0" t="n">
        <v>639.57</v>
      </c>
      <c r="N150" s="0" t="n">
        <v>631.47</v>
      </c>
      <c r="O150" s="0" t="n">
        <v>621.33</v>
      </c>
      <c r="P150" s="0" t="n">
        <v>613.3</v>
      </c>
      <c r="R150" s="0" t="n">
        <v>5.29</v>
      </c>
      <c r="S150" s="0" t="n">
        <v>4.88</v>
      </c>
      <c r="T150" s="0" t="n">
        <v>4.79</v>
      </c>
      <c r="U150" s="0" t="n">
        <v>4.55</v>
      </c>
      <c r="V150" s="0" t="n">
        <v>4.75</v>
      </c>
      <c r="W150" s="0" t="n">
        <v>3.94</v>
      </c>
      <c r="X150" s="0" t="n">
        <v>3.93</v>
      </c>
      <c r="Y150" s="0" t="n">
        <v>1.65</v>
      </c>
      <c r="AB150" s="0" t="n">
        <v>3.8</v>
      </c>
      <c r="AC150" s="0" t="n">
        <v>4.76</v>
      </c>
      <c r="AD150" s="0" t="n">
        <v>14.05</v>
      </c>
      <c r="AE150" s="0" t="n">
        <v>14.28</v>
      </c>
      <c r="AF150" s="0" t="n">
        <v>3.37</v>
      </c>
      <c r="AG150" s="0" t="n">
        <v>0.43</v>
      </c>
      <c r="AH150" s="0" t="n">
        <v>12.64</v>
      </c>
      <c r="AI150" s="0" t="n">
        <v>15.08</v>
      </c>
      <c r="AJ150" s="0" t="n">
        <v>8.18</v>
      </c>
      <c r="AK150" s="0" t="n">
        <v>6.87</v>
      </c>
      <c r="AL150" s="0" t="n">
        <v>8.84</v>
      </c>
      <c r="AM150" s="0" t="n">
        <v>9.86</v>
      </c>
      <c r="AN150" s="0" t="n">
        <v>11.36</v>
      </c>
      <c r="AP150" s="0" t="n">
        <v>11.17</v>
      </c>
      <c r="AQ150" s="0" t="n">
        <v>7.15</v>
      </c>
      <c r="AR150" s="0" t="n">
        <v>4.96</v>
      </c>
      <c r="AS150" s="0" t="n">
        <v>4.4</v>
      </c>
      <c r="AT150" s="0" t="n">
        <v>2.03</v>
      </c>
      <c r="AU150" s="0" t="n">
        <v>9.74</v>
      </c>
    </row>
    <row r="151" customFormat="false" ht="14.25" hidden="false" customHeight="false" outlineLevel="0" collapsed="false">
      <c r="A151" s="0" t="n">
        <v>12.08</v>
      </c>
      <c r="B151" s="0" t="n">
        <v>4.08</v>
      </c>
      <c r="C151" s="0" t="n">
        <v>6.44</v>
      </c>
      <c r="D151" s="0" t="n">
        <v>9.75</v>
      </c>
      <c r="E151" s="0" t="n">
        <v>2.84</v>
      </c>
      <c r="F151" s="0" t="n">
        <v>19.66</v>
      </c>
      <c r="G151" s="0" t="n">
        <v>15.9</v>
      </c>
      <c r="H151" s="0" t="n">
        <v>2.86</v>
      </c>
      <c r="I151" s="0" t="n">
        <v>667.72</v>
      </c>
      <c r="J151" s="0" t="n">
        <v>4.42</v>
      </c>
      <c r="K151" s="0" t="n">
        <v>651.28</v>
      </c>
      <c r="L151" s="0" t="n">
        <v>645.98</v>
      </c>
      <c r="M151" s="0" t="n">
        <v>639.59</v>
      </c>
      <c r="N151" s="0" t="n">
        <v>631.47</v>
      </c>
      <c r="O151" s="0" t="n">
        <v>621.33</v>
      </c>
      <c r="P151" s="0" t="n">
        <v>613.3</v>
      </c>
      <c r="R151" s="0" t="n">
        <v>5.28</v>
      </c>
      <c r="S151" s="0" t="n">
        <v>4.87</v>
      </c>
      <c r="T151" s="0" t="n">
        <v>4.78</v>
      </c>
      <c r="U151" s="0" t="n">
        <v>4.55</v>
      </c>
      <c r="V151" s="0" t="n">
        <v>4.77</v>
      </c>
      <c r="W151" s="0" t="n">
        <v>3.94</v>
      </c>
      <c r="X151" s="0" t="n">
        <v>3.94</v>
      </c>
      <c r="Y151" s="0" t="n">
        <v>1.63</v>
      </c>
      <c r="AB151" s="0" t="n">
        <v>3.79</v>
      </c>
      <c r="AC151" s="0" t="n">
        <v>4.76</v>
      </c>
      <c r="AD151" s="0" t="n">
        <v>14.03</v>
      </c>
      <c r="AE151" s="0" t="n">
        <v>14.27</v>
      </c>
      <c r="AF151" s="0" t="n">
        <v>3.36</v>
      </c>
      <c r="AG151" s="0" t="n">
        <v>0.41</v>
      </c>
      <c r="AH151" s="0" t="n">
        <v>12.62</v>
      </c>
      <c r="AI151" s="0" t="n">
        <v>15.07</v>
      </c>
      <c r="AJ151" s="0" t="n">
        <v>8.18</v>
      </c>
      <c r="AK151" s="0" t="n">
        <v>6.86</v>
      </c>
      <c r="AL151" s="0" t="n">
        <v>8.79</v>
      </c>
      <c r="AM151" s="0" t="n">
        <v>9.91</v>
      </c>
      <c r="AN151" s="0" t="n">
        <v>11.33</v>
      </c>
      <c r="AP151" s="0" t="n">
        <v>11.15</v>
      </c>
      <c r="AQ151" s="0" t="n">
        <v>7.13</v>
      </c>
      <c r="AR151" s="0" t="n">
        <v>4.99</v>
      </c>
      <c r="AS151" s="0" t="n">
        <v>4.4</v>
      </c>
      <c r="AT151" s="0" t="n">
        <v>2.04</v>
      </c>
      <c r="AU151" s="0" t="n">
        <v>9.76</v>
      </c>
    </row>
    <row r="152" customFormat="false" ht="14.25" hidden="false" customHeight="false" outlineLevel="0" collapsed="false">
      <c r="A152" s="0" t="n">
        <v>12.09</v>
      </c>
      <c r="B152" s="0" t="n">
        <v>4.07</v>
      </c>
      <c r="C152" s="0" t="n">
        <v>6.45</v>
      </c>
      <c r="D152" s="0" t="n">
        <v>9.77</v>
      </c>
      <c r="E152" s="0" t="n">
        <v>2.82</v>
      </c>
      <c r="F152" s="0" t="n">
        <v>19.65</v>
      </c>
      <c r="G152" s="0" t="n">
        <v>15.89</v>
      </c>
      <c r="H152" s="0" t="n">
        <v>2.93</v>
      </c>
      <c r="I152" s="0" t="n">
        <v>667.74</v>
      </c>
      <c r="J152" s="0" t="n">
        <v>4.41</v>
      </c>
      <c r="K152" s="0" t="n">
        <v>651.28</v>
      </c>
      <c r="L152" s="0" t="n">
        <v>645.99</v>
      </c>
      <c r="M152" s="0" t="n">
        <v>639.54</v>
      </c>
      <c r="N152" s="0" t="n">
        <v>631.49</v>
      </c>
      <c r="O152" s="0" t="n">
        <v>621.33</v>
      </c>
      <c r="P152" s="0" t="n">
        <v>613.3</v>
      </c>
      <c r="R152" s="0" t="n">
        <v>5.29</v>
      </c>
      <c r="S152" s="0" t="n">
        <v>4.86</v>
      </c>
      <c r="T152" s="0" t="n">
        <v>4.78</v>
      </c>
      <c r="U152" s="0" t="n">
        <v>4.55</v>
      </c>
      <c r="V152" s="0" t="n">
        <v>4.75</v>
      </c>
      <c r="W152" s="0" t="n">
        <v>3.94</v>
      </c>
      <c r="X152" s="0" t="n">
        <v>3.94</v>
      </c>
      <c r="Y152" s="0" t="n">
        <v>1.62</v>
      </c>
      <c r="AB152" s="0" t="n">
        <v>3.8</v>
      </c>
      <c r="AC152" s="0" t="n">
        <v>4.77</v>
      </c>
      <c r="AD152" s="0" t="n">
        <v>14.11</v>
      </c>
      <c r="AE152" s="0" t="n">
        <v>14.26</v>
      </c>
      <c r="AF152" s="0" t="n">
        <v>3.36</v>
      </c>
      <c r="AG152" s="0" t="n">
        <v>0.44</v>
      </c>
      <c r="AH152" s="0" t="n">
        <v>12.63</v>
      </c>
      <c r="AI152" s="0" t="n">
        <v>15.06</v>
      </c>
      <c r="AJ152" s="0" t="n">
        <v>8.15</v>
      </c>
      <c r="AK152" s="0" t="n">
        <v>6.87</v>
      </c>
      <c r="AL152" s="0" t="n">
        <v>8.76</v>
      </c>
      <c r="AM152" s="0" t="n">
        <v>9.9</v>
      </c>
      <c r="AN152" s="0" t="n">
        <v>11.39</v>
      </c>
      <c r="AP152" s="0" t="n">
        <v>11.14</v>
      </c>
      <c r="AQ152" s="0" t="n">
        <v>7.1</v>
      </c>
      <c r="AR152" s="0" t="n">
        <v>4.99</v>
      </c>
      <c r="AS152" s="0" t="n">
        <v>4.42</v>
      </c>
      <c r="AT152" s="0" t="n">
        <v>2.04</v>
      </c>
      <c r="AU152" s="0" t="n">
        <v>9.77</v>
      </c>
    </row>
    <row r="153" customFormat="false" ht="14.25" hidden="false" customHeight="false" outlineLevel="0" collapsed="false">
      <c r="A153" s="0" t="n">
        <v>12.09</v>
      </c>
      <c r="B153" s="0" t="n">
        <v>4.11</v>
      </c>
      <c r="C153" s="0" t="n">
        <v>6.45</v>
      </c>
      <c r="D153" s="0" t="n">
        <v>9.75</v>
      </c>
      <c r="E153" s="0" t="n">
        <v>2.81</v>
      </c>
      <c r="F153" s="0" t="n">
        <v>19.65</v>
      </c>
      <c r="G153" s="0" t="n">
        <v>15.89</v>
      </c>
      <c r="H153" s="0" t="n">
        <v>2.93</v>
      </c>
      <c r="I153" s="0" t="n">
        <v>667.76</v>
      </c>
      <c r="J153" s="0" t="n">
        <v>4.41</v>
      </c>
      <c r="K153" s="0" t="n">
        <v>651.28</v>
      </c>
      <c r="L153" s="0" t="n">
        <v>645.99</v>
      </c>
      <c r="M153" s="0" t="n">
        <v>639.58</v>
      </c>
      <c r="N153" s="0" t="n">
        <v>631.48</v>
      </c>
      <c r="O153" s="0" t="n">
        <v>621.33</v>
      </c>
      <c r="P153" s="0" t="n">
        <v>613.31</v>
      </c>
      <c r="R153" s="0" t="n">
        <v>5.29</v>
      </c>
      <c r="S153" s="0" t="n">
        <v>4.86</v>
      </c>
      <c r="T153" s="0" t="n">
        <v>4.79</v>
      </c>
      <c r="U153" s="0" t="n">
        <v>4.55</v>
      </c>
      <c r="V153" s="0" t="n">
        <v>4.74</v>
      </c>
      <c r="W153" s="0" t="n">
        <v>3.95</v>
      </c>
      <c r="X153" s="0" t="n">
        <v>3.86</v>
      </c>
      <c r="Y153" s="0" t="n">
        <v>1.62</v>
      </c>
      <c r="AB153" s="0" t="n">
        <v>3.8</v>
      </c>
      <c r="AC153" s="0" t="n">
        <v>4.77</v>
      </c>
      <c r="AD153" s="0" t="n">
        <v>14.06</v>
      </c>
      <c r="AE153" s="0" t="n">
        <v>14.23</v>
      </c>
      <c r="AF153" s="0" t="n">
        <v>3.38</v>
      </c>
      <c r="AG153" s="0" t="n">
        <v>0.36</v>
      </c>
      <c r="AH153" s="0" t="n">
        <v>12.64</v>
      </c>
      <c r="AI153" s="0" t="n">
        <v>15.06</v>
      </c>
      <c r="AJ153" s="0" t="n">
        <v>8.16</v>
      </c>
      <c r="AK153" s="0" t="n">
        <v>6.86</v>
      </c>
      <c r="AL153" s="0" t="n">
        <v>8.83</v>
      </c>
      <c r="AM153" s="0" t="n">
        <v>9.94</v>
      </c>
      <c r="AN153" s="0" t="n">
        <v>11.37</v>
      </c>
      <c r="AP153" s="0" t="n">
        <v>11.12</v>
      </c>
      <c r="AQ153" s="0" t="n">
        <v>7.07</v>
      </c>
      <c r="AR153" s="0" t="n">
        <v>5</v>
      </c>
      <c r="AS153" s="0" t="n">
        <v>4.39</v>
      </c>
      <c r="AT153" s="0" t="n">
        <v>2.03</v>
      </c>
      <c r="AU153" s="0" t="n">
        <v>9.77</v>
      </c>
    </row>
    <row r="154" customFormat="false" ht="14.25" hidden="false" customHeight="false" outlineLevel="0" collapsed="false">
      <c r="A154" s="0" t="n">
        <v>12.1</v>
      </c>
      <c r="B154" s="0" t="n">
        <v>4.11</v>
      </c>
      <c r="C154" s="0" t="n">
        <v>6.43</v>
      </c>
      <c r="D154" s="0" t="n">
        <v>9.75</v>
      </c>
      <c r="E154" s="0" t="n">
        <v>2.79</v>
      </c>
      <c r="F154" s="0" t="n">
        <v>19.65</v>
      </c>
      <c r="G154" s="0" t="n">
        <v>15.9</v>
      </c>
      <c r="H154" s="0" t="n">
        <v>2.89</v>
      </c>
      <c r="I154" s="0" t="n">
        <v>667.73</v>
      </c>
      <c r="J154" s="0" t="n">
        <v>4.43</v>
      </c>
      <c r="K154" s="0" t="n">
        <v>651.28</v>
      </c>
      <c r="L154" s="0" t="n">
        <v>645.99</v>
      </c>
      <c r="M154" s="0" t="n">
        <v>639.59</v>
      </c>
      <c r="N154" s="0" t="n">
        <v>631.47</v>
      </c>
      <c r="O154" s="0" t="n">
        <v>621.35</v>
      </c>
      <c r="P154" s="0" t="n">
        <v>613.32</v>
      </c>
      <c r="R154" s="0" t="n">
        <v>5.29</v>
      </c>
      <c r="S154" s="0" t="n">
        <v>4.87</v>
      </c>
      <c r="T154" s="0" t="n">
        <v>4.78</v>
      </c>
      <c r="U154" s="0" t="n">
        <v>4.55</v>
      </c>
      <c r="V154" s="0" t="n">
        <v>4.71</v>
      </c>
      <c r="W154" s="0" t="n">
        <v>3.95</v>
      </c>
      <c r="X154" s="0" t="n">
        <v>3.9</v>
      </c>
      <c r="Y154" s="0" t="n">
        <v>1.61</v>
      </c>
      <c r="AB154" s="0" t="n">
        <v>3.82</v>
      </c>
      <c r="AC154" s="0" t="n">
        <v>4.75</v>
      </c>
      <c r="AD154" s="0" t="n">
        <v>14.04</v>
      </c>
      <c r="AE154" s="0" t="n">
        <v>14.21</v>
      </c>
      <c r="AF154" s="0" t="n">
        <v>3.39</v>
      </c>
      <c r="AG154" s="0" t="n">
        <v>0.34</v>
      </c>
      <c r="AH154" s="0" t="n">
        <v>12.64</v>
      </c>
      <c r="AI154" s="0" t="n">
        <v>15.06</v>
      </c>
      <c r="AJ154" s="0" t="n">
        <v>8.17</v>
      </c>
      <c r="AK154" s="0" t="n">
        <v>6.85</v>
      </c>
      <c r="AL154" s="0" t="n">
        <v>8.87</v>
      </c>
      <c r="AM154" s="0" t="n">
        <v>9.95</v>
      </c>
      <c r="AN154" s="0" t="n">
        <v>11.41</v>
      </c>
      <c r="AP154" s="0" t="n">
        <v>11.14</v>
      </c>
      <c r="AQ154" s="0" t="n">
        <v>7.06</v>
      </c>
      <c r="AR154" s="0" t="n">
        <v>4.99</v>
      </c>
      <c r="AS154" s="0" t="n">
        <v>4.38</v>
      </c>
      <c r="AT154" s="0" t="n">
        <v>2.03</v>
      </c>
      <c r="AU154" s="0" t="n">
        <v>9.76</v>
      </c>
    </row>
    <row r="155" customFormat="false" ht="14.25" hidden="false" customHeight="false" outlineLevel="0" collapsed="false">
      <c r="A155" s="0" t="n">
        <v>12.1</v>
      </c>
      <c r="B155" s="0" t="n">
        <v>4.11</v>
      </c>
      <c r="C155" s="0" t="n">
        <v>6.43</v>
      </c>
      <c r="D155" s="0" t="n">
        <v>9.78</v>
      </c>
      <c r="E155" s="0" t="n">
        <v>2.8</v>
      </c>
      <c r="F155" s="0" t="n">
        <v>19.65</v>
      </c>
      <c r="G155" s="0" t="n">
        <v>15.89</v>
      </c>
      <c r="H155" s="0" t="n">
        <v>2.91</v>
      </c>
      <c r="I155" s="0" t="n">
        <v>667.73</v>
      </c>
      <c r="J155" s="0" t="n">
        <v>4.41</v>
      </c>
      <c r="K155" s="0" t="n">
        <v>651.28</v>
      </c>
      <c r="L155" s="0" t="n">
        <v>645.98</v>
      </c>
      <c r="M155" s="0" t="n">
        <v>639.57</v>
      </c>
      <c r="N155" s="0" t="n">
        <v>631.47</v>
      </c>
      <c r="O155" s="0" t="n">
        <v>621.34</v>
      </c>
      <c r="P155" s="0" t="n">
        <v>613.3</v>
      </c>
      <c r="R155" s="0" t="n">
        <v>5.3</v>
      </c>
      <c r="S155" s="0" t="n">
        <v>4.86</v>
      </c>
      <c r="T155" s="0" t="n">
        <v>4.77</v>
      </c>
      <c r="U155" s="0" t="n">
        <v>4.55</v>
      </c>
      <c r="V155" s="0" t="n">
        <v>4.7</v>
      </c>
      <c r="W155" s="0" t="n">
        <v>3.93</v>
      </c>
      <c r="X155" s="0" t="n">
        <v>3.94</v>
      </c>
      <c r="Y155" s="0" t="n">
        <v>1.61</v>
      </c>
      <c r="AB155" s="0" t="n">
        <v>3.8</v>
      </c>
      <c r="AC155" s="0" t="n">
        <v>4.75</v>
      </c>
      <c r="AD155" s="0" t="n">
        <v>14.04</v>
      </c>
      <c r="AE155" s="0" t="n">
        <v>14.19</v>
      </c>
      <c r="AF155" s="0" t="n">
        <v>3.35</v>
      </c>
      <c r="AG155" s="0" t="n">
        <v>0.32</v>
      </c>
      <c r="AH155" s="0" t="n">
        <v>12.64</v>
      </c>
      <c r="AI155" s="0" t="n">
        <v>15.05</v>
      </c>
      <c r="AJ155" s="0" t="n">
        <v>8.13</v>
      </c>
      <c r="AK155" s="0" t="n">
        <v>6.86</v>
      </c>
      <c r="AL155" s="0" t="n">
        <v>8.85</v>
      </c>
      <c r="AM155" s="0" t="n">
        <v>9.92</v>
      </c>
      <c r="AN155" s="0" t="n">
        <v>11.38</v>
      </c>
      <c r="AP155" s="0" t="n">
        <v>11.13</v>
      </c>
      <c r="AQ155" s="0" t="n">
        <v>7</v>
      </c>
      <c r="AR155" s="0" t="n">
        <v>4.98</v>
      </c>
      <c r="AS155" s="0" t="n">
        <v>4.38</v>
      </c>
      <c r="AT155" s="0" t="n">
        <v>2.03</v>
      </c>
      <c r="AU155" s="0" t="n">
        <v>9.76</v>
      </c>
    </row>
    <row r="156" customFormat="false" ht="14.25" hidden="false" customHeight="false" outlineLevel="0" collapsed="false">
      <c r="A156" s="0" t="n">
        <v>12.08</v>
      </c>
      <c r="B156" s="0" t="n">
        <v>4.11</v>
      </c>
      <c r="C156" s="0" t="n">
        <v>6.42</v>
      </c>
      <c r="D156" s="0" t="n">
        <v>9.77</v>
      </c>
      <c r="E156" s="0" t="n">
        <v>2.78</v>
      </c>
      <c r="F156" s="0" t="n">
        <v>19.63</v>
      </c>
      <c r="G156" s="0" t="n">
        <v>15.9</v>
      </c>
      <c r="H156" s="0" t="n">
        <v>2.9</v>
      </c>
      <c r="I156" s="0" t="n">
        <v>667.73</v>
      </c>
      <c r="J156" s="0" t="n">
        <v>4.44</v>
      </c>
      <c r="K156" s="0" t="n">
        <v>651.28</v>
      </c>
      <c r="L156" s="0" t="n">
        <v>645.99</v>
      </c>
      <c r="M156" s="0" t="n">
        <v>639.59</v>
      </c>
      <c r="N156" s="0" t="n">
        <v>631.48</v>
      </c>
      <c r="O156" s="0" t="n">
        <v>621.34</v>
      </c>
      <c r="P156" s="0" t="n">
        <v>613.3</v>
      </c>
      <c r="R156" s="0" t="n">
        <v>5.3</v>
      </c>
      <c r="S156" s="0" t="n">
        <v>4.86</v>
      </c>
      <c r="T156" s="0" t="n">
        <v>4.77</v>
      </c>
      <c r="U156" s="0" t="n">
        <v>4.55</v>
      </c>
      <c r="V156" s="0" t="n">
        <v>4.7</v>
      </c>
      <c r="W156" s="0" t="n">
        <v>3.94</v>
      </c>
      <c r="X156" s="0" t="n">
        <v>3.93</v>
      </c>
      <c r="Y156" s="0" t="n">
        <v>1.6</v>
      </c>
      <c r="AB156" s="0" t="n">
        <v>3.8</v>
      </c>
      <c r="AC156" s="0" t="n">
        <v>4.76</v>
      </c>
      <c r="AD156" s="0" t="n">
        <v>14.03</v>
      </c>
      <c r="AE156" s="0" t="n">
        <v>14.05</v>
      </c>
      <c r="AF156" s="0" t="n">
        <v>3.51</v>
      </c>
      <c r="AG156" s="0" t="n">
        <v>0.23</v>
      </c>
      <c r="AH156" s="0" t="n">
        <v>12.64</v>
      </c>
      <c r="AI156" s="0" t="n">
        <v>15.06</v>
      </c>
      <c r="AJ156" s="0" t="n">
        <v>8.15</v>
      </c>
      <c r="AK156" s="0" t="n">
        <v>6.84</v>
      </c>
      <c r="AL156" s="0" t="n">
        <v>8.85</v>
      </c>
      <c r="AM156" s="0" t="n">
        <v>9.99</v>
      </c>
      <c r="AN156" s="0" t="n">
        <v>11.42</v>
      </c>
      <c r="AP156" s="0" t="n">
        <v>11.12</v>
      </c>
      <c r="AQ156" s="0" t="n">
        <v>7</v>
      </c>
      <c r="AR156" s="0" t="n">
        <v>4.95</v>
      </c>
      <c r="AS156" s="0" t="n">
        <v>4.4</v>
      </c>
      <c r="AT156" s="0" t="n">
        <v>2.04</v>
      </c>
      <c r="AU156" s="0" t="n">
        <v>9.77</v>
      </c>
    </row>
    <row r="157" customFormat="false" ht="14.25" hidden="false" customHeight="false" outlineLevel="0" collapsed="false">
      <c r="A157" s="0" t="n">
        <v>12.09</v>
      </c>
      <c r="B157" s="0" t="n">
        <v>4.1</v>
      </c>
      <c r="C157" s="0" t="n">
        <v>6.42</v>
      </c>
      <c r="D157" s="0" t="n">
        <v>9.73</v>
      </c>
      <c r="E157" s="0" t="n">
        <v>2.79</v>
      </c>
      <c r="F157" s="0" t="n">
        <v>19.65</v>
      </c>
      <c r="G157" s="0" t="n">
        <v>15.91</v>
      </c>
      <c r="H157" s="0" t="n">
        <v>2.91</v>
      </c>
      <c r="I157" s="0" t="n">
        <v>667.75</v>
      </c>
      <c r="J157" s="0" t="n">
        <v>4.46</v>
      </c>
      <c r="K157" s="0" t="n">
        <v>651.28</v>
      </c>
      <c r="L157" s="0" t="n">
        <v>646</v>
      </c>
      <c r="M157" s="0" t="n">
        <v>639.59</v>
      </c>
      <c r="N157" s="0" t="n">
        <v>631.49</v>
      </c>
      <c r="O157" s="0" t="n">
        <v>621.34</v>
      </c>
      <c r="P157" s="0" t="n">
        <v>613.31</v>
      </c>
      <c r="R157" s="0" t="n">
        <v>5.3</v>
      </c>
      <c r="S157" s="0" t="n">
        <v>4.87</v>
      </c>
      <c r="T157" s="0" t="n">
        <v>4.78</v>
      </c>
      <c r="U157" s="0" t="n">
        <v>4.55</v>
      </c>
      <c r="V157" s="0" t="n">
        <v>4.7</v>
      </c>
      <c r="W157" s="0" t="n">
        <v>3.94</v>
      </c>
      <c r="X157" s="0" t="n">
        <v>3.94</v>
      </c>
      <c r="Y157" s="0" t="n">
        <v>1.6</v>
      </c>
      <c r="AB157" s="0" t="n">
        <v>3.81</v>
      </c>
      <c r="AC157" s="0" t="n">
        <v>4.74</v>
      </c>
      <c r="AD157" s="0" t="n">
        <v>14.02</v>
      </c>
      <c r="AE157" s="0" t="n">
        <v>14.03</v>
      </c>
      <c r="AF157" s="0" t="n">
        <v>3.39</v>
      </c>
      <c r="AG157" s="0" t="n">
        <v>0.21</v>
      </c>
      <c r="AH157" s="0" t="n">
        <v>12.64</v>
      </c>
      <c r="AI157" s="0" t="n">
        <v>15.04</v>
      </c>
      <c r="AJ157" s="0" t="n">
        <v>8.14</v>
      </c>
      <c r="AK157" s="0" t="n">
        <v>6.86</v>
      </c>
      <c r="AL157" s="0" t="n">
        <v>8.84</v>
      </c>
      <c r="AM157" s="0" t="n">
        <v>9.98</v>
      </c>
      <c r="AN157" s="0" t="n">
        <v>11.39</v>
      </c>
      <c r="AP157" s="0" t="n">
        <v>11.09</v>
      </c>
      <c r="AQ157" s="0" t="n">
        <v>6.97</v>
      </c>
      <c r="AR157" s="0" t="n">
        <v>4.95</v>
      </c>
      <c r="AS157" s="0" t="n">
        <v>4.39</v>
      </c>
      <c r="AT157" s="0" t="n">
        <v>2.02</v>
      </c>
      <c r="AU157" s="0" t="n">
        <v>9.79</v>
      </c>
    </row>
    <row r="158" customFormat="false" ht="14.25" hidden="false" customHeight="false" outlineLevel="0" collapsed="false">
      <c r="A158" s="0" t="n">
        <v>12.08</v>
      </c>
      <c r="B158" s="0" t="n">
        <v>4.11</v>
      </c>
      <c r="C158" s="0" t="n">
        <v>6.42</v>
      </c>
      <c r="D158" s="0" t="n">
        <v>9.73</v>
      </c>
      <c r="E158" s="0" t="n">
        <v>2.79</v>
      </c>
      <c r="F158" s="0" t="n">
        <v>19.67</v>
      </c>
      <c r="G158" s="0" t="n">
        <v>15.9</v>
      </c>
      <c r="H158" s="0" t="n">
        <v>2.89</v>
      </c>
      <c r="I158" s="0" t="n">
        <v>667.76</v>
      </c>
      <c r="J158" s="0" t="n">
        <v>4.42</v>
      </c>
      <c r="K158" s="0" t="n">
        <v>651.29</v>
      </c>
      <c r="L158" s="0" t="n">
        <v>646</v>
      </c>
      <c r="M158" s="0" t="n">
        <v>639.58</v>
      </c>
      <c r="N158" s="0" t="n">
        <v>631.48</v>
      </c>
      <c r="O158" s="0" t="n">
        <v>621.34</v>
      </c>
      <c r="P158" s="0" t="n">
        <v>613.31</v>
      </c>
      <c r="R158" s="0" t="n">
        <v>5.28</v>
      </c>
      <c r="S158" s="0" t="n">
        <v>4.86</v>
      </c>
      <c r="T158" s="0" t="n">
        <v>4.77</v>
      </c>
      <c r="U158" s="0" t="n">
        <v>4.55</v>
      </c>
      <c r="V158" s="0" t="n">
        <v>4.7</v>
      </c>
      <c r="W158" s="0" t="n">
        <v>3.95</v>
      </c>
      <c r="X158" s="0" t="n">
        <v>3.94</v>
      </c>
      <c r="Y158" s="0" t="n">
        <v>1.6</v>
      </c>
      <c r="AB158" s="0" t="n">
        <v>3.8</v>
      </c>
      <c r="AC158" s="0" t="n">
        <v>4.78</v>
      </c>
      <c r="AD158" s="0" t="n">
        <v>14</v>
      </c>
      <c r="AE158" s="0" t="n">
        <v>14.03</v>
      </c>
      <c r="AF158" s="0" t="n">
        <v>3.36</v>
      </c>
      <c r="AG158" s="0" t="n">
        <v>0.06</v>
      </c>
      <c r="AH158" s="0" t="n">
        <v>12.64</v>
      </c>
      <c r="AI158" s="0" t="n">
        <v>15.04</v>
      </c>
      <c r="AJ158" s="0" t="n">
        <v>8.15</v>
      </c>
      <c r="AK158" s="0" t="n">
        <v>6.85</v>
      </c>
      <c r="AL158" s="0" t="n">
        <v>8.86</v>
      </c>
      <c r="AM158" s="0" t="n">
        <v>9.89</v>
      </c>
      <c r="AN158" s="0" t="n">
        <v>11.38</v>
      </c>
      <c r="AP158" s="0" t="n">
        <v>11.09</v>
      </c>
      <c r="AQ158" s="0" t="n">
        <v>6.96</v>
      </c>
      <c r="AR158" s="0" t="n">
        <v>4.98</v>
      </c>
      <c r="AS158" s="0" t="n">
        <v>4.39</v>
      </c>
      <c r="AT158" s="0" t="n">
        <v>2.03</v>
      </c>
      <c r="AU158" s="0" t="n">
        <v>9.76</v>
      </c>
    </row>
    <row r="159" customFormat="false" ht="14.25" hidden="false" customHeight="false" outlineLevel="0" collapsed="false">
      <c r="A159" s="0" t="n">
        <v>12.09</v>
      </c>
      <c r="B159" s="0" t="n">
        <v>4.12</v>
      </c>
      <c r="C159" s="0" t="n">
        <v>6.41</v>
      </c>
      <c r="D159" s="0" t="n">
        <v>9.77</v>
      </c>
      <c r="E159" s="0" t="n">
        <v>2.79</v>
      </c>
      <c r="F159" s="0" t="n">
        <v>19.66</v>
      </c>
      <c r="G159" s="0" t="n">
        <v>15.91</v>
      </c>
      <c r="H159" s="0" t="n">
        <v>2.91</v>
      </c>
      <c r="I159" s="0" t="n">
        <v>667.74</v>
      </c>
      <c r="J159" s="0" t="n">
        <v>4.42</v>
      </c>
      <c r="K159" s="0" t="n">
        <v>651.27</v>
      </c>
      <c r="L159" s="0" t="n">
        <v>645.99</v>
      </c>
      <c r="M159" s="0" t="n">
        <v>639.57</v>
      </c>
      <c r="N159" s="0" t="n">
        <v>631.48</v>
      </c>
      <c r="O159" s="0" t="n">
        <v>621.34</v>
      </c>
      <c r="P159" s="0" t="n">
        <v>613.31</v>
      </c>
      <c r="R159" s="0" t="n">
        <v>5.29</v>
      </c>
      <c r="S159" s="0" t="n">
        <v>4.62</v>
      </c>
      <c r="T159" s="0" t="n">
        <v>4.77</v>
      </c>
      <c r="U159" s="0" t="n">
        <v>4.55</v>
      </c>
      <c r="V159" s="0" t="n">
        <v>4.7</v>
      </c>
      <c r="W159" s="0" t="n">
        <v>3.95</v>
      </c>
      <c r="X159" s="0" t="n">
        <v>3.94</v>
      </c>
      <c r="Y159" s="0" t="n">
        <v>1.59</v>
      </c>
      <c r="AB159" s="0" t="n">
        <v>3.81</v>
      </c>
      <c r="AC159" s="0" t="n">
        <v>4.75</v>
      </c>
      <c r="AD159" s="0" t="n">
        <v>14.01</v>
      </c>
      <c r="AE159" s="0" t="n">
        <v>14.05</v>
      </c>
      <c r="AF159" s="0" t="n">
        <v>3.51</v>
      </c>
      <c r="AG159" s="0" t="n">
        <v>0.03</v>
      </c>
      <c r="AH159" s="0" t="n">
        <v>12.63</v>
      </c>
      <c r="AI159" s="0" t="n">
        <v>15.05</v>
      </c>
      <c r="AJ159" s="0" t="n">
        <v>8.13</v>
      </c>
      <c r="AK159" s="0" t="n">
        <v>6.86</v>
      </c>
      <c r="AL159" s="0" t="n">
        <v>8.85</v>
      </c>
      <c r="AM159" s="0" t="n">
        <v>10.03</v>
      </c>
      <c r="AN159" s="0" t="n">
        <v>11.36</v>
      </c>
      <c r="AP159" s="0" t="n">
        <v>11.04</v>
      </c>
      <c r="AQ159" s="0" t="n">
        <v>6.93</v>
      </c>
      <c r="AR159" s="0" t="n">
        <v>4.99</v>
      </c>
      <c r="AS159" s="0" t="n">
        <v>4.39</v>
      </c>
      <c r="AT159" s="0" t="n">
        <v>2.04</v>
      </c>
      <c r="AU159" s="0" t="n">
        <v>9.78</v>
      </c>
    </row>
    <row r="160" customFormat="false" ht="14.25" hidden="false" customHeight="false" outlineLevel="0" collapsed="false">
      <c r="A160" s="0" t="n">
        <v>12.1</v>
      </c>
      <c r="B160" s="0" t="n">
        <v>4.11</v>
      </c>
      <c r="C160" s="0" t="n">
        <v>6.42</v>
      </c>
      <c r="D160" s="0" t="n">
        <v>9.76</v>
      </c>
      <c r="E160" s="0" t="n">
        <v>2.81</v>
      </c>
      <c r="F160" s="0" t="n">
        <v>19.66</v>
      </c>
      <c r="G160" s="0" t="n">
        <v>15.91</v>
      </c>
      <c r="H160" s="0" t="n">
        <v>2.89</v>
      </c>
      <c r="I160" s="0" t="n">
        <v>667.74</v>
      </c>
      <c r="J160" s="0" t="n">
        <v>4.44</v>
      </c>
      <c r="K160" s="0" t="n">
        <v>651.31</v>
      </c>
      <c r="L160" s="0" t="n">
        <v>646.03</v>
      </c>
      <c r="M160" s="0" t="n">
        <v>639.62</v>
      </c>
      <c r="N160" s="0" t="n">
        <v>631.49</v>
      </c>
      <c r="O160" s="0" t="n">
        <v>621.39</v>
      </c>
      <c r="P160" s="0" t="n">
        <v>613.33</v>
      </c>
      <c r="R160" s="0" t="n">
        <v>5.3</v>
      </c>
      <c r="S160" s="0" t="n">
        <v>4.86</v>
      </c>
      <c r="T160" s="0" t="n">
        <v>4.77</v>
      </c>
      <c r="U160" s="0" t="n">
        <v>4.53</v>
      </c>
      <c r="V160" s="0" t="n">
        <v>4.69</v>
      </c>
      <c r="W160" s="0" t="n">
        <v>3.94</v>
      </c>
      <c r="X160" s="0" t="n">
        <v>3.93</v>
      </c>
      <c r="Y160" s="0" t="n">
        <v>1.59</v>
      </c>
      <c r="AB160" s="0" t="n">
        <v>3.8</v>
      </c>
      <c r="AC160" s="0" t="n">
        <v>4.77</v>
      </c>
      <c r="AD160" s="0" t="n">
        <v>14</v>
      </c>
      <c r="AE160" s="0" t="n">
        <v>14.04</v>
      </c>
      <c r="AF160" s="0" t="n">
        <v>3.39</v>
      </c>
      <c r="AG160" s="0" t="n">
        <v>-0.19</v>
      </c>
      <c r="AH160" s="0" t="n">
        <v>12.64</v>
      </c>
      <c r="AI160" s="0" t="n">
        <v>15.03</v>
      </c>
      <c r="AJ160" s="0" t="n">
        <v>8.1</v>
      </c>
      <c r="AK160" s="0" t="n">
        <v>6.86</v>
      </c>
      <c r="AL160" s="0" t="n">
        <v>8.85</v>
      </c>
      <c r="AM160" s="0" t="n">
        <v>10</v>
      </c>
      <c r="AN160" s="0" t="n">
        <v>11.38</v>
      </c>
      <c r="AP160" s="0" t="n">
        <v>11.04</v>
      </c>
      <c r="AQ160" s="0" t="n">
        <v>6.96</v>
      </c>
      <c r="AR160" s="0" t="n">
        <v>4.99</v>
      </c>
      <c r="AS160" s="0" t="n">
        <v>4.39</v>
      </c>
      <c r="AT160" s="0" t="n">
        <v>2.03</v>
      </c>
      <c r="AU160" s="0" t="n">
        <v>9.81</v>
      </c>
    </row>
    <row r="161" customFormat="false" ht="14.25" hidden="false" customHeight="false" outlineLevel="0" collapsed="false">
      <c r="A161" s="0" t="n">
        <v>12.09</v>
      </c>
      <c r="B161" s="0" t="n">
        <v>4.1</v>
      </c>
      <c r="C161" s="0" t="n">
        <v>6.45</v>
      </c>
      <c r="D161" s="0" t="n">
        <v>9.75</v>
      </c>
      <c r="E161" s="0" t="n">
        <v>2.79</v>
      </c>
      <c r="F161" s="0" t="n">
        <v>19.64</v>
      </c>
      <c r="G161" s="0" t="n">
        <v>15.91</v>
      </c>
      <c r="H161" s="0" t="n">
        <v>2.89</v>
      </c>
      <c r="I161" s="0" t="n">
        <v>667.75</v>
      </c>
      <c r="J161" s="0" t="n">
        <v>4.44</v>
      </c>
      <c r="K161" s="0" t="n">
        <v>651.28</v>
      </c>
      <c r="L161" s="0" t="n">
        <v>646.01</v>
      </c>
      <c r="M161" s="0" t="n">
        <v>639.56</v>
      </c>
      <c r="N161" s="0" t="n">
        <v>631.5</v>
      </c>
      <c r="O161" s="0" t="n">
        <v>621.34</v>
      </c>
      <c r="P161" s="0" t="n">
        <v>613.3</v>
      </c>
      <c r="R161" s="0" t="n">
        <v>5.3</v>
      </c>
      <c r="S161" s="0" t="n">
        <v>4.87</v>
      </c>
      <c r="T161" s="0" t="n">
        <v>4.77</v>
      </c>
      <c r="U161" s="0" t="n">
        <v>4.54</v>
      </c>
      <c r="V161" s="0" t="n">
        <v>4.7</v>
      </c>
      <c r="W161" s="0" t="n">
        <v>3.94</v>
      </c>
      <c r="X161" s="0" t="n">
        <v>3.94</v>
      </c>
      <c r="Y161" s="0" t="n">
        <v>1.59</v>
      </c>
      <c r="AB161" s="0" t="n">
        <v>3.8</v>
      </c>
      <c r="AC161" s="0" t="n">
        <v>4.74</v>
      </c>
      <c r="AD161" s="0" t="n">
        <v>13.99</v>
      </c>
      <c r="AE161" s="0" t="n">
        <v>14.06</v>
      </c>
      <c r="AF161" s="0" t="n">
        <v>3.39</v>
      </c>
      <c r="AG161" s="0" t="n">
        <v>-0.1</v>
      </c>
      <c r="AH161" s="0" t="n">
        <v>12.64</v>
      </c>
      <c r="AI161" s="0" t="n">
        <v>15.02</v>
      </c>
      <c r="AJ161" s="0" t="n">
        <v>8.11</v>
      </c>
      <c r="AK161" s="0" t="n">
        <v>6.84</v>
      </c>
      <c r="AL161" s="0" t="n">
        <v>8.85</v>
      </c>
      <c r="AM161" s="0" t="n">
        <v>9.96</v>
      </c>
      <c r="AN161" s="0" t="n">
        <v>11.37</v>
      </c>
      <c r="AP161" s="0" t="n">
        <v>11.06</v>
      </c>
      <c r="AQ161" s="0" t="n">
        <v>6.98</v>
      </c>
      <c r="AR161" s="0" t="n">
        <v>4.99</v>
      </c>
      <c r="AS161" s="0" t="n">
        <v>4.4</v>
      </c>
      <c r="AT161" s="0" t="n">
        <v>2.03</v>
      </c>
      <c r="AU161" s="0" t="n">
        <v>9.79</v>
      </c>
    </row>
    <row r="162" customFormat="false" ht="14.25" hidden="false" customHeight="false" outlineLevel="0" collapsed="false">
      <c r="A162" s="0" t="n">
        <v>12.1</v>
      </c>
      <c r="B162" s="0" t="n">
        <v>4.1</v>
      </c>
      <c r="C162" s="0" t="n">
        <v>6.44</v>
      </c>
      <c r="D162" s="0" t="n">
        <v>9.74</v>
      </c>
      <c r="E162" s="0" t="n">
        <v>2.79</v>
      </c>
      <c r="F162" s="0" t="n">
        <v>19.66</v>
      </c>
      <c r="G162" s="0" t="n">
        <v>15.94</v>
      </c>
      <c r="H162" s="0" t="n">
        <v>2.9</v>
      </c>
      <c r="I162" s="0" t="n">
        <v>667.76</v>
      </c>
      <c r="J162" s="0" t="n">
        <v>4.44</v>
      </c>
      <c r="K162" s="0" t="n">
        <v>651.28</v>
      </c>
      <c r="L162" s="0" t="n">
        <v>645.98</v>
      </c>
      <c r="M162" s="0" t="n">
        <v>639.56</v>
      </c>
      <c r="N162" s="0" t="n">
        <v>631.49</v>
      </c>
      <c r="O162" s="0" t="n">
        <v>621.34</v>
      </c>
      <c r="P162" s="0" t="n">
        <v>613.31</v>
      </c>
      <c r="R162" s="0" t="n">
        <v>5.28</v>
      </c>
      <c r="S162" s="0" t="n">
        <v>4.87</v>
      </c>
      <c r="T162" s="0" t="n">
        <v>4.77</v>
      </c>
      <c r="U162" s="0" t="n">
        <v>4.53</v>
      </c>
      <c r="V162" s="0" t="n">
        <v>4.7</v>
      </c>
      <c r="W162" s="0" t="n">
        <v>3.93</v>
      </c>
      <c r="X162" s="0" t="n">
        <v>3.93</v>
      </c>
      <c r="Y162" s="0" t="n">
        <v>1.58</v>
      </c>
      <c r="AB162" s="0" t="n">
        <v>3.82</v>
      </c>
      <c r="AC162" s="0" t="n">
        <v>4.77</v>
      </c>
      <c r="AD162" s="0" t="n">
        <v>13.97</v>
      </c>
      <c r="AE162" s="0" t="n">
        <v>14.04</v>
      </c>
      <c r="AF162" s="0" t="n">
        <v>3.37</v>
      </c>
      <c r="AG162" s="0" t="n">
        <v>-0.33</v>
      </c>
      <c r="AH162" s="0" t="n">
        <v>12.64</v>
      </c>
      <c r="AI162" s="0" t="n">
        <v>15</v>
      </c>
      <c r="AJ162" s="0" t="n">
        <v>8.07</v>
      </c>
      <c r="AK162" s="0" t="n">
        <v>6.85</v>
      </c>
      <c r="AL162" s="0" t="n">
        <v>8.82</v>
      </c>
      <c r="AM162" s="0" t="n">
        <v>10.02</v>
      </c>
      <c r="AN162" s="0" t="n">
        <v>11.37</v>
      </c>
      <c r="AP162" s="0" t="n">
        <v>11.04</v>
      </c>
      <c r="AQ162" s="0" t="n">
        <v>6.97</v>
      </c>
      <c r="AR162" s="0" t="n">
        <v>5</v>
      </c>
      <c r="AS162" s="0" t="n">
        <v>4.4</v>
      </c>
      <c r="AT162" s="0" t="n">
        <v>2.03</v>
      </c>
      <c r="AU162" s="0" t="n">
        <v>9.8</v>
      </c>
    </row>
    <row r="163" customFormat="false" ht="14.25" hidden="false" customHeight="false" outlineLevel="0" collapsed="false">
      <c r="A163" s="0" t="n">
        <v>12.11</v>
      </c>
      <c r="B163" s="0" t="n">
        <v>4.11</v>
      </c>
      <c r="C163" s="0" t="n">
        <v>6.45</v>
      </c>
      <c r="D163" s="0" t="n">
        <v>9.76</v>
      </c>
      <c r="E163" s="0" t="n">
        <v>2.76</v>
      </c>
      <c r="F163" s="0" t="n">
        <v>19.66</v>
      </c>
      <c r="G163" s="0" t="n">
        <v>15.94</v>
      </c>
      <c r="H163" s="0" t="n">
        <v>2.89</v>
      </c>
      <c r="I163" s="0" t="n">
        <v>667.74</v>
      </c>
      <c r="J163" s="0" t="n">
        <v>4.43</v>
      </c>
      <c r="K163" s="0" t="n">
        <v>651.28</v>
      </c>
      <c r="L163" s="0" t="n">
        <v>645.99</v>
      </c>
      <c r="M163" s="0" t="n">
        <v>639.58</v>
      </c>
      <c r="N163" s="0" t="n">
        <v>631.5</v>
      </c>
      <c r="O163" s="0" t="n">
        <v>621.34</v>
      </c>
      <c r="P163" s="0" t="n">
        <v>613.3</v>
      </c>
      <c r="R163" s="0" t="n">
        <v>5.28</v>
      </c>
      <c r="S163" s="0" t="n">
        <v>4.87</v>
      </c>
      <c r="T163" s="0" t="n">
        <v>4.77</v>
      </c>
      <c r="U163" s="0" t="n">
        <v>4.53</v>
      </c>
      <c r="V163" s="0" t="n">
        <v>4.69</v>
      </c>
      <c r="W163" s="0" t="n">
        <v>3.95</v>
      </c>
      <c r="X163" s="0" t="n">
        <v>3.92</v>
      </c>
      <c r="Y163" s="0" t="n">
        <v>1.58</v>
      </c>
      <c r="AB163" s="0" t="n">
        <v>3.81</v>
      </c>
      <c r="AC163" s="0" t="n">
        <v>4.76</v>
      </c>
      <c r="AD163" s="0" t="n">
        <v>14.01</v>
      </c>
      <c r="AE163" s="0" t="n">
        <v>14.04</v>
      </c>
      <c r="AF163" s="0" t="n">
        <v>3.41</v>
      </c>
      <c r="AG163" s="0" t="n">
        <v>-0.4</v>
      </c>
      <c r="AH163" s="0" t="n">
        <v>12.64</v>
      </c>
      <c r="AI163" s="0" t="n">
        <v>15</v>
      </c>
      <c r="AJ163" s="0" t="n">
        <v>8.07</v>
      </c>
      <c r="AK163" s="0" t="n">
        <v>6.85</v>
      </c>
      <c r="AL163" s="0" t="n">
        <v>8.86</v>
      </c>
      <c r="AM163" s="0" t="n">
        <v>9.91</v>
      </c>
      <c r="AN163" s="0" t="n">
        <v>11.36</v>
      </c>
      <c r="AP163" s="0" t="n">
        <v>11.01</v>
      </c>
      <c r="AQ163" s="0" t="n">
        <v>6.94</v>
      </c>
      <c r="AR163" s="0" t="n">
        <v>5</v>
      </c>
      <c r="AS163" s="0" t="n">
        <v>4.38</v>
      </c>
      <c r="AT163" s="0" t="n">
        <v>2.02</v>
      </c>
      <c r="AU163" s="0" t="n">
        <v>9.82</v>
      </c>
    </row>
    <row r="164" customFormat="false" ht="14.25" hidden="false" customHeight="false" outlineLevel="0" collapsed="false">
      <c r="A164" s="0" t="n">
        <v>12.11</v>
      </c>
      <c r="B164" s="0" t="n">
        <v>4.1</v>
      </c>
      <c r="C164" s="0" t="n">
        <v>6.44</v>
      </c>
      <c r="D164" s="0" t="n">
        <v>9.75</v>
      </c>
      <c r="E164" s="0" t="n">
        <v>2.77</v>
      </c>
      <c r="F164" s="0" t="n">
        <v>19.66</v>
      </c>
      <c r="G164" s="0" t="n">
        <v>15.96</v>
      </c>
      <c r="H164" s="0" t="n">
        <v>2.88</v>
      </c>
      <c r="I164" s="0" t="n">
        <v>667.76</v>
      </c>
      <c r="J164" s="0" t="n">
        <v>4.44</v>
      </c>
      <c r="K164" s="0" t="n">
        <v>651.28</v>
      </c>
      <c r="L164" s="0" t="n">
        <v>645.94</v>
      </c>
      <c r="M164" s="0" t="n">
        <v>639.56</v>
      </c>
      <c r="N164" s="0" t="n">
        <v>631.49</v>
      </c>
      <c r="O164" s="0" t="n">
        <v>621.35</v>
      </c>
      <c r="P164" s="0" t="n">
        <v>613.33</v>
      </c>
      <c r="R164" s="0" t="n">
        <v>5.29</v>
      </c>
      <c r="S164" s="0" t="n">
        <v>4.87</v>
      </c>
      <c r="T164" s="0" t="n">
        <v>4.77</v>
      </c>
      <c r="U164" s="0" t="n">
        <v>4.53</v>
      </c>
      <c r="V164" s="0" t="n">
        <v>4.69</v>
      </c>
      <c r="W164" s="0" t="n">
        <v>3.94</v>
      </c>
      <c r="X164" s="0" t="n">
        <v>3.9</v>
      </c>
      <c r="Y164" s="0" t="n">
        <v>1.58</v>
      </c>
      <c r="AB164" s="0" t="n">
        <v>3.8</v>
      </c>
      <c r="AC164" s="0" t="n">
        <v>4.73</v>
      </c>
      <c r="AD164" s="0" t="n">
        <v>13.99</v>
      </c>
      <c r="AE164" s="0" t="n">
        <v>14.05</v>
      </c>
      <c r="AF164" s="0" t="n">
        <v>3.36</v>
      </c>
      <c r="AG164" s="0" t="n">
        <v>-0.47</v>
      </c>
      <c r="AH164" s="0" t="n">
        <v>12.65</v>
      </c>
      <c r="AI164" s="0" t="n">
        <v>14.96</v>
      </c>
      <c r="AJ164" s="0" t="n">
        <v>8.1</v>
      </c>
      <c r="AK164" s="0" t="n">
        <v>6.85</v>
      </c>
      <c r="AL164" s="0" t="n">
        <v>8.88</v>
      </c>
      <c r="AM164" s="0" t="n">
        <v>9.98</v>
      </c>
      <c r="AN164" s="0" t="n">
        <v>11.3</v>
      </c>
      <c r="AP164" s="0" t="n">
        <v>11.07</v>
      </c>
      <c r="AQ164" s="0" t="n">
        <v>6.93</v>
      </c>
      <c r="AR164" s="0" t="n">
        <v>5</v>
      </c>
      <c r="AS164" s="0" t="n">
        <v>4.38</v>
      </c>
      <c r="AT164" s="0" t="n">
        <v>2.03</v>
      </c>
      <c r="AU164" s="0" t="n">
        <v>9.78</v>
      </c>
    </row>
    <row r="165" customFormat="false" ht="14.25" hidden="false" customHeight="false" outlineLevel="0" collapsed="false">
      <c r="A165" s="0" t="n">
        <v>12.1</v>
      </c>
      <c r="B165" s="0" t="n">
        <v>4.1</v>
      </c>
      <c r="C165" s="0" t="n">
        <v>6.44</v>
      </c>
      <c r="D165" s="0" t="n">
        <v>9.76</v>
      </c>
      <c r="E165" s="0" t="n">
        <v>2.77</v>
      </c>
      <c r="F165" s="0" t="n">
        <v>19.65</v>
      </c>
      <c r="G165" s="0" t="n">
        <v>15.97</v>
      </c>
      <c r="H165" s="0" t="n">
        <v>2.86</v>
      </c>
      <c r="I165" s="0" t="n">
        <v>667.75</v>
      </c>
      <c r="J165" s="0" t="n">
        <v>4.43</v>
      </c>
      <c r="K165" s="0" t="n">
        <v>651.33</v>
      </c>
      <c r="L165" s="0" t="n">
        <v>646</v>
      </c>
      <c r="M165" s="0" t="n">
        <v>639.56</v>
      </c>
      <c r="N165" s="0" t="n">
        <v>631.49</v>
      </c>
      <c r="O165" s="0" t="n">
        <v>621.33</v>
      </c>
      <c r="P165" s="0" t="n">
        <v>613.31</v>
      </c>
      <c r="R165" s="0" t="n">
        <v>5.3</v>
      </c>
      <c r="S165" s="0" t="n">
        <v>4.86</v>
      </c>
      <c r="T165" s="0" t="n">
        <v>4.77</v>
      </c>
      <c r="U165" s="0" t="n">
        <v>4.53</v>
      </c>
      <c r="V165" s="0" t="n">
        <v>4.69</v>
      </c>
      <c r="W165" s="0" t="n">
        <v>3.94</v>
      </c>
      <c r="X165" s="0" t="n">
        <v>3.94</v>
      </c>
      <c r="Y165" s="0" t="n">
        <v>1.58</v>
      </c>
      <c r="AB165" s="0" t="n">
        <v>3.81</v>
      </c>
      <c r="AC165" s="0" t="n">
        <v>4.73</v>
      </c>
      <c r="AD165" s="0" t="n">
        <v>14.06</v>
      </c>
      <c r="AE165" s="0" t="n">
        <v>14.04</v>
      </c>
      <c r="AF165" s="0" t="n">
        <v>3.32</v>
      </c>
      <c r="AG165" s="0" t="n">
        <v>-0.48</v>
      </c>
      <c r="AH165" s="0" t="n">
        <v>12.64</v>
      </c>
      <c r="AI165" s="0" t="n">
        <v>14.94</v>
      </c>
      <c r="AJ165" s="0" t="n">
        <v>8.06</v>
      </c>
      <c r="AK165" s="0" t="n">
        <v>6.84</v>
      </c>
      <c r="AL165" s="0" t="n">
        <v>8.87</v>
      </c>
      <c r="AM165" s="0" t="n">
        <v>9.96</v>
      </c>
      <c r="AN165" s="0" t="n">
        <v>11.33</v>
      </c>
      <c r="AP165" s="0" t="n">
        <v>11.02</v>
      </c>
      <c r="AQ165" s="0" t="n">
        <v>6.93</v>
      </c>
      <c r="AR165" s="0" t="n">
        <v>5</v>
      </c>
      <c r="AS165" s="0" t="n">
        <v>4.37</v>
      </c>
      <c r="AT165" s="0" t="n">
        <v>2.04</v>
      </c>
      <c r="AU165" s="0" t="n">
        <v>9.8</v>
      </c>
    </row>
    <row r="166" customFormat="false" ht="14.25" hidden="false" customHeight="false" outlineLevel="0" collapsed="false">
      <c r="A166" s="0" t="n">
        <v>12.1</v>
      </c>
      <c r="B166" s="0" t="n">
        <v>4.1</v>
      </c>
      <c r="C166" s="0" t="n">
        <v>6.43</v>
      </c>
      <c r="D166" s="0" t="n">
        <v>9.74</v>
      </c>
      <c r="E166" s="0" t="n">
        <v>2.8</v>
      </c>
      <c r="F166" s="0" t="n">
        <v>19.66</v>
      </c>
      <c r="G166" s="0" t="n">
        <v>15.97</v>
      </c>
      <c r="H166" s="0" t="n">
        <v>2.92</v>
      </c>
      <c r="I166" s="0" t="n">
        <v>667.75</v>
      </c>
      <c r="J166" s="0" t="n">
        <v>4.43</v>
      </c>
      <c r="K166" s="0" t="n">
        <v>651.28</v>
      </c>
      <c r="L166" s="0" t="n">
        <v>646.01</v>
      </c>
      <c r="M166" s="0" t="n">
        <v>639.56</v>
      </c>
      <c r="N166" s="0" t="n">
        <v>631.49</v>
      </c>
      <c r="O166" s="0" t="n">
        <v>621.29</v>
      </c>
      <c r="P166" s="0" t="n">
        <v>613.3</v>
      </c>
      <c r="R166" s="0" t="n">
        <v>5.29</v>
      </c>
      <c r="S166" s="0" t="n">
        <v>4.86</v>
      </c>
      <c r="T166" s="0" t="n">
        <v>4.77</v>
      </c>
      <c r="U166" s="0" t="n">
        <v>4.53</v>
      </c>
      <c r="V166" s="0" t="n">
        <v>4.7</v>
      </c>
      <c r="W166" s="0" t="n">
        <v>3.92</v>
      </c>
      <c r="X166" s="0" t="n">
        <v>3.95</v>
      </c>
      <c r="Y166" s="0" t="n">
        <v>1.58</v>
      </c>
      <c r="AB166" s="0" t="n">
        <v>3.8</v>
      </c>
      <c r="AC166" s="0" t="n">
        <v>4.75</v>
      </c>
      <c r="AD166" s="0" t="n">
        <v>13.99</v>
      </c>
      <c r="AE166" s="0" t="n">
        <v>14.05</v>
      </c>
      <c r="AF166" s="0" t="n">
        <v>3.36</v>
      </c>
      <c r="AG166" s="0" t="n">
        <v>-0.58</v>
      </c>
      <c r="AH166" s="0" t="n">
        <v>12.64</v>
      </c>
      <c r="AI166" s="0" t="n">
        <v>14.96</v>
      </c>
      <c r="AJ166" s="0" t="n">
        <v>8.07</v>
      </c>
      <c r="AK166" s="0" t="n">
        <v>6.83</v>
      </c>
      <c r="AL166" s="0" t="n">
        <v>8.84</v>
      </c>
      <c r="AM166" s="0" t="n">
        <v>10.04</v>
      </c>
      <c r="AN166" s="0" t="n">
        <v>11.31</v>
      </c>
      <c r="AP166" s="0" t="n">
        <v>11.02</v>
      </c>
      <c r="AQ166" s="0" t="n">
        <v>6.92</v>
      </c>
      <c r="AR166" s="0" t="n">
        <v>4.97</v>
      </c>
      <c r="AS166" s="0" t="n">
        <v>4.43</v>
      </c>
      <c r="AT166" s="0" t="n">
        <v>2.04</v>
      </c>
      <c r="AU166" s="0" t="n">
        <v>9.81</v>
      </c>
    </row>
    <row r="167" customFormat="false" ht="14.25" hidden="false" customHeight="false" outlineLevel="0" collapsed="false">
      <c r="A167" s="0" t="n">
        <v>12.11</v>
      </c>
      <c r="B167" s="0" t="n">
        <v>4.1</v>
      </c>
      <c r="C167" s="0" t="n">
        <v>6.42</v>
      </c>
      <c r="D167" s="0" t="n">
        <v>9.74</v>
      </c>
      <c r="E167" s="0" t="n">
        <v>2.78</v>
      </c>
      <c r="F167" s="0" t="n">
        <v>19.67</v>
      </c>
      <c r="G167" s="0" t="n">
        <v>15.96</v>
      </c>
      <c r="H167" s="0" t="n">
        <v>2.85</v>
      </c>
      <c r="I167" s="0" t="n">
        <v>667.75</v>
      </c>
      <c r="J167" s="0" t="n">
        <v>4.43</v>
      </c>
      <c r="K167" s="0" t="n">
        <v>651.28</v>
      </c>
      <c r="L167" s="0" t="n">
        <v>645.99</v>
      </c>
      <c r="M167" s="0" t="n">
        <v>639.56</v>
      </c>
      <c r="N167" s="0" t="n">
        <v>631.49</v>
      </c>
      <c r="O167" s="0" t="n">
        <v>621.34</v>
      </c>
      <c r="P167" s="0" t="n">
        <v>613.3</v>
      </c>
      <c r="R167" s="0" t="n">
        <v>5.3</v>
      </c>
      <c r="S167" s="0" t="n">
        <v>4.85</v>
      </c>
      <c r="T167" s="0" t="n">
        <v>4.77</v>
      </c>
      <c r="U167" s="0" t="n">
        <v>4.54</v>
      </c>
      <c r="V167" s="0" t="n">
        <v>4.69</v>
      </c>
      <c r="W167" s="0" t="n">
        <v>3.94</v>
      </c>
      <c r="X167" s="0" t="n">
        <v>3.93</v>
      </c>
      <c r="Y167" s="0" t="n">
        <v>1.57</v>
      </c>
      <c r="AB167" s="0" t="n">
        <v>3.8</v>
      </c>
      <c r="AC167" s="0" t="n">
        <v>4.74</v>
      </c>
      <c r="AD167" s="0" t="n">
        <v>13.97</v>
      </c>
      <c r="AE167" s="0" t="n">
        <v>14.05</v>
      </c>
      <c r="AF167" s="0" t="n">
        <v>3.34</v>
      </c>
      <c r="AG167" s="0" t="n">
        <v>-0.66</v>
      </c>
      <c r="AH167" s="0" t="n">
        <v>12.64</v>
      </c>
      <c r="AI167" s="0" t="n">
        <v>14.99</v>
      </c>
      <c r="AJ167" s="0" t="n">
        <v>8.11</v>
      </c>
      <c r="AK167" s="0" t="n">
        <v>6.85</v>
      </c>
      <c r="AL167" s="0" t="n">
        <v>8.89</v>
      </c>
      <c r="AM167" s="0" t="n">
        <v>9.99</v>
      </c>
      <c r="AN167" s="0" t="n">
        <v>11.27</v>
      </c>
      <c r="AP167" s="0" t="n">
        <v>11.02</v>
      </c>
      <c r="AQ167" s="0" t="n">
        <v>6.91</v>
      </c>
      <c r="AR167" s="0" t="n">
        <v>4.99</v>
      </c>
      <c r="AS167" s="0" t="n">
        <v>4.42</v>
      </c>
      <c r="AT167" s="0" t="n">
        <v>2.04</v>
      </c>
      <c r="AU167" s="0" t="n">
        <v>9.82</v>
      </c>
    </row>
    <row r="168" customFormat="false" ht="14.25" hidden="false" customHeight="false" outlineLevel="0" collapsed="false">
      <c r="A168" s="0" t="n">
        <v>12.12</v>
      </c>
      <c r="B168" s="0" t="n">
        <v>4.09</v>
      </c>
      <c r="C168" s="0" t="n">
        <v>6.42</v>
      </c>
      <c r="D168" s="0" t="n">
        <v>9.73</v>
      </c>
      <c r="E168" s="0" t="n">
        <v>2.76</v>
      </c>
      <c r="F168" s="0" t="n">
        <v>19.68</v>
      </c>
      <c r="G168" s="0" t="n">
        <v>15.97</v>
      </c>
      <c r="H168" s="0" t="n">
        <v>2.88</v>
      </c>
      <c r="I168" s="0" t="n">
        <v>667.74</v>
      </c>
      <c r="J168" s="0" t="n">
        <v>4.43</v>
      </c>
      <c r="K168" s="0" t="n">
        <v>651.3</v>
      </c>
      <c r="L168" s="0" t="n">
        <v>646.01</v>
      </c>
      <c r="M168" s="0" t="n">
        <v>639.57</v>
      </c>
      <c r="N168" s="0" t="n">
        <v>631.52</v>
      </c>
      <c r="O168" s="0" t="n">
        <v>621.32</v>
      </c>
      <c r="P168" s="0" t="n">
        <v>613.3</v>
      </c>
      <c r="R168" s="0" t="n">
        <v>5.3</v>
      </c>
      <c r="S168" s="0" t="n">
        <v>4.86</v>
      </c>
      <c r="T168" s="0" t="n">
        <v>4.76</v>
      </c>
      <c r="U168" s="0" t="n">
        <v>4.54</v>
      </c>
      <c r="V168" s="0" t="n">
        <v>4.7</v>
      </c>
      <c r="W168" s="0" t="n">
        <v>3.93</v>
      </c>
      <c r="X168" s="0" t="n">
        <v>3.95</v>
      </c>
      <c r="Y168" s="0" t="n">
        <v>1.57</v>
      </c>
      <c r="AB168" s="0" t="n">
        <v>3.79</v>
      </c>
      <c r="AC168" s="0" t="n">
        <v>4.74</v>
      </c>
      <c r="AD168" s="0" t="n">
        <v>13.95</v>
      </c>
      <c r="AE168" s="0" t="n">
        <v>14.05</v>
      </c>
      <c r="AF168" s="0" t="n">
        <v>3.31</v>
      </c>
      <c r="AG168" s="0" t="n">
        <v>-0.54</v>
      </c>
      <c r="AH168" s="0" t="n">
        <v>12.63</v>
      </c>
      <c r="AI168" s="0" t="n">
        <v>14.99</v>
      </c>
      <c r="AJ168" s="0" t="n">
        <v>8.09</v>
      </c>
      <c r="AK168" s="0" t="n">
        <v>6.83</v>
      </c>
      <c r="AL168" s="0" t="n">
        <v>8.84</v>
      </c>
      <c r="AM168" s="0" t="n">
        <v>10.09</v>
      </c>
      <c r="AN168" s="0" t="n">
        <v>11.31</v>
      </c>
      <c r="AP168" s="0" t="n">
        <v>11.01</v>
      </c>
      <c r="AQ168" s="0" t="n">
        <v>6.92</v>
      </c>
      <c r="AR168" s="0" t="n">
        <v>4.99</v>
      </c>
      <c r="AS168" s="0" t="n">
        <v>4.37</v>
      </c>
      <c r="AT168" s="0" t="n">
        <v>2.03</v>
      </c>
      <c r="AU168" s="0" t="n">
        <v>9.81</v>
      </c>
    </row>
    <row r="169" customFormat="false" ht="14.25" hidden="false" customHeight="false" outlineLevel="0" collapsed="false">
      <c r="A169" s="0" t="n">
        <v>12.11</v>
      </c>
      <c r="B169" s="0" t="n">
        <v>4.08</v>
      </c>
      <c r="C169" s="0" t="n">
        <v>6.43</v>
      </c>
      <c r="D169" s="0" t="n">
        <v>9.71</v>
      </c>
      <c r="E169" s="0" t="n">
        <v>2.77</v>
      </c>
      <c r="F169" s="0" t="n">
        <v>19.69</v>
      </c>
      <c r="G169" s="0" t="n">
        <v>15.98</v>
      </c>
      <c r="H169" s="0" t="n">
        <v>2.86</v>
      </c>
      <c r="I169" s="0" t="n">
        <v>667.75</v>
      </c>
      <c r="J169" s="0" t="n">
        <v>4.43</v>
      </c>
      <c r="K169" s="0" t="n">
        <v>651.29</v>
      </c>
      <c r="L169" s="0" t="n">
        <v>646</v>
      </c>
      <c r="M169" s="0" t="n">
        <v>639.56</v>
      </c>
      <c r="N169" s="0" t="n">
        <v>631.5</v>
      </c>
      <c r="O169" s="0" t="n">
        <v>621.35</v>
      </c>
      <c r="P169" s="0" t="n">
        <v>613.33</v>
      </c>
      <c r="R169" s="0" t="n">
        <v>5.28</v>
      </c>
      <c r="S169" s="0" t="n">
        <v>4.87</v>
      </c>
      <c r="T169" s="0" t="n">
        <v>4.76</v>
      </c>
      <c r="U169" s="0" t="n">
        <v>4.54</v>
      </c>
      <c r="V169" s="0" t="n">
        <v>4.7</v>
      </c>
      <c r="W169" s="0" t="n">
        <v>3.92</v>
      </c>
      <c r="X169" s="0" t="n">
        <v>3.93</v>
      </c>
      <c r="Y169" s="0" t="n">
        <v>1.57</v>
      </c>
      <c r="AB169" s="0" t="n">
        <v>3.79</v>
      </c>
      <c r="AC169" s="0" t="n">
        <v>4.71</v>
      </c>
      <c r="AD169" s="0" t="n">
        <v>13.94</v>
      </c>
      <c r="AE169" s="0" t="n">
        <v>14.06</v>
      </c>
      <c r="AF169" s="0" t="n">
        <v>3.33</v>
      </c>
      <c r="AG169" s="0" t="n">
        <v>-0.51</v>
      </c>
      <c r="AH169" s="0" t="n">
        <v>12.65</v>
      </c>
      <c r="AI169" s="0" t="n">
        <v>14.99</v>
      </c>
      <c r="AJ169" s="0" t="n">
        <v>8.09</v>
      </c>
      <c r="AK169" s="0" t="n">
        <v>6.83</v>
      </c>
      <c r="AL169" s="0" t="n">
        <v>8.86</v>
      </c>
      <c r="AM169" s="0" t="n">
        <v>10.15</v>
      </c>
      <c r="AN169" s="0" t="n">
        <v>11.31</v>
      </c>
      <c r="AP169" s="0" t="n">
        <v>10.99</v>
      </c>
      <c r="AQ169" s="0" t="n">
        <v>6.9</v>
      </c>
      <c r="AR169" s="0" t="n">
        <v>4.99</v>
      </c>
      <c r="AS169" s="0" t="n">
        <v>4.38</v>
      </c>
      <c r="AT169" s="0" t="n">
        <v>2.04</v>
      </c>
      <c r="AU169" s="0" t="n">
        <v>9.79</v>
      </c>
    </row>
    <row r="170" customFormat="false" ht="14.25" hidden="false" customHeight="false" outlineLevel="0" collapsed="false">
      <c r="A170" s="0" t="n">
        <v>12.13</v>
      </c>
      <c r="B170" s="0" t="n">
        <v>4.09</v>
      </c>
      <c r="C170" s="0" t="n">
        <v>6.41</v>
      </c>
      <c r="D170" s="0" t="n">
        <v>9.7</v>
      </c>
      <c r="E170" s="0" t="n">
        <v>2.78</v>
      </c>
      <c r="F170" s="0" t="n">
        <v>19.69</v>
      </c>
      <c r="G170" s="0" t="n">
        <v>15.99</v>
      </c>
      <c r="H170" s="0" t="n">
        <v>2.85</v>
      </c>
      <c r="I170" s="0" t="n">
        <v>667.78</v>
      </c>
      <c r="J170" s="0" t="n">
        <v>4.43</v>
      </c>
      <c r="K170" s="0" t="n">
        <v>651.3</v>
      </c>
      <c r="L170" s="0" t="n">
        <v>646.03</v>
      </c>
      <c r="M170" s="0" t="n">
        <v>639.56</v>
      </c>
      <c r="N170" s="0" t="n">
        <v>631.49</v>
      </c>
      <c r="O170" s="0" t="n">
        <v>621.41</v>
      </c>
      <c r="P170" s="0" t="n">
        <v>613.3</v>
      </c>
      <c r="R170" s="0" t="n">
        <v>5.29</v>
      </c>
      <c r="S170" s="0" t="n">
        <v>4.84</v>
      </c>
      <c r="T170" s="0" t="n">
        <v>4.77</v>
      </c>
      <c r="U170" s="0" t="n">
        <v>4.53</v>
      </c>
      <c r="V170" s="0" t="n">
        <v>4.7</v>
      </c>
      <c r="W170" s="0" t="n">
        <v>3.93</v>
      </c>
      <c r="X170" s="0" t="n">
        <v>3.97</v>
      </c>
      <c r="Y170" s="0" t="n">
        <v>1.56</v>
      </c>
      <c r="AB170" s="0" t="n">
        <v>3.82</v>
      </c>
      <c r="AC170" s="0" t="n">
        <v>4.72</v>
      </c>
      <c r="AD170" s="0" t="n">
        <v>13.95</v>
      </c>
      <c r="AE170" s="0" t="n">
        <v>14.06</v>
      </c>
      <c r="AF170" s="0" t="n">
        <v>3.42</v>
      </c>
      <c r="AG170" s="0" t="n">
        <v>-0.51</v>
      </c>
      <c r="AH170" s="0" t="n">
        <v>12.63</v>
      </c>
      <c r="AI170" s="0" t="n">
        <v>15.02</v>
      </c>
      <c r="AJ170" s="0" t="n">
        <v>8.07</v>
      </c>
      <c r="AK170" s="0" t="n">
        <v>6.83</v>
      </c>
      <c r="AL170" s="0" t="n">
        <v>8.9</v>
      </c>
      <c r="AM170" s="0" t="n">
        <v>10.09</v>
      </c>
      <c r="AN170" s="0" t="n">
        <v>11.33</v>
      </c>
      <c r="AP170" s="0" t="n">
        <v>10.96</v>
      </c>
      <c r="AQ170" s="0" t="n">
        <v>6.9</v>
      </c>
      <c r="AR170" s="0" t="n">
        <v>4.97</v>
      </c>
      <c r="AS170" s="0" t="n">
        <v>4.41</v>
      </c>
      <c r="AT170" s="0" t="n">
        <v>2.03</v>
      </c>
      <c r="AU170" s="0" t="n">
        <v>9.82</v>
      </c>
    </row>
    <row r="171" customFormat="false" ht="14.25" hidden="false" customHeight="false" outlineLevel="0" collapsed="false">
      <c r="A171" s="0" t="n">
        <v>12.13</v>
      </c>
      <c r="B171" s="0" t="n">
        <v>4.09</v>
      </c>
      <c r="C171" s="0" t="n">
        <v>6.43</v>
      </c>
      <c r="D171" s="0" t="n">
        <v>9.71</v>
      </c>
      <c r="E171" s="0" t="n">
        <v>2.81</v>
      </c>
      <c r="F171" s="0" t="n">
        <v>19.69</v>
      </c>
      <c r="G171" s="0" t="n">
        <v>15.99</v>
      </c>
      <c r="H171" s="0" t="n">
        <v>2.82</v>
      </c>
      <c r="I171" s="0" t="n">
        <v>667.76</v>
      </c>
      <c r="J171" s="0" t="n">
        <v>4.44</v>
      </c>
      <c r="K171" s="0" t="n">
        <v>651.28</v>
      </c>
      <c r="L171" s="0" t="n">
        <v>646.01</v>
      </c>
      <c r="M171" s="0" t="n">
        <v>639.58</v>
      </c>
      <c r="N171" s="0" t="n">
        <v>631.49</v>
      </c>
      <c r="O171" s="0" t="n">
        <v>621.39</v>
      </c>
      <c r="P171" s="0" t="n">
        <v>613.31</v>
      </c>
      <c r="R171" s="0" t="n">
        <v>5.3</v>
      </c>
      <c r="S171" s="0" t="n">
        <v>4.86</v>
      </c>
      <c r="T171" s="0" t="n">
        <v>4.77</v>
      </c>
      <c r="U171" s="0" t="n">
        <v>4.53</v>
      </c>
      <c r="V171" s="0" t="n">
        <v>4.7</v>
      </c>
      <c r="W171" s="0" t="n">
        <v>3.93</v>
      </c>
      <c r="X171" s="0" t="n">
        <v>3.93</v>
      </c>
      <c r="Y171" s="0" t="n">
        <v>1.56</v>
      </c>
      <c r="AB171" s="0" t="n">
        <v>3.83</v>
      </c>
      <c r="AC171" s="0" t="n">
        <v>4.75</v>
      </c>
      <c r="AD171" s="0" t="n">
        <v>13.94</v>
      </c>
      <c r="AE171" s="0" t="n">
        <v>14.06</v>
      </c>
      <c r="AF171" s="0" t="n">
        <v>3.43</v>
      </c>
      <c r="AG171" s="0" t="n">
        <v>-0.73</v>
      </c>
      <c r="AH171" s="0" t="n">
        <v>12.64</v>
      </c>
      <c r="AI171" s="0" t="n">
        <v>15</v>
      </c>
      <c r="AJ171" s="0" t="n">
        <v>8.07</v>
      </c>
      <c r="AK171" s="0" t="n">
        <v>6.84</v>
      </c>
      <c r="AL171" s="0" t="n">
        <v>8.89</v>
      </c>
      <c r="AM171" s="0" t="n">
        <v>10.05</v>
      </c>
      <c r="AN171" s="0" t="n">
        <v>11.35</v>
      </c>
      <c r="AP171" s="0" t="n">
        <v>10.94</v>
      </c>
      <c r="AQ171" s="0" t="n">
        <v>6.88</v>
      </c>
      <c r="AR171" s="0" t="n">
        <v>4.98</v>
      </c>
      <c r="AS171" s="0" t="n">
        <v>4.37</v>
      </c>
      <c r="AT171" s="0" t="n">
        <v>2.02</v>
      </c>
      <c r="AU171" s="0" t="n">
        <v>9.8</v>
      </c>
    </row>
    <row r="172" customFormat="false" ht="14.25" hidden="false" customHeight="false" outlineLevel="0" collapsed="false">
      <c r="A172" s="0" t="n">
        <v>12.12</v>
      </c>
      <c r="B172" s="0" t="n">
        <v>4.09</v>
      </c>
      <c r="C172" s="0" t="n">
        <v>6.43</v>
      </c>
      <c r="D172" s="0" t="n">
        <v>9.7</v>
      </c>
      <c r="E172" s="0" t="n">
        <v>2.75</v>
      </c>
      <c r="F172" s="0" t="n">
        <v>19.68</v>
      </c>
      <c r="G172" s="0" t="n">
        <v>15.99</v>
      </c>
      <c r="H172" s="0" t="n">
        <v>2.87</v>
      </c>
      <c r="I172" s="0" t="n">
        <v>667.79</v>
      </c>
      <c r="J172" s="0" t="n">
        <v>4.45</v>
      </c>
      <c r="K172" s="0" t="n">
        <v>651.37</v>
      </c>
      <c r="L172" s="0" t="n">
        <v>646</v>
      </c>
      <c r="M172" s="0" t="n">
        <v>639.57</v>
      </c>
      <c r="N172" s="0" t="n">
        <v>631.48</v>
      </c>
      <c r="O172" s="0" t="n">
        <v>621.4</v>
      </c>
      <c r="P172" s="0" t="n">
        <v>613.31</v>
      </c>
      <c r="R172" s="0" t="n">
        <v>5.28</v>
      </c>
      <c r="S172" s="0" t="n">
        <v>4.85</v>
      </c>
      <c r="T172" s="0" t="n">
        <v>4.77</v>
      </c>
      <c r="U172" s="0" t="n">
        <v>4.53</v>
      </c>
      <c r="V172" s="0" t="n">
        <v>4.7</v>
      </c>
      <c r="W172" s="0" t="n">
        <v>3.93</v>
      </c>
      <c r="X172" s="0" t="n">
        <v>3.95</v>
      </c>
      <c r="Y172" s="0" t="n">
        <v>1.56</v>
      </c>
      <c r="AB172" s="0" t="n">
        <v>3.77</v>
      </c>
      <c r="AC172" s="0" t="n">
        <v>4.73</v>
      </c>
      <c r="AD172" s="0" t="n">
        <v>13.89</v>
      </c>
      <c r="AE172" s="0" t="n">
        <v>14.04</v>
      </c>
      <c r="AF172" s="0" t="n">
        <v>3.35</v>
      </c>
      <c r="AG172" s="0" t="n">
        <v>-0.74</v>
      </c>
      <c r="AH172" s="0" t="n">
        <v>12.64</v>
      </c>
      <c r="AI172" s="0" t="n">
        <v>14.96</v>
      </c>
      <c r="AJ172" s="0" t="n">
        <v>8.07</v>
      </c>
      <c r="AK172" s="0" t="n">
        <v>6.82</v>
      </c>
      <c r="AL172" s="0" t="n">
        <v>8.88</v>
      </c>
      <c r="AM172" s="0" t="n">
        <v>10.08</v>
      </c>
      <c r="AN172" s="0" t="n">
        <v>11.33</v>
      </c>
      <c r="AP172" s="0" t="n">
        <v>10.98</v>
      </c>
      <c r="AQ172" s="0" t="n">
        <v>6.83</v>
      </c>
      <c r="AR172" s="0" t="n">
        <v>5</v>
      </c>
      <c r="AS172" s="0" t="n">
        <v>4.36</v>
      </c>
      <c r="AT172" s="0" t="n">
        <v>2.04</v>
      </c>
      <c r="AU172" s="0" t="n">
        <v>9.8</v>
      </c>
    </row>
    <row r="173" customFormat="false" ht="14.25" hidden="false" customHeight="false" outlineLevel="0" collapsed="false">
      <c r="A173" s="0" t="n">
        <v>12.12</v>
      </c>
      <c r="B173" s="0" t="n">
        <v>4.09</v>
      </c>
      <c r="C173" s="0" t="n">
        <v>6.43</v>
      </c>
      <c r="D173" s="0" t="n">
        <v>9.73</v>
      </c>
      <c r="E173" s="0" t="n">
        <v>2.74</v>
      </c>
      <c r="F173" s="0" t="n">
        <v>19.7</v>
      </c>
      <c r="G173" s="0" t="n">
        <v>15.99</v>
      </c>
      <c r="H173" s="0" t="n">
        <v>2.9</v>
      </c>
      <c r="I173" s="0" t="n">
        <v>667.8</v>
      </c>
      <c r="J173" s="0" t="n">
        <v>4.46</v>
      </c>
      <c r="K173" s="0" t="n">
        <v>651.28</v>
      </c>
      <c r="L173" s="0" t="n">
        <v>646.03</v>
      </c>
      <c r="M173" s="0" t="n">
        <v>639.56</v>
      </c>
      <c r="N173" s="0" t="n">
        <v>631.47</v>
      </c>
      <c r="O173" s="0" t="n">
        <v>621.39</v>
      </c>
      <c r="P173" s="0" t="n">
        <v>613.33</v>
      </c>
      <c r="R173" s="0" t="n">
        <v>5.28</v>
      </c>
      <c r="S173" s="0" t="n">
        <v>4.87</v>
      </c>
      <c r="T173" s="0" t="n">
        <v>4.76</v>
      </c>
      <c r="U173" s="0" t="n">
        <v>4.53</v>
      </c>
      <c r="V173" s="0" t="n">
        <v>4.7</v>
      </c>
      <c r="W173" s="0" t="n">
        <v>3.95</v>
      </c>
      <c r="X173" s="0" t="n">
        <v>3.95</v>
      </c>
      <c r="Y173" s="0" t="n">
        <v>1.56</v>
      </c>
      <c r="AB173" s="0" t="n">
        <v>3.79</v>
      </c>
      <c r="AC173" s="0" t="n">
        <v>4.73</v>
      </c>
      <c r="AD173" s="0" t="n">
        <v>13.83</v>
      </c>
      <c r="AE173" s="0" t="n">
        <v>14.05</v>
      </c>
      <c r="AF173" s="0" t="n">
        <v>3.29</v>
      </c>
      <c r="AG173" s="0" t="n">
        <v>-0.79</v>
      </c>
      <c r="AH173" s="0" t="n">
        <v>12.65</v>
      </c>
      <c r="AI173" s="0" t="n">
        <v>14.93</v>
      </c>
      <c r="AJ173" s="0" t="n">
        <v>8.07</v>
      </c>
      <c r="AK173" s="0" t="n">
        <v>6.81</v>
      </c>
      <c r="AL173" s="0" t="n">
        <v>8.88</v>
      </c>
      <c r="AM173" s="0" t="n">
        <v>10.07</v>
      </c>
      <c r="AN173" s="0" t="n">
        <v>11.3</v>
      </c>
      <c r="AP173" s="0" t="n">
        <v>10.96</v>
      </c>
      <c r="AQ173" s="0" t="n">
        <v>6.84</v>
      </c>
      <c r="AR173" s="0" t="n">
        <v>4.99</v>
      </c>
      <c r="AS173" s="0" t="n">
        <v>4.31</v>
      </c>
      <c r="AT173" s="0" t="n">
        <v>2.03</v>
      </c>
      <c r="AU173" s="0" t="n">
        <v>9.82</v>
      </c>
    </row>
    <row r="174" customFormat="false" ht="14.25" hidden="false" customHeight="false" outlineLevel="0" collapsed="false">
      <c r="A174" s="0" t="n">
        <v>12.12</v>
      </c>
      <c r="B174" s="0" t="n">
        <v>4.08</v>
      </c>
      <c r="C174" s="0" t="n">
        <v>6.43</v>
      </c>
      <c r="D174" s="0" t="n">
        <v>9.72</v>
      </c>
      <c r="E174" s="0" t="n">
        <v>2.72</v>
      </c>
      <c r="F174" s="0" t="n">
        <v>19.73</v>
      </c>
      <c r="G174" s="0" t="n">
        <v>15.95</v>
      </c>
      <c r="H174" s="0" t="n">
        <v>2.85</v>
      </c>
      <c r="I174" s="0" t="n">
        <v>667.78</v>
      </c>
      <c r="J174" s="0" t="n">
        <v>4.44</v>
      </c>
      <c r="K174" s="0" t="n">
        <v>651.33</v>
      </c>
      <c r="L174" s="0" t="n">
        <v>646</v>
      </c>
      <c r="M174" s="0" t="n">
        <v>639.56</v>
      </c>
      <c r="N174" s="0" t="n">
        <v>631.47</v>
      </c>
      <c r="O174" s="0" t="n">
        <v>621.4</v>
      </c>
      <c r="P174" s="0" t="n">
        <v>613.31</v>
      </c>
      <c r="R174" s="0" t="n">
        <v>5.29</v>
      </c>
      <c r="S174" s="0" t="n">
        <v>4.87</v>
      </c>
      <c r="T174" s="0" t="n">
        <v>4.77</v>
      </c>
      <c r="U174" s="0" t="n">
        <v>4.54</v>
      </c>
      <c r="V174" s="0" t="n">
        <v>4.7</v>
      </c>
      <c r="W174" s="0" t="n">
        <v>3.95</v>
      </c>
      <c r="X174" s="0" t="n">
        <v>3.96</v>
      </c>
      <c r="Y174" s="0" t="n">
        <v>1.57</v>
      </c>
      <c r="AB174" s="0" t="n">
        <v>3.77</v>
      </c>
      <c r="AC174" s="0" t="n">
        <v>4.75</v>
      </c>
      <c r="AD174" s="0" t="n">
        <v>13.69</v>
      </c>
      <c r="AE174" s="0" t="n">
        <v>14.07</v>
      </c>
      <c r="AF174" s="0" t="n">
        <v>3.26</v>
      </c>
      <c r="AG174" s="0" t="n">
        <v>-0.83</v>
      </c>
      <c r="AH174" s="0" t="n">
        <v>12.64</v>
      </c>
      <c r="AI174" s="0" t="n">
        <v>14.92</v>
      </c>
      <c r="AJ174" s="0" t="n">
        <v>8.05</v>
      </c>
      <c r="AK174" s="0" t="n">
        <v>6.81</v>
      </c>
      <c r="AL174" s="0" t="n">
        <v>8.87</v>
      </c>
      <c r="AM174" s="0" t="n">
        <v>10.09</v>
      </c>
      <c r="AN174" s="0" t="n">
        <v>11.31</v>
      </c>
      <c r="AP174" s="0" t="n">
        <v>10.95</v>
      </c>
      <c r="AQ174" s="0" t="n">
        <v>6.83</v>
      </c>
      <c r="AR174" s="0" t="n">
        <v>4.99</v>
      </c>
      <c r="AS174" s="0" t="n">
        <v>4.36</v>
      </c>
      <c r="AT174" s="0" t="n">
        <v>2.03</v>
      </c>
      <c r="AU174" s="0" t="n">
        <v>9.82</v>
      </c>
    </row>
    <row r="175" customFormat="false" ht="14.25" hidden="false" customHeight="false" outlineLevel="0" collapsed="false">
      <c r="A175" s="0" t="n">
        <v>12.12</v>
      </c>
      <c r="B175" s="0" t="n">
        <v>4.07</v>
      </c>
      <c r="C175" s="0" t="n">
        <v>6.43</v>
      </c>
      <c r="D175" s="0" t="n">
        <v>9.71</v>
      </c>
      <c r="E175" s="0" t="n">
        <v>2.74</v>
      </c>
      <c r="F175" s="0" t="n">
        <v>19.73</v>
      </c>
      <c r="G175" s="0" t="n">
        <v>15.98</v>
      </c>
      <c r="H175" s="0" t="n">
        <v>2.86</v>
      </c>
      <c r="I175" s="0" t="n">
        <v>667.76</v>
      </c>
      <c r="J175" s="0" t="n">
        <v>4.45</v>
      </c>
      <c r="K175" s="0" t="n">
        <v>651.29</v>
      </c>
      <c r="L175" s="0" t="n">
        <v>646</v>
      </c>
      <c r="M175" s="0" t="n">
        <v>639.56</v>
      </c>
      <c r="N175" s="0" t="n">
        <v>631.47</v>
      </c>
      <c r="O175" s="0" t="n">
        <v>621.39</v>
      </c>
      <c r="P175" s="0" t="n">
        <v>613.29</v>
      </c>
      <c r="R175" s="0" t="n">
        <v>5.28</v>
      </c>
      <c r="S175" s="0" t="n">
        <v>4.85</v>
      </c>
      <c r="T175" s="0" t="n">
        <v>4.64</v>
      </c>
      <c r="U175" s="0" t="n">
        <v>4.53</v>
      </c>
      <c r="V175" s="0" t="n">
        <v>4.7</v>
      </c>
      <c r="W175" s="0" t="n">
        <v>3.94</v>
      </c>
      <c r="X175" s="0" t="n">
        <v>3.94</v>
      </c>
      <c r="Y175" s="0" t="n">
        <v>1.52</v>
      </c>
      <c r="AB175" s="0" t="n">
        <v>3.8</v>
      </c>
      <c r="AC175" s="0" t="n">
        <v>4.75</v>
      </c>
      <c r="AD175" s="0" t="n">
        <v>13.69</v>
      </c>
      <c r="AE175" s="0" t="n">
        <v>14.06</v>
      </c>
      <c r="AF175" s="0" t="n">
        <v>3.26</v>
      </c>
      <c r="AG175" s="0" t="n">
        <v>-0.85</v>
      </c>
      <c r="AH175" s="0" t="n">
        <v>12.64</v>
      </c>
      <c r="AI175" s="0" t="n">
        <v>14.95</v>
      </c>
      <c r="AJ175" s="0" t="n">
        <v>8.04</v>
      </c>
      <c r="AK175" s="0" t="n">
        <v>6.83</v>
      </c>
      <c r="AL175" s="0" t="n">
        <v>8.91</v>
      </c>
      <c r="AM175" s="0" t="n">
        <v>10.1</v>
      </c>
      <c r="AN175" s="0" t="n">
        <v>11.29</v>
      </c>
      <c r="AP175" s="0" t="n">
        <v>10.93</v>
      </c>
      <c r="AQ175" s="0" t="n">
        <v>6.82</v>
      </c>
      <c r="AR175" s="0" t="n">
        <v>4.98</v>
      </c>
      <c r="AS175" s="0" t="n">
        <v>4.37</v>
      </c>
      <c r="AT175" s="0" t="n">
        <v>2.02</v>
      </c>
      <c r="AU175" s="0" t="n">
        <v>9.8</v>
      </c>
    </row>
    <row r="176" customFormat="false" ht="14.25" hidden="false" customHeight="false" outlineLevel="0" collapsed="false">
      <c r="A176" s="0" t="n">
        <v>12.11</v>
      </c>
      <c r="B176" s="0" t="n">
        <v>4.06</v>
      </c>
      <c r="C176" s="0" t="n">
        <v>6.43</v>
      </c>
      <c r="D176" s="0" t="n">
        <v>9.75</v>
      </c>
      <c r="E176" s="0" t="n">
        <v>2.7</v>
      </c>
      <c r="F176" s="0" t="n">
        <v>19.75</v>
      </c>
      <c r="G176" s="0" t="n">
        <v>16.02</v>
      </c>
      <c r="H176" s="0" t="n">
        <v>2.87</v>
      </c>
      <c r="I176" s="0" t="n">
        <v>667.76</v>
      </c>
      <c r="J176" s="0" t="n">
        <v>4.45</v>
      </c>
      <c r="K176" s="0" t="n">
        <v>651.33</v>
      </c>
      <c r="L176" s="0" t="n">
        <v>645.99</v>
      </c>
      <c r="M176" s="0" t="n">
        <v>639.56</v>
      </c>
      <c r="N176" s="0" t="n">
        <v>631.46</v>
      </c>
      <c r="O176" s="0" t="n">
        <v>621.38</v>
      </c>
      <c r="P176" s="0" t="n">
        <v>613.35</v>
      </c>
      <c r="R176" s="0" t="n">
        <v>5.28</v>
      </c>
      <c r="S176" s="0" t="n">
        <v>4.85</v>
      </c>
      <c r="T176" s="0" t="n">
        <v>4.78</v>
      </c>
      <c r="U176" s="0" t="n">
        <v>4.52</v>
      </c>
      <c r="V176" s="0" t="n">
        <v>4.7</v>
      </c>
      <c r="W176" s="0" t="n">
        <v>3.97</v>
      </c>
      <c r="X176" s="0" t="n">
        <v>3.94</v>
      </c>
      <c r="Y176" s="0" t="n">
        <v>1.55</v>
      </c>
      <c r="AB176" s="0" t="n">
        <v>3.8</v>
      </c>
      <c r="AC176" s="0" t="n">
        <v>4.75</v>
      </c>
      <c r="AD176" s="0" t="n">
        <v>13.69</v>
      </c>
      <c r="AE176" s="0" t="n">
        <v>14.05</v>
      </c>
      <c r="AF176" s="0" t="n">
        <v>3.24</v>
      </c>
      <c r="AG176" s="0" t="n">
        <v>-0.89</v>
      </c>
      <c r="AH176" s="0" t="n">
        <v>12.64</v>
      </c>
      <c r="AI176" s="0" t="n">
        <v>14.95</v>
      </c>
      <c r="AJ176" s="0" t="n">
        <v>8.03</v>
      </c>
      <c r="AK176" s="0" t="n">
        <v>6.82</v>
      </c>
      <c r="AL176" s="0" t="n">
        <v>8.88</v>
      </c>
      <c r="AM176" s="0" t="n">
        <v>10.12</v>
      </c>
      <c r="AN176" s="0" t="n">
        <v>11.22</v>
      </c>
      <c r="AP176" s="0" t="n">
        <v>10.89</v>
      </c>
      <c r="AQ176" s="0" t="n">
        <v>6.82</v>
      </c>
      <c r="AR176" s="0" t="n">
        <v>4.98</v>
      </c>
      <c r="AS176" s="0" t="n">
        <v>4.36</v>
      </c>
      <c r="AT176" s="0" t="n">
        <v>2.03</v>
      </c>
      <c r="AU176" s="0" t="n">
        <v>9.82</v>
      </c>
    </row>
    <row r="177" customFormat="false" ht="14.25" hidden="false" customHeight="false" outlineLevel="0" collapsed="false">
      <c r="A177" s="0" t="n">
        <v>12.11</v>
      </c>
      <c r="B177" s="0" t="n">
        <v>4.05</v>
      </c>
      <c r="C177" s="0" t="n">
        <v>6.43</v>
      </c>
      <c r="D177" s="0" t="n">
        <v>9.73</v>
      </c>
      <c r="E177" s="0" t="n">
        <v>2.69</v>
      </c>
      <c r="F177" s="0" t="n">
        <v>19.73</v>
      </c>
      <c r="G177" s="0" t="n">
        <v>16.03</v>
      </c>
      <c r="H177" s="0" t="n">
        <v>2.89</v>
      </c>
      <c r="I177" s="0" t="n">
        <v>667.78</v>
      </c>
      <c r="J177" s="0" t="n">
        <v>4.45</v>
      </c>
      <c r="K177" s="0" t="n">
        <v>651.29</v>
      </c>
      <c r="L177" s="0" t="n">
        <v>645.99</v>
      </c>
      <c r="M177" s="0" t="n">
        <v>639.56</v>
      </c>
      <c r="N177" s="0" t="n">
        <v>631.49</v>
      </c>
      <c r="O177" s="0" t="n">
        <v>621.37</v>
      </c>
      <c r="P177" s="0" t="n">
        <v>613.32</v>
      </c>
      <c r="R177" s="0" t="n">
        <v>5.28</v>
      </c>
      <c r="S177" s="0" t="n">
        <v>4.86</v>
      </c>
      <c r="T177" s="0" t="n">
        <v>4.77</v>
      </c>
      <c r="U177" s="0" t="n">
        <v>4.53</v>
      </c>
      <c r="V177" s="0" t="n">
        <v>4.7</v>
      </c>
      <c r="W177" s="0" t="n">
        <v>3.97</v>
      </c>
      <c r="X177" s="0" t="n">
        <v>3.94</v>
      </c>
      <c r="Y177" s="0" t="n">
        <v>1.55</v>
      </c>
      <c r="AB177" s="0" t="n">
        <v>3.79</v>
      </c>
      <c r="AC177" s="0" t="n">
        <v>4.76</v>
      </c>
      <c r="AD177" s="0" t="n">
        <v>13.68</v>
      </c>
      <c r="AE177" s="0" t="n">
        <v>14.05</v>
      </c>
      <c r="AF177" s="0" t="n">
        <v>3.25</v>
      </c>
      <c r="AG177" s="0" t="n">
        <v>-0.94</v>
      </c>
      <c r="AH177" s="0" t="n">
        <v>12.63</v>
      </c>
      <c r="AI177" s="0" t="n">
        <v>15.01</v>
      </c>
      <c r="AJ177" s="0" t="n">
        <v>8.02</v>
      </c>
      <c r="AK177" s="0" t="n">
        <v>6.83</v>
      </c>
      <c r="AL177" s="0" t="n">
        <v>8.9</v>
      </c>
      <c r="AM177" s="0" t="n">
        <v>10.05</v>
      </c>
      <c r="AN177" s="0" t="n">
        <v>11.27</v>
      </c>
      <c r="AP177" s="0" t="n">
        <v>10.92</v>
      </c>
      <c r="AQ177" s="0" t="n">
        <v>6.8</v>
      </c>
      <c r="AR177" s="0" t="n">
        <v>4.97</v>
      </c>
      <c r="AS177" s="0" t="n">
        <v>4.33</v>
      </c>
      <c r="AT177" s="0" t="n">
        <v>2.04</v>
      </c>
      <c r="AU177" s="0" t="n">
        <v>9.81</v>
      </c>
    </row>
    <row r="178" customFormat="false" ht="14.25" hidden="false" customHeight="false" outlineLevel="0" collapsed="false">
      <c r="A178" s="0" t="n">
        <v>12.11</v>
      </c>
      <c r="B178" s="0" t="n">
        <v>4.04</v>
      </c>
      <c r="C178" s="0" t="n">
        <v>6.43</v>
      </c>
      <c r="D178" s="0" t="n">
        <v>9.76</v>
      </c>
      <c r="E178" s="0" t="n">
        <v>2.67</v>
      </c>
      <c r="F178" s="0" t="n">
        <v>19.73</v>
      </c>
      <c r="G178" s="0" t="n">
        <v>16.03</v>
      </c>
      <c r="H178" s="0" t="n">
        <v>2.88</v>
      </c>
      <c r="I178" s="0" t="n">
        <v>667.78</v>
      </c>
      <c r="J178" s="0" t="n">
        <v>4.45</v>
      </c>
      <c r="K178" s="0" t="n">
        <v>651.28</v>
      </c>
      <c r="L178" s="0" t="n">
        <v>646</v>
      </c>
      <c r="M178" s="0" t="n">
        <v>639.56</v>
      </c>
      <c r="N178" s="0" t="n">
        <v>631.53</v>
      </c>
      <c r="O178" s="0" t="n">
        <v>621.38</v>
      </c>
      <c r="P178" s="0" t="n">
        <v>613.36</v>
      </c>
      <c r="R178" s="0" t="n">
        <v>5.28</v>
      </c>
      <c r="S178" s="0" t="n">
        <v>4.87</v>
      </c>
      <c r="T178" s="0" t="n">
        <v>4.77</v>
      </c>
      <c r="U178" s="0" t="n">
        <v>4.52</v>
      </c>
      <c r="V178" s="0" t="n">
        <v>4.7</v>
      </c>
      <c r="W178" s="0" t="n">
        <v>3.95</v>
      </c>
      <c r="X178" s="0" t="n">
        <v>3.95</v>
      </c>
      <c r="Y178" s="0" t="n">
        <v>1.54</v>
      </c>
      <c r="AB178" s="0" t="n">
        <v>3.8</v>
      </c>
      <c r="AC178" s="0" t="n">
        <v>4.75</v>
      </c>
      <c r="AD178" s="0" t="n">
        <v>13.68</v>
      </c>
      <c r="AE178" s="0" t="n">
        <v>14.06</v>
      </c>
      <c r="AF178" s="0" t="n">
        <v>3.2</v>
      </c>
      <c r="AG178" s="0" t="n">
        <v>-0.91</v>
      </c>
      <c r="AH178" s="0" t="n">
        <v>12.64</v>
      </c>
      <c r="AI178" s="0" t="n">
        <v>14.96</v>
      </c>
      <c r="AJ178" s="0" t="n">
        <v>8.03</v>
      </c>
      <c r="AK178" s="0" t="n">
        <v>6.83</v>
      </c>
      <c r="AL178" s="0" t="n">
        <v>8.91</v>
      </c>
      <c r="AM178" s="0" t="n">
        <v>10.11</v>
      </c>
      <c r="AN178" s="0" t="n">
        <v>11.2</v>
      </c>
      <c r="AP178" s="0" t="n">
        <v>10.93</v>
      </c>
      <c r="AQ178" s="0" t="n">
        <v>6.79</v>
      </c>
      <c r="AR178" s="0" t="n">
        <v>4.98</v>
      </c>
      <c r="AS178" s="0" t="n">
        <v>4.29</v>
      </c>
      <c r="AT178" s="0" t="n">
        <v>2.05</v>
      </c>
      <c r="AU178" s="0" t="n">
        <v>9.8</v>
      </c>
    </row>
    <row r="179" customFormat="false" ht="14.25" hidden="false" customHeight="false" outlineLevel="0" collapsed="false">
      <c r="A179" s="0" t="n">
        <v>12.11</v>
      </c>
      <c r="B179" s="0" t="n">
        <v>4.06</v>
      </c>
      <c r="C179" s="0" t="n">
        <v>6.43</v>
      </c>
      <c r="D179" s="0" t="n">
        <v>9.73</v>
      </c>
      <c r="E179" s="0" t="n">
        <v>2.65</v>
      </c>
      <c r="F179" s="0" t="n">
        <v>19.75</v>
      </c>
      <c r="G179" s="0" t="n">
        <v>15.99</v>
      </c>
      <c r="H179" s="0" t="n">
        <v>2.88</v>
      </c>
      <c r="I179" s="0" t="n">
        <v>667.76</v>
      </c>
      <c r="J179" s="0" t="n">
        <v>4.45</v>
      </c>
      <c r="K179" s="0" t="n">
        <v>651.29</v>
      </c>
      <c r="L179" s="0" t="n">
        <v>645.99</v>
      </c>
      <c r="M179" s="0" t="n">
        <v>639.58</v>
      </c>
      <c r="N179" s="0" t="n">
        <v>631.48</v>
      </c>
      <c r="O179" s="0" t="n">
        <v>621.37</v>
      </c>
      <c r="P179" s="0" t="n">
        <v>613.31</v>
      </c>
      <c r="R179" s="0" t="n">
        <v>5.29</v>
      </c>
      <c r="S179" s="0" t="n">
        <v>4.86</v>
      </c>
      <c r="T179" s="0" t="n">
        <v>4.78</v>
      </c>
      <c r="U179" s="0" t="n">
        <v>4.53</v>
      </c>
      <c r="V179" s="0" t="n">
        <v>4.71</v>
      </c>
      <c r="W179" s="0" t="n">
        <v>3.96</v>
      </c>
      <c r="X179" s="0" t="n">
        <v>3.94</v>
      </c>
      <c r="Y179" s="0" t="n">
        <v>1.55</v>
      </c>
      <c r="AB179" s="0" t="n">
        <v>3.81</v>
      </c>
      <c r="AC179" s="0" t="n">
        <v>4.74</v>
      </c>
      <c r="AD179" s="0" t="n">
        <v>13.69</v>
      </c>
      <c r="AE179" s="0" t="n">
        <v>14.05</v>
      </c>
      <c r="AF179" s="0" t="n">
        <v>3.08</v>
      </c>
      <c r="AG179" s="0" t="n">
        <v>-0.94</v>
      </c>
      <c r="AH179" s="0" t="n">
        <v>12.63</v>
      </c>
      <c r="AI179" s="0" t="n">
        <v>14.95</v>
      </c>
      <c r="AJ179" s="0" t="n">
        <v>8.01</v>
      </c>
      <c r="AK179" s="0" t="n">
        <v>6.82</v>
      </c>
      <c r="AL179" s="0" t="n">
        <v>8.92</v>
      </c>
      <c r="AM179" s="0" t="n">
        <v>10.08</v>
      </c>
      <c r="AN179" s="0" t="n">
        <v>11.25</v>
      </c>
      <c r="AP179" s="0" t="n">
        <v>10.91</v>
      </c>
      <c r="AQ179" s="0" t="n">
        <v>6.76</v>
      </c>
      <c r="AR179" s="0" t="n">
        <v>4.97</v>
      </c>
      <c r="AS179" s="0" t="n">
        <v>4.35</v>
      </c>
      <c r="AT179" s="0" t="n">
        <v>2.04</v>
      </c>
      <c r="AU179" s="0" t="n">
        <v>9.8</v>
      </c>
    </row>
    <row r="180" customFormat="false" ht="14.25" hidden="false" customHeight="false" outlineLevel="0" collapsed="false">
      <c r="A180" s="0" t="n">
        <v>12.12</v>
      </c>
      <c r="B180" s="0" t="n">
        <v>4.05</v>
      </c>
      <c r="C180" s="0" t="n">
        <v>6.42</v>
      </c>
      <c r="D180" s="0" t="n">
        <v>9.71</v>
      </c>
      <c r="E180" s="0" t="n">
        <v>2.63</v>
      </c>
      <c r="F180" s="0" t="n">
        <v>19.75</v>
      </c>
      <c r="G180" s="0" t="n">
        <v>16.01</v>
      </c>
      <c r="H180" s="0" t="n">
        <v>2.87</v>
      </c>
      <c r="I180" s="0" t="n">
        <v>667.75</v>
      </c>
      <c r="J180" s="0" t="n">
        <v>4.46</v>
      </c>
      <c r="K180" s="0" t="n">
        <v>651.28</v>
      </c>
      <c r="L180" s="0" t="n">
        <v>646</v>
      </c>
      <c r="M180" s="0" t="n">
        <v>639.56</v>
      </c>
      <c r="N180" s="0" t="n">
        <v>631.48</v>
      </c>
      <c r="O180" s="0" t="n">
        <v>621.38</v>
      </c>
      <c r="P180" s="0" t="n">
        <v>613.32</v>
      </c>
      <c r="R180" s="0" t="n">
        <v>5.27</v>
      </c>
      <c r="S180" s="0" t="n">
        <v>4.86</v>
      </c>
      <c r="T180" s="0" t="n">
        <v>4.78</v>
      </c>
      <c r="U180" s="0" t="n">
        <v>4.53</v>
      </c>
      <c r="V180" s="0" t="n">
        <v>4.71</v>
      </c>
      <c r="W180" s="0" t="n">
        <v>3.97</v>
      </c>
      <c r="X180" s="0" t="n">
        <v>3.93</v>
      </c>
      <c r="Y180" s="0" t="n">
        <v>1.54</v>
      </c>
      <c r="AB180" s="0" t="n">
        <v>3.88</v>
      </c>
      <c r="AC180" s="0" t="n">
        <v>4.75</v>
      </c>
      <c r="AD180" s="0" t="n">
        <v>13.69</v>
      </c>
      <c r="AE180" s="0" t="n">
        <v>14.04</v>
      </c>
      <c r="AF180" s="0" t="n">
        <v>3.09</v>
      </c>
      <c r="AG180" s="0" t="n">
        <v>-0.97</v>
      </c>
      <c r="AH180" s="0" t="n">
        <v>12.63</v>
      </c>
      <c r="AI180" s="0" t="n">
        <v>14.97</v>
      </c>
      <c r="AJ180" s="0" t="n">
        <v>8</v>
      </c>
      <c r="AK180" s="0" t="n">
        <v>6.83</v>
      </c>
      <c r="AL180" s="0" t="n">
        <v>8.91</v>
      </c>
      <c r="AM180" s="0" t="n">
        <v>10.1</v>
      </c>
      <c r="AN180" s="0" t="n">
        <v>11.22</v>
      </c>
      <c r="AP180" s="0" t="n">
        <v>10.9</v>
      </c>
      <c r="AQ180" s="0" t="n">
        <v>6.75</v>
      </c>
      <c r="AR180" s="0" t="n">
        <v>4.96</v>
      </c>
      <c r="AS180" s="0" t="n">
        <v>4.39</v>
      </c>
      <c r="AT180" s="0" t="n">
        <v>2.04</v>
      </c>
      <c r="AU180" s="0" t="n">
        <v>9.81</v>
      </c>
    </row>
    <row r="181" customFormat="false" ht="14.25" hidden="false" customHeight="false" outlineLevel="0" collapsed="false">
      <c r="A181" s="0" t="n">
        <v>12.13</v>
      </c>
      <c r="B181" s="0" t="n">
        <v>4.07</v>
      </c>
      <c r="C181" s="0" t="n">
        <v>6.42</v>
      </c>
      <c r="D181" s="0" t="n">
        <v>9.71</v>
      </c>
      <c r="E181" s="0" t="n">
        <v>2.65</v>
      </c>
      <c r="F181" s="0" t="n">
        <v>19.75</v>
      </c>
      <c r="G181" s="0" t="n">
        <v>16.01</v>
      </c>
      <c r="H181" s="0" t="n">
        <v>2.89</v>
      </c>
      <c r="I181" s="0" t="n">
        <v>667.75</v>
      </c>
      <c r="J181" s="0" t="n">
        <v>4.47</v>
      </c>
      <c r="K181" s="0" t="n">
        <v>651.3</v>
      </c>
      <c r="L181" s="0" t="n">
        <v>645.99</v>
      </c>
      <c r="M181" s="0" t="n">
        <v>639.56</v>
      </c>
      <c r="N181" s="0" t="n">
        <v>631.48</v>
      </c>
      <c r="O181" s="0" t="n">
        <v>621.42</v>
      </c>
      <c r="P181" s="0" t="n">
        <v>613.3</v>
      </c>
      <c r="R181" s="0" t="n">
        <v>5.22</v>
      </c>
      <c r="S181" s="0" t="n">
        <v>4.85</v>
      </c>
      <c r="T181" s="0" t="n">
        <v>4.78</v>
      </c>
      <c r="U181" s="0" t="n">
        <v>4.53</v>
      </c>
      <c r="V181" s="0" t="n">
        <v>4.71</v>
      </c>
      <c r="W181" s="0" t="n">
        <v>3.96</v>
      </c>
      <c r="X181" s="0" t="n">
        <v>3.94</v>
      </c>
      <c r="Y181" s="0" t="n">
        <v>1.55</v>
      </c>
      <c r="AB181" s="0" t="n">
        <v>3.88</v>
      </c>
      <c r="AC181" s="0" t="n">
        <v>4.73</v>
      </c>
      <c r="AD181" s="0" t="n">
        <v>13.7</v>
      </c>
      <c r="AE181" s="0" t="n">
        <v>14.02</v>
      </c>
      <c r="AF181" s="0" t="n">
        <v>3.1</v>
      </c>
      <c r="AG181" s="0" t="n">
        <v>-0.99</v>
      </c>
      <c r="AH181" s="0" t="n">
        <v>12.64</v>
      </c>
      <c r="AI181" s="0" t="n">
        <v>14.9</v>
      </c>
      <c r="AJ181" s="0" t="n">
        <v>8</v>
      </c>
      <c r="AK181" s="0" t="n">
        <v>6.83</v>
      </c>
      <c r="AL181" s="0" t="n">
        <v>8.91</v>
      </c>
      <c r="AM181" s="0" t="n">
        <v>10.11</v>
      </c>
      <c r="AN181" s="0" t="n">
        <v>11.19</v>
      </c>
      <c r="AP181" s="0" t="n">
        <v>10.92</v>
      </c>
      <c r="AQ181" s="0" t="n">
        <v>6.72</v>
      </c>
      <c r="AR181" s="0" t="n">
        <v>4.97</v>
      </c>
      <c r="AS181" s="0" t="n">
        <v>4.4</v>
      </c>
      <c r="AT181" s="0" t="n">
        <v>2.04</v>
      </c>
      <c r="AU181" s="0" t="n">
        <v>9.78</v>
      </c>
    </row>
    <row r="182" customFormat="false" ht="14.25" hidden="false" customHeight="false" outlineLevel="0" collapsed="false">
      <c r="A182" s="0" t="n">
        <v>12.14</v>
      </c>
      <c r="B182" s="0" t="n">
        <v>4.05</v>
      </c>
      <c r="C182" s="0" t="n">
        <v>6.41</v>
      </c>
      <c r="D182" s="0" t="n">
        <v>9.73</v>
      </c>
      <c r="E182" s="0" t="n">
        <v>2.64</v>
      </c>
      <c r="F182" s="0" t="n">
        <v>19.77</v>
      </c>
      <c r="G182" s="0" t="n">
        <v>15.97</v>
      </c>
      <c r="H182" s="0" t="n">
        <v>2.87</v>
      </c>
      <c r="I182" s="0" t="n">
        <v>667.78</v>
      </c>
      <c r="J182" s="0" t="n">
        <v>4.49</v>
      </c>
      <c r="K182" s="0" t="n">
        <v>651.27</v>
      </c>
      <c r="L182" s="0" t="n">
        <v>646.02</v>
      </c>
      <c r="M182" s="0" t="n">
        <v>639.55</v>
      </c>
      <c r="N182" s="0" t="n">
        <v>631.48</v>
      </c>
      <c r="O182" s="0" t="n">
        <v>621.38</v>
      </c>
      <c r="P182" s="0" t="n">
        <v>613.3</v>
      </c>
      <c r="R182" s="0" t="n">
        <v>5.29</v>
      </c>
      <c r="S182" s="0" t="n">
        <v>4.86</v>
      </c>
      <c r="T182" s="0" t="n">
        <v>4.76</v>
      </c>
      <c r="U182" s="0" t="n">
        <v>4.53</v>
      </c>
      <c r="V182" s="0" t="n">
        <v>4.71</v>
      </c>
      <c r="W182" s="0" t="n">
        <v>3.97</v>
      </c>
      <c r="X182" s="0" t="n">
        <v>3.94</v>
      </c>
      <c r="Y182" s="0" t="n">
        <v>1.56</v>
      </c>
      <c r="AB182" s="0" t="n">
        <v>3.87</v>
      </c>
      <c r="AC182" s="0" t="n">
        <v>4.72</v>
      </c>
      <c r="AD182" s="0" t="n">
        <v>13.71</v>
      </c>
      <c r="AE182" s="0" t="n">
        <v>14.09</v>
      </c>
      <c r="AF182" s="0" t="n">
        <v>3.07</v>
      </c>
      <c r="AG182" s="0" t="n">
        <v>-0.97</v>
      </c>
      <c r="AH182" s="0" t="n">
        <v>12.63</v>
      </c>
      <c r="AI182" s="0" t="n">
        <v>14.9</v>
      </c>
      <c r="AJ182" s="0" t="n">
        <v>7.98</v>
      </c>
      <c r="AK182" s="0" t="n">
        <v>6.82</v>
      </c>
      <c r="AL182" s="0" t="n">
        <v>8.95</v>
      </c>
      <c r="AM182" s="0" t="n">
        <v>10.1</v>
      </c>
      <c r="AN182" s="0" t="n">
        <v>11.19</v>
      </c>
      <c r="AP182" s="0" t="n">
        <v>10.94</v>
      </c>
      <c r="AQ182" s="0" t="n">
        <v>6.72</v>
      </c>
      <c r="AR182" s="0" t="n">
        <v>4.95</v>
      </c>
      <c r="AS182" s="0" t="n">
        <v>4.37</v>
      </c>
      <c r="AT182" s="0" t="n">
        <v>2.04</v>
      </c>
      <c r="AU182" s="0" t="n">
        <v>9.81</v>
      </c>
    </row>
    <row r="183" customFormat="false" ht="14.25" hidden="false" customHeight="false" outlineLevel="0" collapsed="false">
      <c r="A183" s="0" t="n">
        <v>12.15</v>
      </c>
      <c r="B183" s="0" t="n">
        <v>4.04</v>
      </c>
      <c r="C183" s="0" t="n">
        <v>6.41</v>
      </c>
      <c r="D183" s="0" t="n">
        <v>9.72</v>
      </c>
      <c r="E183" s="0" t="n">
        <v>2.68</v>
      </c>
      <c r="F183" s="0" t="n">
        <v>19.79</v>
      </c>
      <c r="G183" s="0" t="n">
        <v>15.99</v>
      </c>
      <c r="H183" s="0" t="n">
        <v>2.87</v>
      </c>
      <c r="I183" s="0" t="n">
        <v>667.75</v>
      </c>
      <c r="J183" s="0" t="n">
        <v>4.48</v>
      </c>
      <c r="K183" s="0" t="n">
        <v>651.34</v>
      </c>
      <c r="L183" s="0" t="n">
        <v>646</v>
      </c>
      <c r="M183" s="0" t="n">
        <v>639.58</v>
      </c>
      <c r="N183" s="0" t="n">
        <v>631.49</v>
      </c>
      <c r="O183" s="0" t="n">
        <v>621.38</v>
      </c>
      <c r="P183" s="0" t="n">
        <v>613.33</v>
      </c>
      <c r="R183" s="0" t="n">
        <v>5.27</v>
      </c>
      <c r="S183" s="0" t="n">
        <v>4.87</v>
      </c>
      <c r="T183" s="0" t="n">
        <v>4.76</v>
      </c>
      <c r="U183" s="0" t="n">
        <v>4.52</v>
      </c>
      <c r="V183" s="0" t="n">
        <v>4.71</v>
      </c>
      <c r="W183" s="0" t="n">
        <v>3.97</v>
      </c>
      <c r="X183" s="0" t="n">
        <v>3.94</v>
      </c>
      <c r="Y183" s="0" t="n">
        <v>1.58</v>
      </c>
      <c r="AB183" s="0" t="n">
        <v>3.88</v>
      </c>
      <c r="AC183" s="0" t="n">
        <v>4.73</v>
      </c>
      <c r="AD183" s="0" t="n">
        <v>13.7</v>
      </c>
      <c r="AE183" s="0" t="n">
        <v>14.05</v>
      </c>
      <c r="AF183" s="0" t="n">
        <v>3.03</v>
      </c>
      <c r="AG183" s="0" t="n">
        <v>-0.97</v>
      </c>
      <c r="AH183" s="0" t="n">
        <v>12.63</v>
      </c>
      <c r="AI183" s="0" t="n">
        <v>14.97</v>
      </c>
      <c r="AJ183" s="0" t="n">
        <v>7.99</v>
      </c>
      <c r="AK183" s="0" t="n">
        <v>6.82</v>
      </c>
      <c r="AL183" s="0" t="n">
        <v>8.92</v>
      </c>
      <c r="AM183" s="0" t="n">
        <v>10.09</v>
      </c>
      <c r="AN183" s="0" t="n">
        <v>11.23</v>
      </c>
      <c r="AP183" s="0" t="n">
        <v>10.95</v>
      </c>
      <c r="AQ183" s="0" t="n">
        <v>6.71</v>
      </c>
      <c r="AR183" s="0" t="n">
        <v>4.96</v>
      </c>
      <c r="AS183" s="0" t="n">
        <v>4.38</v>
      </c>
      <c r="AT183" s="0" t="n">
        <v>2.05</v>
      </c>
      <c r="AU183" s="0" t="n">
        <v>9.79</v>
      </c>
    </row>
    <row r="184" customFormat="false" ht="14.25" hidden="false" customHeight="false" outlineLevel="0" collapsed="false">
      <c r="A184" s="0" t="n">
        <v>12.15</v>
      </c>
      <c r="B184" s="0" t="n">
        <v>4.05</v>
      </c>
      <c r="C184" s="0" t="n">
        <v>6.4</v>
      </c>
      <c r="D184" s="0" t="n">
        <v>9.72</v>
      </c>
      <c r="E184" s="0" t="n">
        <v>2.64</v>
      </c>
      <c r="F184" s="0" t="n">
        <v>19.75</v>
      </c>
      <c r="G184" s="0" t="n">
        <v>16.04</v>
      </c>
      <c r="H184" s="0" t="n">
        <v>2.86</v>
      </c>
      <c r="I184" s="0" t="n">
        <v>667.75</v>
      </c>
      <c r="J184" s="0" t="n">
        <v>4.49</v>
      </c>
      <c r="K184" s="0" t="n">
        <v>651.29</v>
      </c>
      <c r="L184" s="0" t="n">
        <v>646.01</v>
      </c>
      <c r="M184" s="0" t="n">
        <v>639.55</v>
      </c>
      <c r="N184" s="0" t="n">
        <v>631.49</v>
      </c>
      <c r="O184" s="0" t="n">
        <v>621.4</v>
      </c>
      <c r="P184" s="0" t="n">
        <v>613.33</v>
      </c>
      <c r="R184" s="0" t="n">
        <v>5.29</v>
      </c>
      <c r="S184" s="0" t="n">
        <v>4.86</v>
      </c>
      <c r="T184" s="0" t="n">
        <v>4.76</v>
      </c>
      <c r="U184" s="0" t="n">
        <v>4.53</v>
      </c>
      <c r="V184" s="0" t="n">
        <v>4.71</v>
      </c>
      <c r="W184" s="0" t="n">
        <v>3.97</v>
      </c>
      <c r="X184" s="0" t="n">
        <v>3.94</v>
      </c>
      <c r="Y184" s="0" t="n">
        <v>1.53</v>
      </c>
      <c r="AB184" s="0" t="n">
        <v>3.74</v>
      </c>
      <c r="AC184" s="0" t="n">
        <v>4.73</v>
      </c>
      <c r="AD184" s="0" t="n">
        <v>13.71</v>
      </c>
      <c r="AE184" s="0" t="n">
        <v>14.01</v>
      </c>
      <c r="AF184" s="0" t="n">
        <v>2.96</v>
      </c>
      <c r="AG184" s="0" t="n">
        <v>-1.01</v>
      </c>
      <c r="AH184" s="0" t="n">
        <v>12.63</v>
      </c>
      <c r="AI184" s="0" t="n">
        <v>14.95</v>
      </c>
      <c r="AJ184" s="0" t="n">
        <v>7.98</v>
      </c>
      <c r="AK184" s="0" t="n">
        <v>6.84</v>
      </c>
      <c r="AL184" s="0" t="n">
        <v>8.94</v>
      </c>
      <c r="AM184" s="0" t="n">
        <v>10.11</v>
      </c>
      <c r="AN184" s="0" t="n">
        <v>11.22</v>
      </c>
      <c r="AP184" s="0" t="n">
        <v>10.89</v>
      </c>
      <c r="AQ184" s="0" t="n">
        <v>6.64</v>
      </c>
      <c r="AR184" s="0" t="n">
        <v>4.94</v>
      </c>
      <c r="AS184" s="0" t="n">
        <v>4.43</v>
      </c>
      <c r="AT184" s="0" t="n">
        <v>2.05</v>
      </c>
      <c r="AU184" s="0" t="n">
        <v>9.8</v>
      </c>
    </row>
    <row r="185" customFormat="false" ht="14.25" hidden="false" customHeight="false" outlineLevel="0" collapsed="false">
      <c r="A185" s="0" t="n">
        <v>12.17</v>
      </c>
      <c r="B185" s="0" t="n">
        <v>4.04</v>
      </c>
      <c r="C185" s="0" t="n">
        <v>6.4</v>
      </c>
      <c r="D185" s="0" t="n">
        <v>9.7</v>
      </c>
      <c r="E185" s="0" t="n">
        <v>2.64</v>
      </c>
      <c r="F185" s="0" t="n">
        <v>19.77</v>
      </c>
      <c r="G185" s="0" t="n">
        <v>16.03</v>
      </c>
      <c r="H185" s="0" t="n">
        <v>2.86</v>
      </c>
      <c r="I185" s="0" t="n">
        <v>667.75</v>
      </c>
      <c r="J185" s="0" t="n">
        <v>4.46</v>
      </c>
      <c r="K185" s="0" t="n">
        <v>651.29</v>
      </c>
      <c r="L185" s="0" t="n">
        <v>646</v>
      </c>
      <c r="M185" s="0" t="n">
        <v>639.55</v>
      </c>
      <c r="N185" s="0" t="n">
        <v>631.5</v>
      </c>
      <c r="O185" s="0" t="n">
        <v>621.4</v>
      </c>
      <c r="P185" s="0" t="n">
        <v>613.36</v>
      </c>
      <c r="R185" s="0" t="n">
        <v>5.29</v>
      </c>
      <c r="S185" s="0" t="n">
        <v>4.86</v>
      </c>
      <c r="T185" s="0" t="n">
        <v>4.77</v>
      </c>
      <c r="U185" s="0" t="n">
        <v>4.53</v>
      </c>
      <c r="V185" s="0" t="n">
        <v>4.72</v>
      </c>
      <c r="W185" s="0" t="n">
        <v>3.97</v>
      </c>
      <c r="X185" s="0" t="n">
        <v>3.94</v>
      </c>
      <c r="Y185" s="0" t="n">
        <v>1.54</v>
      </c>
      <c r="AB185" s="0" t="n">
        <v>3.8</v>
      </c>
      <c r="AC185" s="0" t="n">
        <v>4.73</v>
      </c>
      <c r="AD185" s="0" t="n">
        <v>13.71</v>
      </c>
      <c r="AE185" s="0" t="n">
        <v>13.94</v>
      </c>
      <c r="AF185" s="0" t="n">
        <v>2.94</v>
      </c>
      <c r="AG185" s="0" t="n">
        <v>-1</v>
      </c>
      <c r="AH185" s="0" t="n">
        <v>12.64</v>
      </c>
      <c r="AI185" s="0" t="n">
        <v>14.97</v>
      </c>
      <c r="AJ185" s="0" t="n">
        <v>7.97</v>
      </c>
      <c r="AK185" s="0" t="n">
        <v>6.83</v>
      </c>
      <c r="AL185" s="0" t="n">
        <v>8.94</v>
      </c>
      <c r="AM185" s="0" t="n">
        <v>10.1</v>
      </c>
      <c r="AN185" s="0" t="n">
        <v>11.22</v>
      </c>
      <c r="AP185" s="0" t="n">
        <v>10.88</v>
      </c>
      <c r="AQ185" s="0" t="n">
        <v>6.69</v>
      </c>
      <c r="AR185" s="0" t="n">
        <v>4.93</v>
      </c>
      <c r="AS185" s="0" t="n">
        <v>4.4</v>
      </c>
      <c r="AT185" s="0" t="n">
        <v>2.06</v>
      </c>
      <c r="AU185" s="0" t="n">
        <v>9.8</v>
      </c>
    </row>
    <row r="186" customFormat="false" ht="14.25" hidden="false" customHeight="false" outlineLevel="0" collapsed="false">
      <c r="A186" s="0" t="n">
        <v>12.17</v>
      </c>
      <c r="B186" s="0" t="n">
        <v>4.04</v>
      </c>
      <c r="C186" s="0" t="n">
        <v>6.4</v>
      </c>
      <c r="D186" s="0" t="n">
        <v>9.71</v>
      </c>
      <c r="E186" s="0" t="n">
        <v>2.62</v>
      </c>
      <c r="F186" s="0" t="n">
        <v>19.76</v>
      </c>
      <c r="G186" s="0" t="n">
        <v>16.02</v>
      </c>
      <c r="H186" s="0" t="n">
        <v>2.9</v>
      </c>
      <c r="I186" s="0" t="n">
        <v>667.75</v>
      </c>
      <c r="J186" s="0" t="n">
        <v>4.46</v>
      </c>
      <c r="K186" s="0" t="n">
        <v>651.29</v>
      </c>
      <c r="L186" s="0" t="n">
        <v>645.99</v>
      </c>
      <c r="M186" s="0" t="n">
        <v>639.56</v>
      </c>
      <c r="N186" s="0" t="n">
        <v>631.5</v>
      </c>
      <c r="O186" s="0" t="n">
        <v>621.4</v>
      </c>
      <c r="P186" s="0" t="n">
        <v>613.33</v>
      </c>
      <c r="R186" s="0" t="n">
        <v>5.29</v>
      </c>
      <c r="S186" s="0" t="n">
        <v>4.87</v>
      </c>
      <c r="T186" s="0" t="n">
        <v>4.77</v>
      </c>
      <c r="U186" s="0" t="n">
        <v>4.53</v>
      </c>
      <c r="V186" s="0" t="n">
        <v>4.71</v>
      </c>
      <c r="W186" s="0" t="n">
        <v>3.97</v>
      </c>
      <c r="X186" s="0" t="n">
        <v>3.94</v>
      </c>
      <c r="Y186" s="0" t="n">
        <v>1.54</v>
      </c>
      <c r="AB186" s="0" t="n">
        <v>3.82</v>
      </c>
      <c r="AC186" s="0" t="n">
        <v>4.73</v>
      </c>
      <c r="AD186" s="0" t="n">
        <v>13.7</v>
      </c>
      <c r="AE186" s="0" t="n">
        <v>13.91</v>
      </c>
      <c r="AF186" s="0" t="n">
        <v>2.86</v>
      </c>
      <c r="AG186" s="0" t="n">
        <v>-1.06</v>
      </c>
      <c r="AH186" s="0" t="n">
        <v>12.63</v>
      </c>
      <c r="AI186" s="0" t="n">
        <v>14.97</v>
      </c>
      <c r="AJ186" s="0" t="n">
        <v>7.97</v>
      </c>
      <c r="AK186" s="0" t="n">
        <v>6.83</v>
      </c>
      <c r="AL186" s="0" t="n">
        <v>8.97</v>
      </c>
      <c r="AM186" s="0" t="n">
        <v>10.11</v>
      </c>
      <c r="AN186" s="0" t="n">
        <v>11.2</v>
      </c>
      <c r="AP186" s="0" t="n">
        <v>10.86</v>
      </c>
      <c r="AQ186" s="0" t="n">
        <v>6.67</v>
      </c>
      <c r="AR186" s="0" t="n">
        <v>4.93</v>
      </c>
      <c r="AS186" s="0" t="n">
        <v>4.38</v>
      </c>
      <c r="AT186" s="0" t="n">
        <v>2.06</v>
      </c>
      <c r="AU186" s="0" t="n">
        <v>9.8</v>
      </c>
    </row>
    <row r="187" customFormat="false" ht="14.25" hidden="false" customHeight="false" outlineLevel="0" collapsed="false">
      <c r="A187" s="0" t="n">
        <v>12.18</v>
      </c>
      <c r="B187" s="0" t="n">
        <v>4.03</v>
      </c>
      <c r="C187" s="0" t="n">
        <v>6.39</v>
      </c>
      <c r="D187" s="0" t="n">
        <v>9.71</v>
      </c>
      <c r="E187" s="0" t="n">
        <v>2.62</v>
      </c>
      <c r="F187" s="0" t="n">
        <v>19.76</v>
      </c>
      <c r="G187" s="0" t="n">
        <v>16.04</v>
      </c>
      <c r="H187" s="0" t="n">
        <v>2.87</v>
      </c>
      <c r="I187" s="0" t="n">
        <v>667.76</v>
      </c>
      <c r="J187" s="0" t="n">
        <v>4.47</v>
      </c>
      <c r="K187" s="0" t="n">
        <v>651.28</v>
      </c>
      <c r="L187" s="0" t="n">
        <v>645.98</v>
      </c>
      <c r="M187" s="0" t="n">
        <v>639.53</v>
      </c>
      <c r="N187" s="0" t="n">
        <v>631.51</v>
      </c>
      <c r="O187" s="0" t="n">
        <v>621.41</v>
      </c>
      <c r="P187" s="0" t="n">
        <v>613.35</v>
      </c>
      <c r="R187" s="0" t="n">
        <v>5.34</v>
      </c>
      <c r="S187" s="0" t="n">
        <v>4.85</v>
      </c>
      <c r="T187" s="0" t="n">
        <v>4.76</v>
      </c>
      <c r="U187" s="0" t="n">
        <v>4.53</v>
      </c>
      <c r="V187" s="0" t="n">
        <v>4.72</v>
      </c>
      <c r="W187" s="0" t="n">
        <v>3.97</v>
      </c>
      <c r="X187" s="0" t="n">
        <v>3.94</v>
      </c>
      <c r="Y187" s="0" t="n">
        <v>1.54</v>
      </c>
      <c r="AB187" s="0" t="n">
        <v>3.79</v>
      </c>
      <c r="AC187" s="0" t="n">
        <v>4.73</v>
      </c>
      <c r="AD187" s="0" t="n">
        <v>13.7</v>
      </c>
      <c r="AE187" s="0" t="n">
        <v>13.93</v>
      </c>
      <c r="AF187" s="0" t="n">
        <v>2.79</v>
      </c>
      <c r="AG187" s="0" t="n">
        <v>-1.01</v>
      </c>
      <c r="AH187" s="0" t="n">
        <v>12.63</v>
      </c>
      <c r="AI187" s="0" t="n">
        <v>14.97</v>
      </c>
      <c r="AJ187" s="0" t="n">
        <v>7.98</v>
      </c>
      <c r="AK187" s="0" t="n">
        <v>6.85</v>
      </c>
      <c r="AL187" s="0" t="n">
        <v>8.96</v>
      </c>
      <c r="AM187" s="0" t="n">
        <v>10.18</v>
      </c>
      <c r="AN187" s="0" t="n">
        <v>11.2</v>
      </c>
      <c r="AP187" s="0" t="n">
        <v>10.88</v>
      </c>
      <c r="AQ187" s="0" t="n">
        <v>6.66</v>
      </c>
      <c r="AR187" s="0" t="n">
        <v>4.89</v>
      </c>
      <c r="AS187" s="0" t="n">
        <v>4.34</v>
      </c>
      <c r="AT187" s="0" t="n">
        <v>2.05</v>
      </c>
      <c r="AU187" s="0" t="n">
        <v>9.8</v>
      </c>
    </row>
    <row r="188" customFormat="false" ht="14.25" hidden="false" customHeight="false" outlineLevel="0" collapsed="false">
      <c r="A188" s="0" t="n">
        <v>12.18</v>
      </c>
      <c r="B188" s="0" t="n">
        <v>4.03</v>
      </c>
      <c r="C188" s="0" t="n">
        <v>6.39</v>
      </c>
      <c r="D188" s="0" t="n">
        <v>9.72</v>
      </c>
      <c r="E188" s="0" t="n">
        <v>2.62</v>
      </c>
      <c r="F188" s="0" t="n">
        <v>19.75</v>
      </c>
      <c r="G188" s="0" t="n">
        <v>16.04</v>
      </c>
      <c r="H188" s="0" t="n">
        <v>2.87</v>
      </c>
      <c r="I188" s="0" t="n">
        <v>667.76</v>
      </c>
      <c r="J188" s="0" t="n">
        <v>4.47</v>
      </c>
      <c r="K188" s="0" t="n">
        <v>651.28</v>
      </c>
      <c r="L188" s="0" t="n">
        <v>645.97</v>
      </c>
      <c r="M188" s="0" t="n">
        <v>639.57</v>
      </c>
      <c r="N188" s="0" t="n">
        <v>631.51</v>
      </c>
      <c r="O188" s="0" t="n">
        <v>621.42</v>
      </c>
      <c r="P188" s="0" t="n">
        <v>613.4</v>
      </c>
      <c r="R188" s="0" t="n">
        <v>5.24</v>
      </c>
      <c r="S188" s="0" t="n">
        <v>4.85</v>
      </c>
      <c r="T188" s="0" t="n">
        <v>4.77</v>
      </c>
      <c r="U188" s="0" t="n">
        <v>4.52</v>
      </c>
      <c r="V188" s="0" t="n">
        <v>4.72</v>
      </c>
      <c r="W188" s="0" t="n">
        <v>3.96</v>
      </c>
      <c r="X188" s="0" t="n">
        <v>3.94</v>
      </c>
      <c r="Y188" s="0" t="n">
        <v>1.54</v>
      </c>
      <c r="AB188" s="0" t="n">
        <v>3.78</v>
      </c>
      <c r="AC188" s="0" t="n">
        <v>4.74</v>
      </c>
      <c r="AD188" s="0" t="n">
        <v>13.7</v>
      </c>
      <c r="AE188" s="0" t="n">
        <v>13.91</v>
      </c>
      <c r="AF188" s="0" t="n">
        <v>2.76</v>
      </c>
      <c r="AG188" s="0" t="n">
        <v>-1.06</v>
      </c>
      <c r="AH188" s="0" t="n">
        <v>12.64</v>
      </c>
      <c r="AI188" s="0" t="n">
        <v>14.95</v>
      </c>
      <c r="AJ188" s="0" t="n">
        <v>7.97</v>
      </c>
      <c r="AK188" s="0" t="n">
        <v>6.84</v>
      </c>
      <c r="AL188" s="0" t="n">
        <v>8.96</v>
      </c>
      <c r="AM188" s="0" t="n">
        <v>10.15</v>
      </c>
      <c r="AN188" s="0" t="n">
        <v>11.19</v>
      </c>
      <c r="AP188" s="0" t="n">
        <v>10.84</v>
      </c>
      <c r="AQ188" s="0" t="n">
        <v>6.63</v>
      </c>
      <c r="AR188" s="0" t="n">
        <v>4.9</v>
      </c>
      <c r="AS188" s="0" t="n">
        <v>4.35</v>
      </c>
      <c r="AT188" s="0" t="n">
        <v>2.07</v>
      </c>
      <c r="AU188" s="0" t="n">
        <v>9.77</v>
      </c>
    </row>
    <row r="189" customFormat="false" ht="14.25" hidden="false" customHeight="false" outlineLevel="0" collapsed="false">
      <c r="A189" s="0" t="n">
        <v>12.18</v>
      </c>
      <c r="B189" s="0" t="n">
        <v>4.01</v>
      </c>
      <c r="C189" s="0" t="n">
        <v>6.39</v>
      </c>
      <c r="D189" s="0" t="n">
        <v>9.71</v>
      </c>
      <c r="E189" s="0" t="n">
        <v>2.62</v>
      </c>
      <c r="F189" s="0" t="n">
        <v>19.75</v>
      </c>
      <c r="G189" s="0" t="n">
        <v>16.03</v>
      </c>
      <c r="H189" s="0" t="n">
        <v>2.87</v>
      </c>
      <c r="I189" s="0" t="n">
        <v>667.75</v>
      </c>
      <c r="J189" s="0" t="n">
        <v>4.47</v>
      </c>
      <c r="K189" s="0" t="n">
        <v>651.28</v>
      </c>
      <c r="L189" s="0" t="n">
        <v>645.98</v>
      </c>
      <c r="M189" s="0" t="n">
        <v>639.56</v>
      </c>
      <c r="N189" s="0" t="n">
        <v>631.51</v>
      </c>
      <c r="O189" s="0" t="n">
        <v>621.43</v>
      </c>
      <c r="P189" s="0" t="n">
        <v>613.34</v>
      </c>
      <c r="R189" s="0" t="n">
        <v>5.27</v>
      </c>
      <c r="S189" s="0" t="n">
        <v>4.85</v>
      </c>
      <c r="T189" s="0" t="n">
        <v>4.77</v>
      </c>
      <c r="U189" s="0" t="n">
        <v>4.52</v>
      </c>
      <c r="V189" s="0" t="n">
        <v>4.72</v>
      </c>
      <c r="W189" s="0" t="n">
        <v>3.96</v>
      </c>
      <c r="X189" s="0" t="n">
        <v>3.94</v>
      </c>
      <c r="Y189" s="0" t="n">
        <v>1.54</v>
      </c>
      <c r="AB189" s="0" t="n">
        <v>3.79</v>
      </c>
      <c r="AC189" s="0" t="n">
        <v>4.74</v>
      </c>
      <c r="AD189" s="0" t="n">
        <v>13.71</v>
      </c>
      <c r="AE189" s="0" t="n">
        <v>13.93</v>
      </c>
      <c r="AF189" s="0" t="n">
        <v>2.75</v>
      </c>
      <c r="AG189" s="0" t="n">
        <v>-1.14</v>
      </c>
      <c r="AH189" s="0" t="n">
        <v>12.64</v>
      </c>
      <c r="AI189" s="0" t="n">
        <v>14.95</v>
      </c>
      <c r="AJ189" s="0" t="n">
        <v>7.96</v>
      </c>
      <c r="AK189" s="0" t="n">
        <v>6.83</v>
      </c>
      <c r="AL189" s="0" t="n">
        <v>8.98</v>
      </c>
      <c r="AM189" s="0" t="n">
        <v>10.17</v>
      </c>
      <c r="AN189" s="0" t="n">
        <v>11.22</v>
      </c>
      <c r="AP189" s="0" t="n">
        <v>10.82</v>
      </c>
      <c r="AQ189" s="0" t="n">
        <v>6.65</v>
      </c>
      <c r="AR189" s="0" t="n">
        <v>4.95</v>
      </c>
      <c r="AS189" s="0" t="n">
        <v>4.35</v>
      </c>
      <c r="AT189" s="0" t="n">
        <v>2.07</v>
      </c>
      <c r="AU189" s="0" t="n">
        <v>9.79</v>
      </c>
    </row>
    <row r="190" customFormat="false" ht="14.25" hidden="false" customHeight="false" outlineLevel="0" collapsed="false">
      <c r="A190" s="0" t="n">
        <v>12.18</v>
      </c>
      <c r="B190" s="0" t="n">
        <v>4.01</v>
      </c>
      <c r="C190" s="0" t="n">
        <v>6.38</v>
      </c>
      <c r="D190" s="0" t="n">
        <v>9.68</v>
      </c>
      <c r="E190" s="0" t="n">
        <v>2.6</v>
      </c>
      <c r="F190" s="0" t="n">
        <v>19.73</v>
      </c>
      <c r="G190" s="0" t="n">
        <v>16.02</v>
      </c>
      <c r="H190" s="0" t="n">
        <v>2.83</v>
      </c>
      <c r="I190" s="0" t="n">
        <v>667.76</v>
      </c>
      <c r="J190" s="0" t="n">
        <v>4.47</v>
      </c>
      <c r="K190" s="0" t="n">
        <v>651.29</v>
      </c>
      <c r="L190" s="0" t="n">
        <v>645.99</v>
      </c>
      <c r="M190" s="0" t="n">
        <v>639.58</v>
      </c>
      <c r="N190" s="0" t="n">
        <v>631.53</v>
      </c>
      <c r="O190" s="0" t="n">
        <v>621.45</v>
      </c>
      <c r="P190" s="0" t="n">
        <v>613.35</v>
      </c>
      <c r="R190" s="0" t="n">
        <v>5.26</v>
      </c>
      <c r="S190" s="0" t="n">
        <v>4.87</v>
      </c>
      <c r="T190" s="0" t="n">
        <v>4.76</v>
      </c>
      <c r="U190" s="0" t="n">
        <v>4.52</v>
      </c>
      <c r="V190" s="0" t="n">
        <v>4.72</v>
      </c>
      <c r="W190" s="0" t="n">
        <v>3.96</v>
      </c>
      <c r="X190" s="0" t="n">
        <v>3.94</v>
      </c>
      <c r="Y190" s="0" t="n">
        <v>1.54</v>
      </c>
      <c r="AB190" s="0" t="n">
        <v>3.74</v>
      </c>
      <c r="AC190" s="0" t="n">
        <v>4.75</v>
      </c>
      <c r="AD190" s="0" t="n">
        <v>13.7</v>
      </c>
      <c r="AE190" s="0" t="n">
        <v>13.92</v>
      </c>
      <c r="AF190" s="0" t="n">
        <v>2.79</v>
      </c>
      <c r="AG190" s="0" t="n">
        <v>-1.12</v>
      </c>
      <c r="AH190" s="0" t="n">
        <v>12.64</v>
      </c>
      <c r="AI190" s="0" t="n">
        <v>14.95</v>
      </c>
      <c r="AJ190" s="0" t="n">
        <v>7.96</v>
      </c>
      <c r="AK190" s="0" t="n">
        <v>6.83</v>
      </c>
      <c r="AL190" s="0" t="n">
        <v>8.97</v>
      </c>
      <c r="AM190" s="0" t="n">
        <v>10.1</v>
      </c>
      <c r="AN190" s="0" t="n">
        <v>11.19</v>
      </c>
      <c r="AP190" s="0" t="n">
        <v>10.83</v>
      </c>
      <c r="AQ190" s="0" t="n">
        <v>6.65</v>
      </c>
      <c r="AR190" s="0" t="n">
        <v>4.93</v>
      </c>
      <c r="AS190" s="0" t="n">
        <v>4.39</v>
      </c>
      <c r="AT190" s="0" t="n">
        <v>2.08</v>
      </c>
      <c r="AU190" s="0" t="n">
        <v>9.8</v>
      </c>
    </row>
    <row r="191" customFormat="false" ht="14.25" hidden="false" customHeight="false" outlineLevel="0" collapsed="false">
      <c r="A191" s="0" t="n">
        <v>12.19</v>
      </c>
      <c r="B191" s="0" t="n">
        <v>4.01</v>
      </c>
      <c r="C191" s="0" t="n">
        <v>6.37</v>
      </c>
      <c r="D191" s="0" t="n">
        <v>9.75</v>
      </c>
      <c r="E191" s="0" t="n">
        <v>2.6</v>
      </c>
      <c r="F191" s="0" t="n">
        <v>19.73</v>
      </c>
      <c r="G191" s="0" t="n">
        <v>16</v>
      </c>
      <c r="H191" s="0" t="n">
        <v>2.87</v>
      </c>
      <c r="I191" s="0" t="n">
        <v>667.76</v>
      </c>
      <c r="J191" s="0" t="n">
        <v>4.51</v>
      </c>
      <c r="K191" s="0" t="n">
        <v>651.29</v>
      </c>
      <c r="L191" s="0" t="n">
        <v>645.99</v>
      </c>
      <c r="M191" s="0" t="n">
        <v>639.59</v>
      </c>
      <c r="N191" s="0" t="n">
        <v>631.59</v>
      </c>
      <c r="O191" s="0" t="n">
        <v>621.47</v>
      </c>
      <c r="P191" s="0" t="n">
        <v>613.37</v>
      </c>
      <c r="R191" s="0" t="n">
        <v>5.28</v>
      </c>
      <c r="S191" s="0" t="n">
        <v>4.85</v>
      </c>
      <c r="T191" s="0" t="n">
        <v>4.76</v>
      </c>
      <c r="U191" s="0" t="n">
        <v>4.53</v>
      </c>
      <c r="V191" s="0" t="n">
        <v>4.72</v>
      </c>
      <c r="W191" s="0" t="n">
        <v>3.97</v>
      </c>
      <c r="X191" s="0" t="n">
        <v>3.94</v>
      </c>
      <c r="Y191" s="0" t="n">
        <v>1.55</v>
      </c>
      <c r="AB191" s="0" t="n">
        <v>3.76</v>
      </c>
      <c r="AC191" s="0" t="n">
        <v>4.63</v>
      </c>
      <c r="AD191" s="0" t="n">
        <v>13.69</v>
      </c>
      <c r="AE191" s="0" t="n">
        <v>13.92</v>
      </c>
      <c r="AF191" s="0" t="n">
        <v>2.77</v>
      </c>
      <c r="AG191" s="0" t="n">
        <v>-1.32</v>
      </c>
      <c r="AH191" s="0" t="n">
        <v>12.64</v>
      </c>
      <c r="AI191" s="0" t="n">
        <v>14.97</v>
      </c>
      <c r="AJ191" s="0" t="n">
        <v>7.94</v>
      </c>
      <c r="AK191" s="0" t="n">
        <v>6.84</v>
      </c>
      <c r="AL191" s="0" t="n">
        <v>8.98</v>
      </c>
      <c r="AM191" s="0" t="n">
        <v>10.11</v>
      </c>
      <c r="AN191" s="0" t="n">
        <v>11.19</v>
      </c>
      <c r="AP191" s="0" t="n">
        <v>10.85</v>
      </c>
      <c r="AQ191" s="0" t="n">
        <v>6.62</v>
      </c>
      <c r="AR191" s="0" t="n">
        <v>4.94</v>
      </c>
      <c r="AS191" s="0" t="n">
        <v>4.4</v>
      </c>
      <c r="AT191" s="0" t="n">
        <v>2.06</v>
      </c>
      <c r="AU191" s="0" t="n">
        <v>9.79</v>
      </c>
    </row>
    <row r="192" customFormat="false" ht="14.25" hidden="false" customHeight="false" outlineLevel="0" collapsed="false">
      <c r="A192" s="0" t="n">
        <v>12.2</v>
      </c>
      <c r="B192" s="0" t="n">
        <v>3.99</v>
      </c>
      <c r="C192" s="0" t="n">
        <v>6.36</v>
      </c>
      <c r="D192" s="0" t="n">
        <v>9.73</v>
      </c>
      <c r="E192" s="0" t="n">
        <v>2.57</v>
      </c>
      <c r="F192" s="0" t="n">
        <v>19.73</v>
      </c>
      <c r="G192" s="0" t="n">
        <v>16</v>
      </c>
      <c r="H192" s="0" t="n">
        <v>2.86</v>
      </c>
      <c r="I192" s="0" t="n">
        <v>667.79</v>
      </c>
      <c r="J192" s="0" t="n">
        <v>4.52</v>
      </c>
      <c r="K192" s="0" t="n">
        <v>651.34</v>
      </c>
      <c r="L192" s="0" t="n">
        <v>646</v>
      </c>
      <c r="M192" s="0" t="n">
        <v>639.64</v>
      </c>
      <c r="N192" s="0" t="n">
        <v>631.59</v>
      </c>
      <c r="O192" s="0" t="n">
        <v>621.48</v>
      </c>
      <c r="P192" s="0" t="n">
        <v>613.44</v>
      </c>
      <c r="R192" s="0" t="n">
        <v>5.27</v>
      </c>
      <c r="S192" s="0" t="n">
        <v>4.85</v>
      </c>
      <c r="T192" s="0" t="n">
        <v>4.76</v>
      </c>
      <c r="U192" s="0" t="n">
        <v>4.53</v>
      </c>
      <c r="V192" s="0" t="n">
        <v>4.73</v>
      </c>
      <c r="W192" s="0" t="n">
        <v>3.97</v>
      </c>
      <c r="X192" s="0" t="n">
        <v>3.94</v>
      </c>
      <c r="Y192" s="0" t="n">
        <v>1.54</v>
      </c>
      <c r="AB192" s="0" t="n">
        <v>3.76</v>
      </c>
      <c r="AC192" s="0" t="n">
        <v>4.73</v>
      </c>
      <c r="AD192" s="0" t="n">
        <v>13.69</v>
      </c>
      <c r="AE192" s="0" t="n">
        <v>13.94</v>
      </c>
      <c r="AF192" s="0" t="n">
        <v>2.74</v>
      </c>
      <c r="AG192" s="0" t="n">
        <v>-1.39</v>
      </c>
      <c r="AH192" s="0" t="n">
        <v>12.65</v>
      </c>
      <c r="AI192" s="0" t="n">
        <v>14.97</v>
      </c>
      <c r="AJ192" s="0" t="n">
        <v>7.94</v>
      </c>
      <c r="AK192" s="0" t="n">
        <v>6.86</v>
      </c>
      <c r="AL192" s="0" t="n">
        <v>8.99</v>
      </c>
      <c r="AM192" s="0" t="n">
        <v>10.06</v>
      </c>
      <c r="AN192" s="0" t="n">
        <v>11.15</v>
      </c>
      <c r="AP192" s="0" t="n">
        <v>10.83</v>
      </c>
      <c r="AQ192" s="0" t="n">
        <v>6.63</v>
      </c>
      <c r="AR192" s="0" t="n">
        <v>4.93</v>
      </c>
      <c r="AS192" s="0" t="n">
        <v>4.4</v>
      </c>
      <c r="AT192" s="0" t="n">
        <v>2.07</v>
      </c>
      <c r="AU192" s="0" t="n">
        <v>9.76</v>
      </c>
    </row>
    <row r="193" customFormat="false" ht="14.25" hidden="false" customHeight="false" outlineLevel="0" collapsed="false">
      <c r="A193" s="0" t="n">
        <v>12.19</v>
      </c>
      <c r="B193" s="0" t="n">
        <v>3.99</v>
      </c>
      <c r="C193" s="0" t="n">
        <v>6.36</v>
      </c>
      <c r="D193" s="0" t="n">
        <v>9.7</v>
      </c>
      <c r="E193" s="0" t="n">
        <v>2.56</v>
      </c>
      <c r="F193" s="0" t="n">
        <v>19.73</v>
      </c>
      <c r="G193" s="0" t="n">
        <v>16</v>
      </c>
      <c r="H193" s="0" t="n">
        <v>2.9</v>
      </c>
      <c r="I193" s="0" t="n">
        <v>667.79</v>
      </c>
      <c r="J193" s="0" t="n">
        <v>4.53</v>
      </c>
      <c r="K193" s="0" t="n">
        <v>651.34</v>
      </c>
      <c r="L193" s="0" t="n">
        <v>646.06</v>
      </c>
      <c r="M193" s="0" t="n">
        <v>639.64</v>
      </c>
      <c r="N193" s="0" t="n">
        <v>631.59</v>
      </c>
      <c r="O193" s="0" t="n">
        <v>621.58</v>
      </c>
      <c r="P193" s="0" t="n">
        <v>613.45</v>
      </c>
      <c r="R193" s="0" t="n">
        <v>5.27</v>
      </c>
      <c r="S193" s="0" t="n">
        <v>4.86</v>
      </c>
      <c r="T193" s="0" t="n">
        <v>4.76</v>
      </c>
      <c r="U193" s="0" t="n">
        <v>4.51</v>
      </c>
      <c r="V193" s="0" t="n">
        <v>4.73</v>
      </c>
      <c r="W193" s="0" t="n">
        <v>3.97</v>
      </c>
      <c r="X193" s="0" t="n">
        <v>3.94</v>
      </c>
      <c r="Y193" s="0" t="n">
        <v>1.55</v>
      </c>
      <c r="AB193" s="0" t="n">
        <v>3.83</v>
      </c>
      <c r="AC193" s="0" t="n">
        <v>4.73</v>
      </c>
      <c r="AD193" s="0" t="n">
        <v>13.69</v>
      </c>
      <c r="AE193" s="0" t="n">
        <v>13.92</v>
      </c>
      <c r="AF193" s="0" t="n">
        <v>2.72</v>
      </c>
      <c r="AG193" s="0" t="n">
        <v>-1.39</v>
      </c>
      <c r="AH193" s="0" t="n">
        <v>12.64</v>
      </c>
      <c r="AI193" s="0" t="n">
        <v>14.98</v>
      </c>
      <c r="AJ193" s="0" t="n">
        <v>7.93</v>
      </c>
      <c r="AK193" s="0" t="n">
        <v>6.86</v>
      </c>
      <c r="AL193" s="0" t="n">
        <v>9</v>
      </c>
      <c r="AM193" s="0" t="n">
        <v>10.1</v>
      </c>
      <c r="AN193" s="0" t="n">
        <v>11.13</v>
      </c>
      <c r="AP193" s="0" t="n">
        <v>10.84</v>
      </c>
      <c r="AQ193" s="0" t="n">
        <v>6.61</v>
      </c>
      <c r="AR193" s="0" t="n">
        <v>4.91</v>
      </c>
      <c r="AS193" s="0" t="n">
        <v>4.38</v>
      </c>
      <c r="AT193" s="0" t="n">
        <v>2.06</v>
      </c>
      <c r="AU193" s="0" t="n">
        <v>9.78</v>
      </c>
    </row>
    <row r="194" customFormat="false" ht="14.25" hidden="false" customHeight="false" outlineLevel="0" collapsed="false">
      <c r="A194" s="0" t="n">
        <v>12.19</v>
      </c>
      <c r="B194" s="0" t="n">
        <v>3.98</v>
      </c>
      <c r="C194" s="0" t="n">
        <v>6.36</v>
      </c>
      <c r="D194" s="0" t="n">
        <v>9.72</v>
      </c>
      <c r="E194" s="0" t="n">
        <v>2.53</v>
      </c>
      <c r="F194" s="0" t="n">
        <v>19.71</v>
      </c>
      <c r="G194" s="0" t="n">
        <v>16</v>
      </c>
      <c r="H194" s="0" t="n">
        <v>2.89</v>
      </c>
      <c r="I194" s="0" t="n">
        <v>667.81</v>
      </c>
      <c r="J194" s="0" t="n">
        <v>4.53</v>
      </c>
      <c r="K194" s="0" t="n">
        <v>651.35</v>
      </c>
      <c r="L194" s="0" t="n">
        <v>646.12</v>
      </c>
      <c r="M194" s="0" t="n">
        <v>639.63</v>
      </c>
      <c r="N194" s="0" t="n">
        <v>631.6</v>
      </c>
      <c r="O194" s="0" t="n">
        <v>621.6</v>
      </c>
      <c r="P194" s="0" t="n">
        <v>613.44</v>
      </c>
      <c r="R194" s="0" t="n">
        <v>5.27</v>
      </c>
      <c r="S194" s="0" t="n">
        <v>4.85</v>
      </c>
      <c r="T194" s="0" t="n">
        <v>4.76</v>
      </c>
      <c r="U194" s="0" t="n">
        <v>4.52</v>
      </c>
      <c r="V194" s="0" t="n">
        <v>4.72</v>
      </c>
      <c r="W194" s="0" t="n">
        <v>3.97</v>
      </c>
      <c r="X194" s="0" t="n">
        <v>3.95</v>
      </c>
      <c r="Y194" s="0" t="n">
        <v>1.54</v>
      </c>
      <c r="AB194" s="0" t="n">
        <v>3.82</v>
      </c>
      <c r="AC194" s="0" t="n">
        <v>4.75</v>
      </c>
      <c r="AD194" s="0" t="n">
        <v>13.7</v>
      </c>
      <c r="AE194" s="0" t="n">
        <v>13.91</v>
      </c>
      <c r="AF194" s="0" t="n">
        <v>2.72</v>
      </c>
      <c r="AG194" s="0" t="n">
        <v>-1.48</v>
      </c>
      <c r="AH194" s="0" t="n">
        <v>12.65</v>
      </c>
      <c r="AI194" s="0" t="n">
        <v>14.97</v>
      </c>
      <c r="AJ194" s="0" t="n">
        <v>7.93</v>
      </c>
      <c r="AK194" s="0" t="n">
        <v>6.86</v>
      </c>
      <c r="AL194" s="0" t="n">
        <v>9.02</v>
      </c>
      <c r="AM194" s="0" t="n">
        <v>10.15</v>
      </c>
      <c r="AN194" s="0" t="n">
        <v>11.08</v>
      </c>
      <c r="AP194" s="0" t="n">
        <v>10.83</v>
      </c>
      <c r="AQ194" s="0" t="n">
        <v>6.57</v>
      </c>
      <c r="AR194" s="0" t="n">
        <v>4.92</v>
      </c>
      <c r="AS194" s="0" t="n">
        <v>4.35</v>
      </c>
      <c r="AT194" s="0" t="n">
        <v>2.08</v>
      </c>
      <c r="AU194" s="0" t="n">
        <v>9.76</v>
      </c>
    </row>
    <row r="195" customFormat="false" ht="14.25" hidden="false" customHeight="false" outlineLevel="0" collapsed="false">
      <c r="A195" s="0" t="n">
        <v>12.18</v>
      </c>
      <c r="B195" s="0" t="n">
        <v>4</v>
      </c>
      <c r="C195" s="0" t="n">
        <v>6.36</v>
      </c>
      <c r="D195" s="0" t="n">
        <v>9.7</v>
      </c>
      <c r="E195" s="0" t="n">
        <v>2.5</v>
      </c>
      <c r="F195" s="0" t="n">
        <v>19.71</v>
      </c>
      <c r="G195" s="0" t="n">
        <v>16</v>
      </c>
      <c r="H195" s="0" t="n">
        <v>2.89</v>
      </c>
      <c r="I195" s="0" t="n">
        <v>667.85</v>
      </c>
      <c r="J195" s="0" t="n">
        <v>4.53</v>
      </c>
      <c r="K195" s="0" t="n">
        <v>651.35</v>
      </c>
      <c r="L195" s="0" t="n">
        <v>646.06</v>
      </c>
      <c r="M195" s="0" t="n">
        <v>639.65</v>
      </c>
      <c r="N195" s="0" t="n">
        <v>631.61</v>
      </c>
      <c r="O195" s="0" t="n">
        <v>621.57</v>
      </c>
      <c r="P195" s="0" t="n">
        <v>613.44</v>
      </c>
      <c r="R195" s="0" t="n">
        <v>5.27</v>
      </c>
      <c r="S195" s="0" t="n">
        <v>4.84</v>
      </c>
      <c r="T195" s="0" t="n">
        <v>4.76</v>
      </c>
      <c r="U195" s="0" t="n">
        <v>4.52</v>
      </c>
      <c r="V195" s="0" t="n">
        <v>4.73</v>
      </c>
      <c r="W195" s="0" t="n">
        <v>3.97</v>
      </c>
      <c r="X195" s="0" t="n">
        <v>3.94</v>
      </c>
      <c r="Y195" s="0" t="n">
        <v>1.55</v>
      </c>
      <c r="AB195" s="0" t="n">
        <v>3.77</v>
      </c>
      <c r="AC195" s="0" t="n">
        <v>4.73</v>
      </c>
      <c r="AD195" s="0" t="n">
        <v>13.69</v>
      </c>
      <c r="AE195" s="0" t="n">
        <v>13.92</v>
      </c>
      <c r="AF195" s="0" t="n">
        <v>2.74</v>
      </c>
      <c r="AG195" s="0" t="n">
        <v>-1.57</v>
      </c>
      <c r="AH195" s="0" t="n">
        <v>12.65</v>
      </c>
      <c r="AI195" s="0" t="n">
        <v>14.98</v>
      </c>
      <c r="AJ195" s="0" t="n">
        <v>7.93</v>
      </c>
      <c r="AK195" s="0" t="n">
        <v>6.84</v>
      </c>
      <c r="AL195" s="0" t="n">
        <v>9</v>
      </c>
      <c r="AM195" s="0" t="n">
        <v>10.14</v>
      </c>
      <c r="AN195" s="0" t="n">
        <v>11.08</v>
      </c>
      <c r="AP195" s="0" t="n">
        <v>10.81</v>
      </c>
      <c r="AQ195" s="0" t="n">
        <v>6.6</v>
      </c>
      <c r="AR195" s="0" t="n">
        <v>4.92</v>
      </c>
      <c r="AS195" s="0" t="n">
        <v>4.33</v>
      </c>
      <c r="AT195" s="0" t="n">
        <v>2.08</v>
      </c>
      <c r="AU195" s="0" t="n">
        <v>9.75</v>
      </c>
    </row>
    <row r="196" customFormat="false" ht="14.25" hidden="false" customHeight="false" outlineLevel="0" collapsed="false">
      <c r="A196" s="0" t="n">
        <v>12.18</v>
      </c>
      <c r="B196" s="0" t="n">
        <v>3.97</v>
      </c>
      <c r="C196" s="0" t="n">
        <v>6.35</v>
      </c>
      <c r="D196" s="0" t="n">
        <v>9.7</v>
      </c>
      <c r="E196" s="0" t="n">
        <v>2.48</v>
      </c>
      <c r="F196" s="0" t="n">
        <v>19.72</v>
      </c>
      <c r="G196" s="0" t="n">
        <v>15.99</v>
      </c>
      <c r="H196" s="0" t="n">
        <v>2.89</v>
      </c>
      <c r="I196" s="0" t="n">
        <v>667.85</v>
      </c>
      <c r="J196" s="0" t="n">
        <v>4.53</v>
      </c>
      <c r="K196" s="0" t="n">
        <v>651.35</v>
      </c>
      <c r="L196" s="0" t="n">
        <v>646.06</v>
      </c>
      <c r="M196" s="0" t="n">
        <v>639.66</v>
      </c>
      <c r="N196" s="0" t="n">
        <v>631.61</v>
      </c>
      <c r="O196" s="0" t="n">
        <v>621.58</v>
      </c>
      <c r="P196" s="0" t="n">
        <v>613.44</v>
      </c>
      <c r="R196" s="0" t="n">
        <v>5.27</v>
      </c>
      <c r="S196" s="0" t="n">
        <v>4.86</v>
      </c>
      <c r="T196" s="0" t="n">
        <v>4.76</v>
      </c>
      <c r="U196" s="0" t="n">
        <v>4.51</v>
      </c>
      <c r="V196" s="0" t="n">
        <v>4.73</v>
      </c>
      <c r="W196" s="0" t="n">
        <v>3.98</v>
      </c>
      <c r="X196" s="0" t="n">
        <v>3.95</v>
      </c>
      <c r="Y196" s="0" t="n">
        <v>1.58</v>
      </c>
      <c r="AB196" s="0" t="n">
        <v>3.79</v>
      </c>
      <c r="AC196" s="0" t="n">
        <v>4.75</v>
      </c>
      <c r="AD196" s="0" t="n">
        <v>13.69</v>
      </c>
      <c r="AE196" s="0" t="n">
        <v>13.9</v>
      </c>
      <c r="AF196" s="0" t="n">
        <v>2.72</v>
      </c>
      <c r="AG196" s="0" t="n">
        <v>-1.59</v>
      </c>
      <c r="AH196" s="0" t="n">
        <v>12.66</v>
      </c>
      <c r="AI196" s="0" t="n">
        <v>14.98</v>
      </c>
      <c r="AJ196" s="0" t="n">
        <v>7.93</v>
      </c>
      <c r="AK196" s="0" t="n">
        <v>6.87</v>
      </c>
      <c r="AL196" s="0" t="n">
        <v>9.01</v>
      </c>
      <c r="AM196" s="0" t="n">
        <v>10.06</v>
      </c>
      <c r="AN196" s="0" t="n">
        <v>11.07</v>
      </c>
      <c r="AP196" s="0" t="n">
        <v>10.8</v>
      </c>
      <c r="AQ196" s="0" t="n">
        <v>6.61</v>
      </c>
      <c r="AR196" s="0" t="n">
        <v>4.92</v>
      </c>
      <c r="AS196" s="0" t="n">
        <v>4.32</v>
      </c>
      <c r="AT196" s="0" t="n">
        <v>2.08</v>
      </c>
      <c r="AU196" s="0" t="n">
        <v>9.74</v>
      </c>
    </row>
    <row r="197" customFormat="false" ht="14.25" hidden="false" customHeight="false" outlineLevel="0" collapsed="false">
      <c r="A197" s="0" t="n">
        <v>12.19</v>
      </c>
      <c r="B197" s="0" t="n">
        <v>3.97</v>
      </c>
      <c r="C197" s="0" t="n">
        <v>6.35</v>
      </c>
      <c r="D197" s="0" t="n">
        <v>9.65</v>
      </c>
      <c r="E197" s="0" t="n">
        <v>2.48</v>
      </c>
      <c r="F197" s="0" t="n">
        <v>19.7</v>
      </c>
      <c r="G197" s="0" t="n">
        <v>16.02</v>
      </c>
      <c r="H197" s="0" t="n">
        <v>2.88</v>
      </c>
      <c r="I197" s="0" t="n">
        <v>667.83</v>
      </c>
      <c r="J197" s="0" t="n">
        <v>4.53</v>
      </c>
      <c r="K197" s="0" t="n">
        <v>651.35</v>
      </c>
      <c r="L197" s="0" t="n">
        <v>646.06</v>
      </c>
      <c r="M197" s="0" t="n">
        <v>639.63</v>
      </c>
      <c r="N197" s="0" t="n">
        <v>631.6</v>
      </c>
      <c r="O197" s="0" t="n">
        <v>621.58</v>
      </c>
      <c r="P197" s="0" t="n">
        <v>613.44</v>
      </c>
      <c r="R197" s="0" t="n">
        <v>5.27</v>
      </c>
      <c r="S197" s="0" t="n">
        <v>4.84</v>
      </c>
      <c r="T197" s="0" t="n">
        <v>4.76</v>
      </c>
      <c r="U197" s="0" t="n">
        <v>4.51</v>
      </c>
      <c r="V197" s="0" t="n">
        <v>4.72</v>
      </c>
      <c r="W197" s="0" t="n">
        <v>3.98</v>
      </c>
      <c r="X197" s="0" t="n">
        <v>3.94</v>
      </c>
      <c r="Y197" s="0" t="n">
        <v>1.58</v>
      </c>
      <c r="AB197" s="0" t="n">
        <v>3.79</v>
      </c>
      <c r="AC197" s="0" t="n">
        <v>4.75</v>
      </c>
      <c r="AD197" s="0" t="n">
        <v>13.69</v>
      </c>
      <c r="AE197" s="0" t="n">
        <v>13.9</v>
      </c>
      <c r="AF197" s="0" t="n">
        <v>2.64</v>
      </c>
      <c r="AG197" s="0" t="n">
        <v>-1.75</v>
      </c>
      <c r="AH197" s="0" t="n">
        <v>12.66</v>
      </c>
      <c r="AI197" s="0" t="n">
        <v>14.98</v>
      </c>
      <c r="AJ197" s="0" t="n">
        <v>7.92</v>
      </c>
      <c r="AK197" s="0" t="n">
        <v>6.87</v>
      </c>
      <c r="AL197" s="0" t="n">
        <v>9.05</v>
      </c>
      <c r="AM197" s="0" t="n">
        <v>10.16</v>
      </c>
      <c r="AN197" s="0" t="n">
        <v>11.19</v>
      </c>
      <c r="AP197" s="0" t="n">
        <v>10.8</v>
      </c>
      <c r="AQ197" s="0" t="n">
        <v>6.6</v>
      </c>
      <c r="AR197" s="0" t="n">
        <v>4.94</v>
      </c>
      <c r="AS197" s="0" t="n">
        <v>4.33</v>
      </c>
      <c r="AT197" s="0" t="n">
        <v>2.08</v>
      </c>
      <c r="AU197" s="0" t="n">
        <v>9.75</v>
      </c>
    </row>
    <row r="198" customFormat="false" ht="14.25" hidden="false" customHeight="false" outlineLevel="0" collapsed="false">
      <c r="A198" s="0" t="n">
        <v>12.18</v>
      </c>
      <c r="B198" s="0" t="n">
        <v>3.96</v>
      </c>
      <c r="C198" s="0" t="n">
        <v>6.34</v>
      </c>
      <c r="D198" s="0" t="n">
        <v>9.66</v>
      </c>
      <c r="E198" s="0" t="n">
        <v>2.5</v>
      </c>
      <c r="F198" s="0" t="n">
        <v>19.69</v>
      </c>
      <c r="G198" s="0" t="n">
        <v>16.01</v>
      </c>
      <c r="H198" s="0" t="n">
        <v>2.91</v>
      </c>
      <c r="I198" s="0" t="n">
        <v>667.83</v>
      </c>
      <c r="J198" s="0" t="n">
        <v>4.53</v>
      </c>
      <c r="K198" s="0" t="n">
        <v>651.35</v>
      </c>
      <c r="L198" s="0" t="n">
        <v>646.06</v>
      </c>
      <c r="M198" s="0" t="n">
        <v>639.63</v>
      </c>
      <c r="N198" s="0" t="n">
        <v>631.6</v>
      </c>
      <c r="O198" s="0" t="n">
        <v>621.58</v>
      </c>
      <c r="P198" s="0" t="n">
        <v>613.4</v>
      </c>
      <c r="R198" s="0" t="n">
        <v>5.28</v>
      </c>
      <c r="S198" s="0" t="n">
        <v>4.87</v>
      </c>
      <c r="T198" s="0" t="n">
        <v>4.75</v>
      </c>
      <c r="U198" s="0" t="n">
        <v>4.52</v>
      </c>
      <c r="V198" s="0" t="n">
        <v>4.74</v>
      </c>
      <c r="W198" s="0" t="n">
        <v>3.96</v>
      </c>
      <c r="X198" s="0" t="n">
        <v>3.95</v>
      </c>
      <c r="Y198" s="0" t="n">
        <v>1.59</v>
      </c>
      <c r="AB198" s="0" t="n">
        <v>3.78</v>
      </c>
      <c r="AC198" s="0" t="n">
        <v>4.75</v>
      </c>
      <c r="AD198" s="0" t="n">
        <v>13.69</v>
      </c>
      <c r="AE198" s="0" t="n">
        <v>13.9</v>
      </c>
      <c r="AF198" s="0" t="n">
        <v>2.61</v>
      </c>
      <c r="AG198" s="0" t="n">
        <v>-1.75</v>
      </c>
      <c r="AH198" s="0" t="n">
        <v>12.66</v>
      </c>
      <c r="AI198" s="0" t="n">
        <v>14.98</v>
      </c>
      <c r="AJ198" s="0" t="n">
        <v>7.91</v>
      </c>
      <c r="AK198" s="0" t="n">
        <v>6.87</v>
      </c>
      <c r="AL198" s="0" t="n">
        <v>9.01</v>
      </c>
      <c r="AM198" s="0" t="n">
        <v>10.24</v>
      </c>
      <c r="AN198" s="0" t="n">
        <v>11.18</v>
      </c>
      <c r="AP198" s="0" t="n">
        <v>10.74</v>
      </c>
      <c r="AQ198" s="0" t="n">
        <v>6.58</v>
      </c>
      <c r="AR198" s="0" t="n">
        <v>4.93</v>
      </c>
      <c r="AS198" s="0" t="n">
        <v>4.38</v>
      </c>
      <c r="AT198" s="0" t="n">
        <v>2.08</v>
      </c>
      <c r="AU198" s="0" t="n">
        <v>9.76</v>
      </c>
    </row>
    <row r="199" customFormat="false" ht="14.25" hidden="false" customHeight="false" outlineLevel="0" collapsed="false">
      <c r="A199" s="0" t="n">
        <v>12.18</v>
      </c>
      <c r="B199" s="0" t="n">
        <v>3.96</v>
      </c>
      <c r="C199" s="0" t="n">
        <v>6.34</v>
      </c>
      <c r="D199" s="0" t="n">
        <v>9.73</v>
      </c>
      <c r="E199" s="0" t="n">
        <v>2.46</v>
      </c>
      <c r="F199" s="0" t="n">
        <v>19.67</v>
      </c>
      <c r="G199" s="0" t="n">
        <v>15.99</v>
      </c>
      <c r="H199" s="0" t="n">
        <v>2.9</v>
      </c>
      <c r="I199" s="0" t="n">
        <v>667.85</v>
      </c>
      <c r="J199" s="0" t="n">
        <v>4.54</v>
      </c>
      <c r="K199" s="0" t="n">
        <v>651.36</v>
      </c>
      <c r="L199" s="0" t="n">
        <v>646.07</v>
      </c>
      <c r="M199" s="0" t="n">
        <v>639.63</v>
      </c>
      <c r="N199" s="0" t="n">
        <v>631.6</v>
      </c>
      <c r="O199" s="0" t="n">
        <v>621.58</v>
      </c>
      <c r="P199" s="0" t="n">
        <v>613.42</v>
      </c>
      <c r="R199" s="0" t="n">
        <v>5.28</v>
      </c>
      <c r="S199" s="0" t="n">
        <v>4.86</v>
      </c>
      <c r="T199" s="0" t="n">
        <v>4.76</v>
      </c>
      <c r="U199" s="0" t="n">
        <v>4.52</v>
      </c>
      <c r="V199" s="0" t="n">
        <v>4.74</v>
      </c>
      <c r="W199" s="0" t="n">
        <v>4.01</v>
      </c>
      <c r="X199" s="0" t="n">
        <v>3.92</v>
      </c>
      <c r="Y199" s="0" t="n">
        <v>1.56</v>
      </c>
      <c r="AB199" s="0" t="n">
        <v>3.86</v>
      </c>
      <c r="AC199" s="0" t="n">
        <v>4.76</v>
      </c>
      <c r="AD199" s="0" t="n">
        <v>13.69</v>
      </c>
      <c r="AE199" s="0" t="n">
        <v>13.87</v>
      </c>
      <c r="AF199" s="0" t="n">
        <v>2.65</v>
      </c>
      <c r="AG199" s="0" t="n">
        <v>-1.86</v>
      </c>
      <c r="AH199" s="0" t="n">
        <v>12.66</v>
      </c>
      <c r="AI199" s="0" t="n">
        <v>14.98</v>
      </c>
      <c r="AJ199" s="0" t="n">
        <v>7.91</v>
      </c>
      <c r="AK199" s="0" t="n">
        <v>6.88</v>
      </c>
      <c r="AL199" s="0" t="n">
        <v>9.06</v>
      </c>
      <c r="AM199" s="0" t="n">
        <v>10.18</v>
      </c>
      <c r="AN199" s="0" t="n">
        <v>11.1</v>
      </c>
      <c r="AP199" s="0" t="n">
        <v>10.76</v>
      </c>
      <c r="AQ199" s="0" t="n">
        <v>6.56</v>
      </c>
      <c r="AR199" s="0" t="n">
        <v>4.9</v>
      </c>
      <c r="AS199" s="0" t="n">
        <v>4.34</v>
      </c>
      <c r="AT199" s="0" t="n">
        <v>2.06</v>
      </c>
      <c r="AU199" s="0" t="n">
        <v>9.74</v>
      </c>
    </row>
    <row r="200" customFormat="false" ht="14.25" hidden="false" customHeight="false" outlineLevel="0" collapsed="false">
      <c r="A200" s="0" t="n">
        <v>12.19</v>
      </c>
      <c r="B200" s="0" t="n">
        <v>3.95</v>
      </c>
      <c r="C200" s="0" t="n">
        <v>6.35</v>
      </c>
      <c r="D200" s="0" t="n">
        <v>9.76</v>
      </c>
      <c r="E200" s="0" t="n">
        <v>2.45</v>
      </c>
      <c r="F200" s="0" t="n">
        <v>19.68</v>
      </c>
      <c r="G200" s="0" t="n">
        <v>15.97</v>
      </c>
      <c r="H200" s="0" t="n">
        <v>2.83</v>
      </c>
      <c r="I200" s="0" t="n">
        <v>667.87</v>
      </c>
      <c r="J200" s="0" t="n">
        <v>4.54</v>
      </c>
      <c r="K200" s="0" t="n">
        <v>651.35</v>
      </c>
      <c r="L200" s="0" t="n">
        <v>646.06</v>
      </c>
      <c r="M200" s="0" t="n">
        <v>639.63</v>
      </c>
      <c r="N200" s="0" t="n">
        <v>631.59</v>
      </c>
      <c r="O200" s="0" t="n">
        <v>621.58</v>
      </c>
      <c r="P200" s="0" t="n">
        <v>613.38</v>
      </c>
      <c r="R200" s="0" t="n">
        <v>5.27</v>
      </c>
      <c r="S200" s="0" t="n">
        <v>4.87</v>
      </c>
      <c r="T200" s="0" t="n">
        <v>4.75</v>
      </c>
      <c r="U200" s="0" t="n">
        <v>4.52</v>
      </c>
      <c r="V200" s="0" t="n">
        <v>4.73</v>
      </c>
      <c r="W200" s="0" t="n">
        <v>3.89</v>
      </c>
      <c r="X200" s="0" t="n">
        <v>3.93</v>
      </c>
      <c r="Y200" s="0" t="n">
        <v>1.6</v>
      </c>
      <c r="AB200" s="0" t="n">
        <v>3.85</v>
      </c>
      <c r="AC200" s="0" t="n">
        <v>4.76</v>
      </c>
      <c r="AD200" s="0" t="n">
        <v>13.68</v>
      </c>
      <c r="AE200" s="0" t="n">
        <v>13.87</v>
      </c>
      <c r="AF200" s="0" t="n">
        <v>2.49</v>
      </c>
      <c r="AG200" s="0" t="n">
        <v>-1.86</v>
      </c>
      <c r="AH200" s="0" t="n">
        <v>12.66</v>
      </c>
      <c r="AI200" s="0" t="n">
        <v>14.98</v>
      </c>
      <c r="AJ200" s="0" t="n">
        <v>7.91</v>
      </c>
      <c r="AK200" s="0" t="n">
        <v>6.88</v>
      </c>
      <c r="AL200" s="0" t="n">
        <v>9.05</v>
      </c>
      <c r="AM200" s="0" t="n">
        <v>10.12</v>
      </c>
      <c r="AN200" s="0" t="n">
        <v>11.03</v>
      </c>
      <c r="AP200" s="0" t="n">
        <v>10.79</v>
      </c>
      <c r="AQ200" s="0" t="n">
        <v>6.55</v>
      </c>
      <c r="AR200" s="0" t="n">
        <v>4.92</v>
      </c>
      <c r="AS200" s="0" t="n">
        <v>4.29</v>
      </c>
      <c r="AT200" s="0" t="n">
        <v>2.09</v>
      </c>
      <c r="AU200" s="0" t="n">
        <v>9.74</v>
      </c>
    </row>
    <row r="201" customFormat="false" ht="14.25" hidden="false" customHeight="false" outlineLevel="0" collapsed="false">
      <c r="A201" s="0" t="n">
        <v>12.19</v>
      </c>
      <c r="B201" s="0" t="n">
        <v>3.95</v>
      </c>
      <c r="C201" s="0" t="n">
        <v>6.34</v>
      </c>
      <c r="D201" s="0" t="n">
        <v>9.76</v>
      </c>
      <c r="E201" s="0" t="n">
        <v>2.45</v>
      </c>
      <c r="F201" s="0" t="n">
        <v>19.65</v>
      </c>
      <c r="G201" s="0" t="n">
        <v>15.95</v>
      </c>
      <c r="H201" s="0" t="n">
        <v>2.88</v>
      </c>
      <c r="I201" s="0" t="n">
        <v>667.87</v>
      </c>
      <c r="J201" s="0" t="n">
        <v>4.54</v>
      </c>
      <c r="K201" s="0" t="n">
        <v>651.36</v>
      </c>
      <c r="L201" s="0" t="n">
        <v>646.08</v>
      </c>
      <c r="M201" s="0" t="n">
        <v>639.63</v>
      </c>
      <c r="N201" s="0" t="n">
        <v>631.57</v>
      </c>
      <c r="O201" s="0" t="n">
        <v>621.58</v>
      </c>
      <c r="P201" s="0" t="n">
        <v>613.43</v>
      </c>
      <c r="R201" s="0" t="n">
        <v>5.28</v>
      </c>
      <c r="S201" s="0" t="n">
        <v>4.84</v>
      </c>
      <c r="T201" s="0" t="n">
        <v>4.75</v>
      </c>
      <c r="U201" s="0" t="n">
        <v>4.49</v>
      </c>
      <c r="V201" s="0" t="n">
        <v>4.74</v>
      </c>
      <c r="W201" s="0" t="n">
        <v>3.99</v>
      </c>
      <c r="X201" s="0" t="n">
        <v>4</v>
      </c>
      <c r="Y201" s="0" t="n">
        <v>1.59</v>
      </c>
      <c r="AB201" s="0" t="n">
        <v>3.74</v>
      </c>
      <c r="AC201" s="0" t="n">
        <v>4.75</v>
      </c>
      <c r="AD201" s="0" t="n">
        <v>13.73</v>
      </c>
      <c r="AE201" s="0" t="n">
        <v>13.86</v>
      </c>
      <c r="AF201" s="0" t="n">
        <v>2.55</v>
      </c>
      <c r="AG201" s="0" t="n">
        <v>-1.82</v>
      </c>
      <c r="AH201" s="0" t="n">
        <v>12.67</v>
      </c>
      <c r="AI201" s="0" t="n">
        <v>14.98</v>
      </c>
      <c r="AJ201" s="0" t="n">
        <v>7.89</v>
      </c>
      <c r="AK201" s="0" t="n">
        <v>6.89</v>
      </c>
      <c r="AL201" s="0" t="n">
        <v>9.06</v>
      </c>
      <c r="AM201" s="0" t="n">
        <v>10.15</v>
      </c>
      <c r="AN201" s="0" t="n">
        <v>11.14</v>
      </c>
      <c r="AP201" s="0" t="n">
        <v>10.78</v>
      </c>
      <c r="AQ201" s="0" t="n">
        <v>6.55</v>
      </c>
      <c r="AR201" s="0" t="n">
        <v>4.93</v>
      </c>
      <c r="AS201" s="0" t="n">
        <v>4.31</v>
      </c>
      <c r="AT201" s="0" t="n">
        <v>2.09</v>
      </c>
      <c r="AU201" s="0" t="n">
        <v>9.73</v>
      </c>
    </row>
    <row r="202" customFormat="false" ht="14.25" hidden="false" customHeight="false" outlineLevel="0" collapsed="false">
      <c r="A202" s="0" t="n">
        <v>12.18</v>
      </c>
      <c r="B202" s="0" t="n">
        <v>3.94</v>
      </c>
      <c r="C202" s="0" t="n">
        <v>6.33</v>
      </c>
      <c r="D202" s="0" t="n">
        <v>9.69</v>
      </c>
      <c r="E202" s="0" t="n">
        <v>2.44</v>
      </c>
      <c r="F202" s="0" t="n">
        <v>19.63</v>
      </c>
      <c r="G202" s="0" t="n">
        <v>15.96</v>
      </c>
      <c r="H202" s="0" t="n">
        <v>2.85</v>
      </c>
      <c r="I202" s="0" t="n">
        <v>667.86</v>
      </c>
      <c r="J202" s="0" t="n">
        <v>4.54</v>
      </c>
      <c r="K202" s="0" t="n">
        <v>651.36</v>
      </c>
      <c r="L202" s="0" t="n">
        <v>646.06</v>
      </c>
      <c r="M202" s="0" t="n">
        <v>639.63</v>
      </c>
      <c r="N202" s="0" t="n">
        <v>631.59</v>
      </c>
      <c r="O202" s="0" t="n">
        <v>621.58</v>
      </c>
      <c r="P202" s="0" t="n">
        <v>613.43</v>
      </c>
      <c r="R202" s="0" t="n">
        <v>5.28</v>
      </c>
      <c r="S202" s="0" t="n">
        <v>4.86</v>
      </c>
      <c r="T202" s="0" t="n">
        <v>4.75</v>
      </c>
      <c r="U202" s="0" t="n">
        <v>4.53</v>
      </c>
      <c r="V202" s="0" t="n">
        <v>4.73</v>
      </c>
      <c r="W202" s="0" t="n">
        <v>3.99</v>
      </c>
      <c r="X202" s="0" t="n">
        <v>3.98</v>
      </c>
      <c r="Y202" s="0" t="n">
        <v>1.6</v>
      </c>
      <c r="AB202" s="0" t="n">
        <v>3.8</v>
      </c>
      <c r="AC202" s="0" t="n">
        <v>4.75</v>
      </c>
      <c r="AD202" s="0" t="n">
        <v>13.68</v>
      </c>
      <c r="AE202" s="0" t="n">
        <v>13.85</v>
      </c>
      <c r="AF202" s="0" t="n">
        <v>2.53</v>
      </c>
      <c r="AG202" s="0" t="n">
        <v>-1.64</v>
      </c>
      <c r="AH202" s="0" t="n">
        <v>12.68</v>
      </c>
      <c r="AI202" s="0" t="n">
        <v>14.99</v>
      </c>
      <c r="AJ202" s="0" t="n">
        <v>7.89</v>
      </c>
      <c r="AK202" s="0" t="n">
        <v>6.9</v>
      </c>
      <c r="AL202" s="0" t="n">
        <v>9.07</v>
      </c>
      <c r="AM202" s="0" t="n">
        <v>10.11</v>
      </c>
      <c r="AN202" s="0" t="n">
        <v>11.1</v>
      </c>
      <c r="AP202" s="0" t="n">
        <v>10.76</v>
      </c>
      <c r="AQ202" s="0" t="n">
        <v>6.55</v>
      </c>
      <c r="AR202" s="0" t="n">
        <v>4.92</v>
      </c>
      <c r="AS202" s="0" t="n">
        <v>4.35</v>
      </c>
      <c r="AT202" s="0" t="n">
        <v>2.09</v>
      </c>
      <c r="AU202" s="0" t="n">
        <v>9.72</v>
      </c>
    </row>
    <row r="203" customFormat="false" ht="14.25" hidden="false" customHeight="false" outlineLevel="0" collapsed="false">
      <c r="A203" s="0" t="n">
        <v>12.19</v>
      </c>
      <c r="B203" s="0" t="n">
        <v>3.94</v>
      </c>
      <c r="C203" s="0" t="n">
        <v>6.33</v>
      </c>
      <c r="D203" s="0" t="n">
        <v>9.72</v>
      </c>
      <c r="E203" s="0" t="n">
        <v>2.42</v>
      </c>
      <c r="F203" s="0" t="n">
        <v>19.63</v>
      </c>
      <c r="G203" s="0" t="n">
        <v>15.91</v>
      </c>
      <c r="H203" s="0" t="n">
        <v>2.87</v>
      </c>
      <c r="I203" s="0" t="n">
        <v>667.85</v>
      </c>
      <c r="J203" s="0" t="n">
        <v>4.54</v>
      </c>
      <c r="K203" s="0" t="n">
        <v>651.35</v>
      </c>
      <c r="L203" s="0" t="n">
        <v>646.07</v>
      </c>
      <c r="M203" s="0" t="n">
        <v>639.63</v>
      </c>
      <c r="N203" s="0" t="n">
        <v>631.59</v>
      </c>
      <c r="O203" s="0" t="n">
        <v>621.58</v>
      </c>
      <c r="P203" s="0" t="n">
        <v>613.43</v>
      </c>
      <c r="R203" s="0" t="n">
        <v>5.28</v>
      </c>
      <c r="S203" s="0" t="n">
        <v>4.86</v>
      </c>
      <c r="T203" s="0" t="n">
        <v>4.76</v>
      </c>
      <c r="U203" s="0" t="n">
        <v>4.52</v>
      </c>
      <c r="V203" s="0" t="n">
        <v>4.72</v>
      </c>
      <c r="W203" s="0" t="n">
        <v>3.94</v>
      </c>
      <c r="X203" s="0" t="n">
        <v>3.97</v>
      </c>
      <c r="Y203" s="0" t="n">
        <v>1.6</v>
      </c>
      <c r="AB203" s="0" t="n">
        <v>3.8</v>
      </c>
      <c r="AC203" s="0" t="n">
        <v>4.76</v>
      </c>
      <c r="AD203" s="0" t="n">
        <v>13.66</v>
      </c>
      <c r="AE203" s="0" t="n">
        <v>13.81</v>
      </c>
      <c r="AF203" s="0" t="n">
        <v>2.52</v>
      </c>
      <c r="AG203" s="0" t="n">
        <v>-1.77</v>
      </c>
      <c r="AH203" s="0" t="n">
        <v>12.69</v>
      </c>
      <c r="AI203" s="0" t="n">
        <v>14.99</v>
      </c>
      <c r="AJ203" s="0" t="n">
        <v>7.87</v>
      </c>
      <c r="AK203" s="0" t="n">
        <v>6.89</v>
      </c>
      <c r="AL203" s="0" t="n">
        <v>9.08</v>
      </c>
      <c r="AM203" s="0" t="n">
        <v>10.24</v>
      </c>
      <c r="AN203" s="0" t="n">
        <v>11.09</v>
      </c>
      <c r="AP203" s="0" t="n">
        <v>10.75</v>
      </c>
      <c r="AQ203" s="0" t="n">
        <v>6.54</v>
      </c>
      <c r="AR203" s="0" t="n">
        <v>4.92</v>
      </c>
      <c r="AS203" s="0" t="n">
        <v>4.26</v>
      </c>
      <c r="AT203" s="0" t="n">
        <v>2.1</v>
      </c>
      <c r="AU203" s="0" t="n">
        <v>9.73</v>
      </c>
    </row>
    <row r="204" customFormat="false" ht="14.25" hidden="false" customHeight="false" outlineLevel="0" collapsed="false">
      <c r="A204" s="0" t="n">
        <v>12.19</v>
      </c>
      <c r="B204" s="0" t="n">
        <v>3.93</v>
      </c>
      <c r="C204" s="0" t="n">
        <v>6.32</v>
      </c>
      <c r="D204" s="0" t="n">
        <v>9.7</v>
      </c>
      <c r="E204" s="0" t="n">
        <v>2.42</v>
      </c>
      <c r="F204" s="0" t="n">
        <v>19.6</v>
      </c>
      <c r="G204" s="0" t="n">
        <v>15.91</v>
      </c>
      <c r="H204" s="0" t="n">
        <v>2.85</v>
      </c>
      <c r="I204" s="0" t="n">
        <v>667.85</v>
      </c>
      <c r="J204" s="0" t="n">
        <v>4.54</v>
      </c>
      <c r="K204" s="0" t="n">
        <v>651.36</v>
      </c>
      <c r="L204" s="0" t="n">
        <v>646.06</v>
      </c>
      <c r="M204" s="0" t="n">
        <v>639.63</v>
      </c>
      <c r="N204" s="0" t="n">
        <v>631.54</v>
      </c>
      <c r="O204" s="0" t="n">
        <v>621.58</v>
      </c>
      <c r="P204" s="0" t="n">
        <v>613.41</v>
      </c>
      <c r="R204" s="0" t="n">
        <v>5.27</v>
      </c>
      <c r="S204" s="0" t="n">
        <v>4.86</v>
      </c>
      <c r="T204" s="0" t="n">
        <v>4.75</v>
      </c>
      <c r="U204" s="0" t="n">
        <v>4.52</v>
      </c>
      <c r="V204" s="0" t="n">
        <v>4.73</v>
      </c>
      <c r="W204" s="0" t="n">
        <v>3.99</v>
      </c>
      <c r="X204" s="0" t="n">
        <v>3.96</v>
      </c>
      <c r="Y204" s="0" t="n">
        <v>1.6</v>
      </c>
      <c r="AB204" s="0" t="n">
        <v>3.79</v>
      </c>
      <c r="AC204" s="0" t="n">
        <v>4.76</v>
      </c>
      <c r="AD204" s="0" t="n">
        <v>13.67</v>
      </c>
      <c r="AE204" s="0" t="n">
        <v>13.79</v>
      </c>
      <c r="AF204" s="0" t="n">
        <v>2.49</v>
      </c>
      <c r="AG204" s="0" t="n">
        <v>-1.59</v>
      </c>
      <c r="AH204" s="0" t="n">
        <v>12.68</v>
      </c>
      <c r="AI204" s="0" t="n">
        <v>14.98</v>
      </c>
      <c r="AJ204" s="0" t="n">
        <v>7.87</v>
      </c>
      <c r="AK204" s="0" t="n">
        <v>6.91</v>
      </c>
      <c r="AL204" s="0" t="n">
        <v>9.11</v>
      </c>
      <c r="AM204" s="0" t="n">
        <v>10.22</v>
      </c>
      <c r="AN204" s="0" t="n">
        <v>11.04</v>
      </c>
      <c r="AP204" s="0" t="n">
        <v>10.74</v>
      </c>
      <c r="AQ204" s="0" t="n">
        <v>6.51</v>
      </c>
      <c r="AR204" s="0" t="n">
        <v>4.92</v>
      </c>
      <c r="AS204" s="0" t="n">
        <v>4.35</v>
      </c>
      <c r="AT204" s="0" t="n">
        <v>2.1</v>
      </c>
      <c r="AU204" s="0" t="n">
        <v>9.72</v>
      </c>
    </row>
    <row r="205" customFormat="false" ht="14.25" hidden="false" customHeight="false" outlineLevel="0" collapsed="false">
      <c r="A205" s="0" t="n">
        <v>12.19</v>
      </c>
      <c r="B205" s="0" t="n">
        <v>3.93</v>
      </c>
      <c r="C205" s="0" t="n">
        <v>6.31</v>
      </c>
      <c r="D205" s="0" t="n">
        <v>9.68</v>
      </c>
      <c r="E205" s="0" t="n">
        <v>2.43</v>
      </c>
      <c r="F205" s="0" t="n">
        <v>19.59</v>
      </c>
      <c r="G205" s="0" t="n">
        <v>15.92</v>
      </c>
      <c r="H205" s="0" t="n">
        <v>2.85</v>
      </c>
      <c r="I205" s="0" t="n">
        <v>667.85</v>
      </c>
      <c r="J205" s="0" t="n">
        <v>4.54</v>
      </c>
      <c r="K205" s="0" t="n">
        <v>651.35</v>
      </c>
      <c r="L205" s="0" t="n">
        <v>646.06</v>
      </c>
      <c r="M205" s="0" t="n">
        <v>639.63</v>
      </c>
      <c r="N205" s="0" t="n">
        <v>631.58</v>
      </c>
      <c r="O205" s="0" t="n">
        <v>621.59</v>
      </c>
      <c r="P205" s="0" t="n">
        <v>613.45</v>
      </c>
      <c r="R205" s="0" t="n">
        <v>5.3</v>
      </c>
      <c r="S205" s="0" t="n">
        <v>4.85</v>
      </c>
      <c r="T205" s="0" t="n">
        <v>4.76</v>
      </c>
      <c r="U205" s="0" t="n">
        <v>4.51</v>
      </c>
      <c r="V205" s="0" t="n">
        <v>4.72</v>
      </c>
      <c r="W205" s="0" t="n">
        <v>3.99</v>
      </c>
      <c r="X205" s="0" t="n">
        <v>3.96</v>
      </c>
      <c r="Y205" s="0" t="n">
        <v>1.61</v>
      </c>
      <c r="AB205" s="0" t="n">
        <v>3.79</v>
      </c>
      <c r="AC205" s="0" t="n">
        <v>4.76</v>
      </c>
      <c r="AD205" s="0" t="n">
        <v>13.67</v>
      </c>
      <c r="AE205" s="0" t="n">
        <v>13.78</v>
      </c>
      <c r="AF205" s="0" t="n">
        <v>2.54</v>
      </c>
      <c r="AH205" s="0" t="n">
        <v>12.68</v>
      </c>
      <c r="AI205" s="0" t="n">
        <v>14.99</v>
      </c>
      <c r="AJ205" s="0" t="n">
        <v>7.87</v>
      </c>
      <c r="AK205" s="0" t="n">
        <v>6.89</v>
      </c>
      <c r="AL205" s="0" t="n">
        <v>9.11</v>
      </c>
      <c r="AM205" s="0" t="n">
        <v>10.19</v>
      </c>
      <c r="AN205" s="0" t="n">
        <v>10.98</v>
      </c>
      <c r="AP205" s="0" t="n">
        <v>10.74</v>
      </c>
      <c r="AQ205" s="0" t="n">
        <v>6.49</v>
      </c>
      <c r="AR205" s="0" t="n">
        <v>4.92</v>
      </c>
      <c r="AS205" s="0" t="n">
        <v>4.26</v>
      </c>
      <c r="AT205" s="0" t="n">
        <v>2.1</v>
      </c>
      <c r="AU205" s="0" t="n">
        <v>9.71</v>
      </c>
    </row>
    <row r="206" customFormat="false" ht="14.25" hidden="false" customHeight="false" outlineLevel="0" collapsed="false">
      <c r="A206" s="0" t="n">
        <v>12.19</v>
      </c>
      <c r="B206" s="0" t="n">
        <v>3.91</v>
      </c>
      <c r="C206" s="0" t="n">
        <v>6.31</v>
      </c>
      <c r="D206" s="0" t="n">
        <v>9.68</v>
      </c>
      <c r="E206" s="0" t="n">
        <v>2.41</v>
      </c>
      <c r="F206" s="0" t="n">
        <v>19.58</v>
      </c>
      <c r="G206" s="0" t="n">
        <v>15.86</v>
      </c>
      <c r="H206" s="0" t="n">
        <v>2.86</v>
      </c>
      <c r="I206" s="0" t="n">
        <v>667.85</v>
      </c>
      <c r="J206" s="0" t="n">
        <v>4.54</v>
      </c>
      <c r="K206" s="0" t="n">
        <v>651.36</v>
      </c>
      <c r="L206" s="0" t="n">
        <v>646.06</v>
      </c>
      <c r="M206" s="0" t="n">
        <v>639.63</v>
      </c>
      <c r="N206" s="0" t="n">
        <v>631.58</v>
      </c>
      <c r="O206" s="0" t="n">
        <v>621.6</v>
      </c>
      <c r="P206" s="0" t="n">
        <v>613.47</v>
      </c>
      <c r="R206" s="0" t="n">
        <v>5.3</v>
      </c>
      <c r="S206" s="0" t="n">
        <v>4.86</v>
      </c>
      <c r="T206" s="0" t="n">
        <v>4.76</v>
      </c>
      <c r="U206" s="0" t="n">
        <v>4.52</v>
      </c>
      <c r="V206" s="0" t="n">
        <v>4.73</v>
      </c>
      <c r="W206" s="0" t="n">
        <v>3.99</v>
      </c>
      <c r="X206" s="0" t="n">
        <v>3.96</v>
      </c>
      <c r="Y206" s="0" t="n">
        <v>1.59</v>
      </c>
      <c r="AB206" s="0" t="n">
        <v>3.81</v>
      </c>
      <c r="AC206" s="0" t="n">
        <v>4.76</v>
      </c>
      <c r="AD206" s="0" t="n">
        <v>13.67</v>
      </c>
      <c r="AE206" s="0" t="n">
        <v>13.77</v>
      </c>
      <c r="AF206" s="0" t="n">
        <v>2.51</v>
      </c>
      <c r="AH206" s="0" t="n">
        <v>12.69</v>
      </c>
      <c r="AI206" s="0" t="n">
        <v>14.99</v>
      </c>
      <c r="AJ206" s="0" t="n">
        <v>7.86</v>
      </c>
      <c r="AK206" s="0" t="n">
        <v>6.9</v>
      </c>
      <c r="AL206" s="0" t="n">
        <v>9.1</v>
      </c>
      <c r="AM206" s="0" t="n">
        <v>10.22</v>
      </c>
      <c r="AN206" s="0" t="n">
        <v>11.09</v>
      </c>
      <c r="AP206" s="0" t="n">
        <v>10.76</v>
      </c>
      <c r="AQ206" s="0" t="n">
        <v>6.51</v>
      </c>
      <c r="AR206" s="0" t="n">
        <v>4.93</v>
      </c>
      <c r="AS206" s="0" t="n">
        <v>4.3</v>
      </c>
      <c r="AT206" s="0" t="n">
        <v>2.11</v>
      </c>
      <c r="AU206" s="0" t="n">
        <v>9.71</v>
      </c>
    </row>
    <row r="207" customFormat="false" ht="14.25" hidden="false" customHeight="false" outlineLevel="0" collapsed="false">
      <c r="A207" s="0" t="n">
        <v>12.19</v>
      </c>
      <c r="B207" s="0" t="n">
        <v>3.91</v>
      </c>
      <c r="C207" s="0" t="n">
        <v>6.3</v>
      </c>
      <c r="D207" s="0" t="n">
        <v>9.66</v>
      </c>
      <c r="E207" s="0" t="n">
        <v>2.4</v>
      </c>
      <c r="F207" s="0" t="n">
        <v>19.56</v>
      </c>
      <c r="G207" s="0" t="n">
        <v>15.87</v>
      </c>
      <c r="H207" s="0" t="n">
        <v>2.85</v>
      </c>
      <c r="I207" s="0" t="n">
        <v>667.83</v>
      </c>
      <c r="J207" s="0" t="n">
        <v>4.55</v>
      </c>
      <c r="K207" s="0" t="n">
        <v>651.36</v>
      </c>
      <c r="L207" s="0" t="n">
        <v>646.08</v>
      </c>
      <c r="M207" s="0" t="n">
        <v>639.63</v>
      </c>
      <c r="N207" s="0" t="n">
        <v>631.59</v>
      </c>
      <c r="O207" s="0" t="n">
        <v>621.58</v>
      </c>
      <c r="P207" s="0" t="n">
        <v>613.49</v>
      </c>
      <c r="R207" s="0" t="n">
        <v>5.28</v>
      </c>
      <c r="S207" s="0" t="n">
        <v>4.88</v>
      </c>
      <c r="T207" s="0" t="n">
        <v>4.75</v>
      </c>
      <c r="U207" s="0" t="n">
        <v>4.52</v>
      </c>
      <c r="V207" s="0" t="n">
        <v>4.73</v>
      </c>
      <c r="W207" s="0" t="n">
        <v>3.97</v>
      </c>
      <c r="X207" s="0" t="n">
        <v>3.97</v>
      </c>
      <c r="Y207" s="0" t="n">
        <v>1.65</v>
      </c>
      <c r="AB207" s="0" t="n">
        <v>3.79</v>
      </c>
      <c r="AC207" s="0" t="n">
        <v>4.75</v>
      </c>
      <c r="AD207" s="0" t="n">
        <v>13.65</v>
      </c>
      <c r="AE207" s="0" t="n">
        <v>13.76</v>
      </c>
      <c r="AF207" s="0" t="n">
        <v>2.46</v>
      </c>
      <c r="AH207" s="0" t="n">
        <v>12.68</v>
      </c>
      <c r="AI207" s="0" t="n">
        <v>14.99</v>
      </c>
      <c r="AJ207" s="0" t="n">
        <v>7.87</v>
      </c>
      <c r="AK207" s="0" t="n">
        <v>6.91</v>
      </c>
      <c r="AL207" s="0" t="n">
        <v>9.09</v>
      </c>
      <c r="AM207" s="0" t="n">
        <v>10.2</v>
      </c>
      <c r="AN207" s="0" t="n">
        <v>10.96</v>
      </c>
      <c r="AP207" s="0" t="n">
        <v>10.75</v>
      </c>
      <c r="AQ207" s="0" t="n">
        <v>6.54</v>
      </c>
      <c r="AR207" s="0" t="n">
        <v>4.93</v>
      </c>
      <c r="AS207" s="0" t="n">
        <v>4.27</v>
      </c>
      <c r="AT207" s="0" t="n">
        <v>2.11</v>
      </c>
      <c r="AU207" s="0" t="n">
        <v>9.69</v>
      </c>
    </row>
    <row r="208" customFormat="false" ht="14.25" hidden="false" customHeight="false" outlineLevel="0" collapsed="false">
      <c r="A208" s="0" t="n">
        <v>12.18</v>
      </c>
      <c r="B208" s="0" t="n">
        <v>3.91</v>
      </c>
      <c r="C208" s="0" t="n">
        <v>6.3</v>
      </c>
      <c r="D208" s="0" t="n">
        <v>9.65</v>
      </c>
      <c r="E208" s="0" t="n">
        <v>2.44</v>
      </c>
      <c r="F208" s="0" t="n">
        <v>19.55</v>
      </c>
      <c r="G208" s="0" t="n">
        <v>15.84</v>
      </c>
      <c r="H208" s="0" t="n">
        <v>2.87</v>
      </c>
      <c r="I208" s="0" t="n">
        <v>667.85</v>
      </c>
      <c r="J208" s="0" t="n">
        <v>4.55</v>
      </c>
      <c r="K208" s="0" t="n">
        <v>651.36</v>
      </c>
      <c r="L208" s="0" t="n">
        <v>646.09</v>
      </c>
      <c r="M208" s="0" t="n">
        <v>639.63</v>
      </c>
      <c r="N208" s="0" t="n">
        <v>631.63</v>
      </c>
      <c r="O208" s="0" t="n">
        <v>621.59</v>
      </c>
      <c r="P208" s="0" t="n">
        <v>613.44</v>
      </c>
      <c r="R208" s="0" t="n">
        <v>5.28</v>
      </c>
      <c r="S208" s="0" t="n">
        <v>4.87</v>
      </c>
      <c r="T208" s="0" t="n">
        <v>4.75</v>
      </c>
      <c r="U208" s="0" t="n">
        <v>4.52</v>
      </c>
      <c r="V208" s="0" t="n">
        <v>4.74</v>
      </c>
      <c r="W208" s="0" t="n">
        <v>3.98</v>
      </c>
      <c r="X208" s="0" t="n">
        <v>3.97</v>
      </c>
      <c r="Y208" s="0" t="n">
        <v>1.62</v>
      </c>
      <c r="AB208" s="0" t="n">
        <v>3.81</v>
      </c>
      <c r="AC208" s="0" t="n">
        <v>4.76</v>
      </c>
      <c r="AD208" s="0" t="n">
        <v>13.65</v>
      </c>
      <c r="AE208" s="0" t="n">
        <v>13.74</v>
      </c>
      <c r="AF208" s="0" t="n">
        <v>2.43</v>
      </c>
      <c r="AH208" s="0" t="n">
        <v>12.69</v>
      </c>
      <c r="AI208" s="0" t="n">
        <v>14.99</v>
      </c>
      <c r="AJ208" s="0" t="n">
        <v>7.87</v>
      </c>
      <c r="AK208" s="0" t="n">
        <v>6.93</v>
      </c>
      <c r="AL208" s="0" t="n">
        <v>9.16</v>
      </c>
      <c r="AM208" s="0" t="n">
        <v>10.14</v>
      </c>
      <c r="AN208" s="0" t="n">
        <v>10.92</v>
      </c>
      <c r="AP208" s="0" t="n">
        <v>10.76</v>
      </c>
      <c r="AQ208" s="0" t="n">
        <v>6.52</v>
      </c>
      <c r="AR208" s="0" t="n">
        <v>4.92</v>
      </c>
      <c r="AS208" s="0" t="n">
        <v>4.3</v>
      </c>
      <c r="AT208" s="0" t="n">
        <v>2.12</v>
      </c>
      <c r="AU208" s="0" t="n">
        <v>9.68</v>
      </c>
    </row>
    <row r="209" customFormat="false" ht="14.25" hidden="false" customHeight="false" outlineLevel="0" collapsed="false">
      <c r="A209" s="0" t="n">
        <v>12.19</v>
      </c>
      <c r="B209" s="0" t="n">
        <v>3.9</v>
      </c>
      <c r="C209" s="0" t="n">
        <v>6.29</v>
      </c>
      <c r="D209" s="0" t="n">
        <v>9.64</v>
      </c>
      <c r="E209" s="0" t="n">
        <v>2.47</v>
      </c>
      <c r="F209" s="0" t="n">
        <v>19.52</v>
      </c>
      <c r="G209" s="0" t="n">
        <v>15.82</v>
      </c>
      <c r="H209" s="0" t="n">
        <v>2.86</v>
      </c>
      <c r="I209" s="0" t="n">
        <v>667.85</v>
      </c>
      <c r="J209" s="0" t="n">
        <v>4.55</v>
      </c>
      <c r="K209" s="0" t="n">
        <v>651.37</v>
      </c>
      <c r="L209" s="0" t="n">
        <v>646.07</v>
      </c>
      <c r="M209" s="0" t="n">
        <v>639.63</v>
      </c>
      <c r="N209" s="0" t="n">
        <v>631.61</v>
      </c>
      <c r="O209" s="0" t="n">
        <v>621.6</v>
      </c>
      <c r="P209" s="0" t="n">
        <v>613.44</v>
      </c>
      <c r="R209" s="0" t="n">
        <v>5.29</v>
      </c>
      <c r="S209" s="0" t="n">
        <v>4.86</v>
      </c>
      <c r="T209" s="0" t="n">
        <v>4.75</v>
      </c>
      <c r="U209" s="0" t="n">
        <v>4.52</v>
      </c>
      <c r="V209" s="0" t="n">
        <v>4.73</v>
      </c>
      <c r="W209" s="0" t="n">
        <v>3.98</v>
      </c>
      <c r="X209" s="0" t="n">
        <v>3.96</v>
      </c>
      <c r="Y209" s="0" t="n">
        <v>1.63</v>
      </c>
      <c r="AB209" s="0" t="n">
        <v>3.81</v>
      </c>
      <c r="AC209" s="0" t="n">
        <v>4.77</v>
      </c>
      <c r="AD209" s="0" t="n">
        <v>13.67</v>
      </c>
      <c r="AE209" s="0" t="n">
        <v>13.73</v>
      </c>
      <c r="AF209" s="0" t="n">
        <v>2.57</v>
      </c>
      <c r="AH209" s="0" t="n">
        <v>12.69</v>
      </c>
      <c r="AI209" s="0" t="n">
        <v>14.98</v>
      </c>
      <c r="AJ209" s="0" t="n">
        <v>7.87</v>
      </c>
      <c r="AK209" s="0" t="n">
        <v>6.92</v>
      </c>
      <c r="AL209" s="0" t="n">
        <v>9.13</v>
      </c>
      <c r="AM209" s="0" t="n">
        <v>10.17</v>
      </c>
      <c r="AN209" s="0" t="n">
        <v>10.9</v>
      </c>
      <c r="AP209" s="0" t="n">
        <v>10.75</v>
      </c>
      <c r="AQ209" s="0" t="n">
        <v>6.52</v>
      </c>
      <c r="AR209" s="0" t="n">
        <v>4.93</v>
      </c>
      <c r="AS209" s="0" t="n">
        <v>4.29</v>
      </c>
      <c r="AT209" s="0" t="n">
        <v>2.1</v>
      </c>
      <c r="AU209" s="0" t="n">
        <v>9.7</v>
      </c>
    </row>
    <row r="210" customFormat="false" ht="14.25" hidden="false" customHeight="false" outlineLevel="0" collapsed="false">
      <c r="A210" s="0" t="n">
        <v>12.19</v>
      </c>
      <c r="B210" s="0" t="n">
        <v>3.88</v>
      </c>
      <c r="C210" s="0" t="n">
        <v>6.29</v>
      </c>
      <c r="D210" s="0" t="n">
        <v>9.63</v>
      </c>
      <c r="E210" s="0" t="n">
        <v>2.47</v>
      </c>
      <c r="F210" s="0" t="n">
        <v>19.52</v>
      </c>
      <c r="G210" s="0" t="n">
        <v>15.8</v>
      </c>
      <c r="H210" s="0" t="n">
        <v>2.87</v>
      </c>
      <c r="I210" s="0" t="n">
        <v>667.85</v>
      </c>
      <c r="J210" s="0" t="n">
        <v>4.55</v>
      </c>
      <c r="K210" s="0" t="n">
        <v>651.36</v>
      </c>
      <c r="L210" s="0" t="n">
        <v>646.09</v>
      </c>
      <c r="M210" s="0" t="n">
        <v>639.63</v>
      </c>
      <c r="N210" s="0" t="n">
        <v>631.61</v>
      </c>
      <c r="O210" s="0" t="n">
        <v>621.64</v>
      </c>
      <c r="P210" s="0" t="n">
        <v>613.43</v>
      </c>
      <c r="R210" s="0" t="n">
        <v>5.26</v>
      </c>
      <c r="S210" s="0" t="n">
        <v>4.87</v>
      </c>
      <c r="T210" s="0" t="n">
        <v>4.76</v>
      </c>
      <c r="U210" s="0" t="n">
        <v>4.49</v>
      </c>
      <c r="V210" s="0" t="n">
        <v>4.74</v>
      </c>
      <c r="W210" s="0" t="n">
        <v>3.99</v>
      </c>
      <c r="X210" s="0" t="n">
        <v>3.96</v>
      </c>
      <c r="Y210" s="0" t="n">
        <v>1.63</v>
      </c>
      <c r="AB210" s="0" t="n">
        <v>3.81</v>
      </c>
      <c r="AC210" s="0" t="n">
        <v>4.77</v>
      </c>
      <c r="AD210" s="0" t="n">
        <v>13.68</v>
      </c>
      <c r="AE210" s="0" t="n">
        <v>13.71</v>
      </c>
      <c r="AF210" s="0" t="n">
        <v>2.5</v>
      </c>
      <c r="AH210" s="0" t="n">
        <v>12.7</v>
      </c>
      <c r="AI210" s="0" t="n">
        <v>14.98</v>
      </c>
      <c r="AJ210" s="0" t="n">
        <v>7.86</v>
      </c>
      <c r="AK210" s="0" t="n">
        <v>6.91</v>
      </c>
      <c r="AL210" s="0" t="n">
        <v>9.14</v>
      </c>
      <c r="AM210" s="0" t="n">
        <v>10.22</v>
      </c>
      <c r="AN210" s="0" t="n">
        <v>10.86</v>
      </c>
      <c r="AP210" s="0" t="n">
        <v>10.76</v>
      </c>
      <c r="AQ210" s="0" t="n">
        <v>6.53</v>
      </c>
      <c r="AR210" s="0" t="n">
        <v>4.92</v>
      </c>
      <c r="AS210" s="0" t="n">
        <v>4.29</v>
      </c>
      <c r="AT210" s="0" t="n">
        <v>2.12</v>
      </c>
      <c r="AU210" s="0" t="n">
        <v>9.68</v>
      </c>
    </row>
    <row r="211" customFormat="false" ht="14.25" hidden="false" customHeight="false" outlineLevel="0" collapsed="false">
      <c r="A211" s="0" t="n">
        <v>12.19</v>
      </c>
      <c r="B211" s="0" t="n">
        <v>3.87</v>
      </c>
      <c r="C211" s="0" t="n">
        <v>6.28</v>
      </c>
      <c r="D211" s="0" t="n">
        <v>9.68</v>
      </c>
      <c r="E211" s="0" t="n">
        <v>2.44</v>
      </c>
      <c r="F211" s="0" t="n">
        <v>19.52</v>
      </c>
      <c r="G211" s="0" t="n">
        <v>15.75</v>
      </c>
      <c r="H211" s="0" t="n">
        <v>2.87</v>
      </c>
      <c r="I211" s="0" t="n">
        <v>667.85</v>
      </c>
      <c r="J211" s="0" t="n">
        <v>4.56</v>
      </c>
      <c r="K211" s="0" t="n">
        <v>651.36</v>
      </c>
      <c r="L211" s="0" t="n">
        <v>646.07</v>
      </c>
      <c r="M211" s="0" t="n">
        <v>639.63</v>
      </c>
      <c r="N211" s="0" t="n">
        <v>631.61</v>
      </c>
      <c r="O211" s="0" t="n">
        <v>621.58</v>
      </c>
      <c r="P211" s="0" t="n">
        <v>613.44</v>
      </c>
      <c r="R211" s="0" t="n">
        <v>5.26</v>
      </c>
      <c r="S211" s="0" t="n">
        <v>4.87</v>
      </c>
      <c r="T211" s="0" t="n">
        <v>4.76</v>
      </c>
      <c r="U211" s="0" t="n">
        <v>4.51</v>
      </c>
      <c r="V211" s="0" t="n">
        <v>4.74</v>
      </c>
      <c r="W211" s="0" t="n">
        <v>3.98</v>
      </c>
      <c r="X211" s="0" t="n">
        <v>3.96</v>
      </c>
      <c r="Y211" s="0" t="n">
        <v>1.65</v>
      </c>
      <c r="AB211" s="0" t="n">
        <v>3.8</v>
      </c>
      <c r="AC211" s="0" t="n">
        <v>4.76</v>
      </c>
      <c r="AD211" s="0" t="n">
        <v>13.68</v>
      </c>
      <c r="AE211" s="0" t="n">
        <v>13.69</v>
      </c>
      <c r="AF211" s="0" t="n">
        <v>2.48</v>
      </c>
      <c r="AH211" s="0" t="n">
        <v>12.7</v>
      </c>
      <c r="AI211" s="0" t="n">
        <v>14.99</v>
      </c>
      <c r="AJ211" s="0" t="n">
        <v>7.87</v>
      </c>
      <c r="AK211" s="0" t="n">
        <v>6.93</v>
      </c>
      <c r="AL211" s="0" t="n">
        <v>9.16</v>
      </c>
      <c r="AM211" s="0" t="n">
        <v>10.23</v>
      </c>
      <c r="AN211" s="0" t="n">
        <v>10.85</v>
      </c>
      <c r="AP211" s="0" t="n">
        <v>10.75</v>
      </c>
      <c r="AQ211" s="0" t="n">
        <v>6.52</v>
      </c>
      <c r="AR211" s="0" t="n">
        <v>4.92</v>
      </c>
      <c r="AS211" s="0" t="n">
        <v>4.29</v>
      </c>
      <c r="AT211" s="0" t="n">
        <v>2.12</v>
      </c>
      <c r="AU211" s="0" t="n">
        <v>9.69</v>
      </c>
    </row>
    <row r="212" customFormat="false" ht="14.25" hidden="false" customHeight="false" outlineLevel="0" collapsed="false">
      <c r="A212" s="0" t="n">
        <v>12.2</v>
      </c>
      <c r="B212" s="0" t="n">
        <v>3.86</v>
      </c>
      <c r="C212" s="0" t="n">
        <v>6.28</v>
      </c>
      <c r="D212" s="0" t="n">
        <v>9.69</v>
      </c>
      <c r="E212" s="0" t="n">
        <v>2.42</v>
      </c>
      <c r="F212" s="0" t="n">
        <v>19.51</v>
      </c>
      <c r="G212" s="0" t="n">
        <v>15.76</v>
      </c>
      <c r="H212" s="0" t="n">
        <v>2.87</v>
      </c>
      <c r="I212" s="0" t="n">
        <v>667.85</v>
      </c>
      <c r="J212" s="0" t="n">
        <v>4.55</v>
      </c>
      <c r="K212" s="0" t="n">
        <v>651.37</v>
      </c>
      <c r="L212" s="0" t="n">
        <v>646.08</v>
      </c>
      <c r="M212" s="0" t="n">
        <v>639.63</v>
      </c>
      <c r="N212" s="0" t="n">
        <v>631.61</v>
      </c>
      <c r="O212" s="0" t="n">
        <v>621.58</v>
      </c>
      <c r="P212" s="0" t="n">
        <v>613.43</v>
      </c>
      <c r="R212" s="0" t="n">
        <v>5.3</v>
      </c>
      <c r="S212" s="0" t="n">
        <v>4.85</v>
      </c>
      <c r="T212" s="0" t="n">
        <v>4.75</v>
      </c>
      <c r="U212" s="0" t="n">
        <v>4.46</v>
      </c>
      <c r="V212" s="0" t="n">
        <v>4.73</v>
      </c>
      <c r="W212" s="0" t="n">
        <v>3.98</v>
      </c>
      <c r="X212" s="0" t="n">
        <v>3.96</v>
      </c>
      <c r="Y212" s="0" t="n">
        <v>1.64</v>
      </c>
      <c r="AB212" s="0" t="n">
        <v>3.82</v>
      </c>
      <c r="AC212" s="0" t="n">
        <v>4.75</v>
      </c>
      <c r="AD212" s="0" t="n">
        <v>13.66</v>
      </c>
      <c r="AE212" s="0" t="n">
        <v>13.68</v>
      </c>
      <c r="AF212" s="0" t="n">
        <v>2.68</v>
      </c>
      <c r="AH212" s="0" t="n">
        <v>12.71</v>
      </c>
      <c r="AI212" s="0" t="n">
        <v>14.98</v>
      </c>
      <c r="AJ212" s="0" t="n">
        <v>7.86</v>
      </c>
      <c r="AK212" s="0" t="n">
        <v>6.94</v>
      </c>
      <c r="AL212" s="0" t="n">
        <v>9.14</v>
      </c>
      <c r="AM212" s="0" t="n">
        <v>10.27</v>
      </c>
      <c r="AN212" s="0" t="n">
        <v>10.8</v>
      </c>
      <c r="AP212" s="0" t="n">
        <v>10.75</v>
      </c>
      <c r="AQ212" s="0" t="n">
        <v>6.49</v>
      </c>
      <c r="AR212" s="0" t="n">
        <v>4.93</v>
      </c>
      <c r="AS212" s="0" t="n">
        <v>4.29</v>
      </c>
      <c r="AT212" s="0" t="n">
        <v>2.13</v>
      </c>
      <c r="AU212" s="0" t="n">
        <v>9.66</v>
      </c>
    </row>
    <row r="213" customFormat="false" ht="14.25" hidden="false" customHeight="false" outlineLevel="0" collapsed="false">
      <c r="A213" s="0" t="n">
        <v>12.19</v>
      </c>
      <c r="B213" s="0" t="n">
        <v>3.86</v>
      </c>
      <c r="C213" s="0" t="n">
        <v>6.27</v>
      </c>
      <c r="D213" s="0" t="n">
        <v>9.68</v>
      </c>
      <c r="E213" s="0" t="n">
        <v>2.39</v>
      </c>
      <c r="F213" s="0" t="n">
        <v>19.46</v>
      </c>
      <c r="G213" s="0" t="n">
        <v>15.74</v>
      </c>
      <c r="H213" s="0" t="n">
        <v>2.87</v>
      </c>
      <c r="I213" s="0" t="n">
        <v>667.86</v>
      </c>
      <c r="J213" s="0" t="n">
        <v>4.57</v>
      </c>
      <c r="K213" s="0" t="n">
        <v>651.37</v>
      </c>
      <c r="L213" s="0" t="n">
        <v>646.06</v>
      </c>
      <c r="M213" s="0" t="n">
        <v>639.63</v>
      </c>
      <c r="N213" s="0" t="n">
        <v>631.61</v>
      </c>
      <c r="O213" s="0" t="n">
        <v>621.58</v>
      </c>
      <c r="P213" s="0" t="n">
        <v>613.43</v>
      </c>
      <c r="R213" s="0" t="n">
        <v>5.29</v>
      </c>
      <c r="S213" s="0" t="n">
        <v>4.86</v>
      </c>
      <c r="T213" s="0" t="n">
        <v>4.76</v>
      </c>
      <c r="U213" s="0" t="n">
        <v>4.52</v>
      </c>
      <c r="V213" s="0" t="n">
        <v>4.76</v>
      </c>
      <c r="W213" s="0" t="n">
        <v>3.98</v>
      </c>
      <c r="X213" s="0" t="n">
        <v>3.96</v>
      </c>
      <c r="Y213" s="0" t="n">
        <v>1.62</v>
      </c>
      <c r="AB213" s="0" t="n">
        <v>3.82</v>
      </c>
      <c r="AC213" s="0" t="n">
        <v>4.75</v>
      </c>
      <c r="AD213" s="0" t="n">
        <v>13.7</v>
      </c>
      <c r="AE213" s="0" t="n">
        <v>13.7</v>
      </c>
      <c r="AF213" s="0" t="n">
        <v>2.51</v>
      </c>
      <c r="AH213" s="0" t="n">
        <v>12.71</v>
      </c>
      <c r="AI213" s="0" t="n">
        <v>14.98</v>
      </c>
      <c r="AJ213" s="0" t="n">
        <v>7.85</v>
      </c>
      <c r="AK213" s="0" t="n">
        <v>6.95</v>
      </c>
      <c r="AL213" s="0" t="n">
        <v>9.15</v>
      </c>
      <c r="AM213" s="0" t="n">
        <v>10.2</v>
      </c>
      <c r="AN213" s="0" t="n">
        <v>10.92</v>
      </c>
      <c r="AP213" s="0" t="n">
        <v>10.73</v>
      </c>
      <c r="AQ213" s="0" t="n">
        <v>6.48</v>
      </c>
      <c r="AR213" s="0" t="n">
        <v>4.92</v>
      </c>
      <c r="AS213" s="0" t="n">
        <v>4.3</v>
      </c>
      <c r="AT213" s="0" t="n">
        <v>2.13</v>
      </c>
      <c r="AU213" s="0" t="n">
        <v>9.68</v>
      </c>
    </row>
    <row r="214" customFormat="false" ht="14.25" hidden="false" customHeight="false" outlineLevel="0" collapsed="false">
      <c r="A214" s="0" t="n">
        <v>12.19</v>
      </c>
      <c r="B214" s="0" t="n">
        <v>3.85</v>
      </c>
      <c r="C214" s="0" t="n">
        <v>6.27</v>
      </c>
      <c r="D214" s="0" t="n">
        <v>9.69</v>
      </c>
      <c r="E214" s="0" t="n">
        <v>2.36</v>
      </c>
      <c r="F214" s="0" t="n">
        <v>19.42</v>
      </c>
      <c r="G214" s="0" t="n">
        <v>15.71</v>
      </c>
      <c r="H214" s="0" t="n">
        <v>2.86</v>
      </c>
      <c r="I214" s="0" t="n">
        <v>667.87</v>
      </c>
      <c r="J214" s="0" t="n">
        <v>4.57</v>
      </c>
      <c r="K214" s="0" t="n">
        <v>651.38</v>
      </c>
      <c r="L214" s="0" t="n">
        <v>646.06</v>
      </c>
      <c r="M214" s="0" t="n">
        <v>639.63</v>
      </c>
      <c r="N214" s="0" t="n">
        <v>631.61</v>
      </c>
      <c r="O214" s="0" t="n">
        <v>621.59</v>
      </c>
      <c r="P214" s="0" t="n">
        <v>613.42</v>
      </c>
      <c r="R214" s="0" t="n">
        <v>5.28</v>
      </c>
      <c r="S214" s="0" t="n">
        <v>4.85</v>
      </c>
      <c r="T214" s="0" t="n">
        <v>4.77</v>
      </c>
      <c r="U214" s="0" t="n">
        <v>4.51</v>
      </c>
      <c r="V214" s="0" t="n">
        <v>4.76</v>
      </c>
      <c r="W214" s="0" t="n">
        <v>3.99</v>
      </c>
      <c r="X214" s="0" t="n">
        <v>3.97</v>
      </c>
      <c r="Y214" s="0" t="n">
        <v>1.69</v>
      </c>
      <c r="AB214" s="0" t="n">
        <v>3.83</v>
      </c>
      <c r="AC214" s="0" t="n">
        <v>4.77</v>
      </c>
      <c r="AD214" s="0" t="n">
        <v>13.65</v>
      </c>
      <c r="AE214" s="0" t="n">
        <v>13.73</v>
      </c>
      <c r="AF214" s="0" t="n">
        <v>2.49</v>
      </c>
      <c r="AH214" s="0" t="n">
        <v>12.71</v>
      </c>
      <c r="AI214" s="0" t="n">
        <v>14.98</v>
      </c>
      <c r="AJ214" s="0" t="n">
        <v>7.86</v>
      </c>
      <c r="AK214" s="0" t="n">
        <v>6.94</v>
      </c>
      <c r="AL214" s="0" t="n">
        <v>9.18</v>
      </c>
      <c r="AM214" s="0" t="n">
        <v>10.23</v>
      </c>
      <c r="AN214" s="0" t="n">
        <v>10.91</v>
      </c>
      <c r="AP214" s="0" t="n">
        <v>10.74</v>
      </c>
      <c r="AQ214" s="0" t="n">
        <v>6.51</v>
      </c>
      <c r="AR214" s="0" t="n">
        <v>4.91</v>
      </c>
      <c r="AS214" s="0" t="n">
        <v>4.29</v>
      </c>
      <c r="AT214" s="0" t="n">
        <v>2.13</v>
      </c>
      <c r="AU214" s="0" t="n">
        <v>9.66</v>
      </c>
    </row>
    <row r="215" customFormat="false" ht="14.25" hidden="false" customHeight="false" outlineLevel="0" collapsed="false">
      <c r="A215" s="0" t="n">
        <v>12.19</v>
      </c>
      <c r="B215" s="0" t="n">
        <v>3.83</v>
      </c>
      <c r="C215" s="0" t="n">
        <v>6.27</v>
      </c>
      <c r="D215" s="0" t="n">
        <v>9.67</v>
      </c>
      <c r="E215" s="0" t="n">
        <v>2.36</v>
      </c>
      <c r="F215" s="0" t="n">
        <v>19.42</v>
      </c>
      <c r="G215" s="0" t="n">
        <v>15.65</v>
      </c>
      <c r="H215" s="0" t="n">
        <v>2.91</v>
      </c>
      <c r="I215" s="0" t="n">
        <v>667.87</v>
      </c>
      <c r="J215" s="0" t="n">
        <v>4.55</v>
      </c>
      <c r="K215" s="0" t="n">
        <v>651.36</v>
      </c>
      <c r="L215" s="0" t="n">
        <v>646.07</v>
      </c>
      <c r="M215" s="0" t="n">
        <v>639.63</v>
      </c>
      <c r="N215" s="0" t="n">
        <v>631.62</v>
      </c>
      <c r="O215" s="0" t="n">
        <v>621.58</v>
      </c>
      <c r="P215" s="0" t="n">
        <v>613.43</v>
      </c>
      <c r="R215" s="0" t="n">
        <v>5.29</v>
      </c>
      <c r="S215" s="0" t="n">
        <v>4.86</v>
      </c>
      <c r="T215" s="0" t="n">
        <v>4.75</v>
      </c>
      <c r="U215" s="0" t="n">
        <v>4.5</v>
      </c>
      <c r="V215" s="0" t="n">
        <v>4.75</v>
      </c>
      <c r="W215" s="0" t="n">
        <v>3.97</v>
      </c>
      <c r="X215" s="0" t="n">
        <v>3.97</v>
      </c>
      <c r="Y215" s="0" t="n">
        <v>1.66</v>
      </c>
      <c r="AB215" s="0" t="n">
        <v>3.79</v>
      </c>
      <c r="AC215" s="0" t="n">
        <v>4.8</v>
      </c>
      <c r="AD215" s="0" t="n">
        <v>13.67</v>
      </c>
      <c r="AE215" s="0" t="n">
        <v>13.76</v>
      </c>
      <c r="AF215" s="0" t="n">
        <v>2.49</v>
      </c>
      <c r="AH215" s="0" t="n">
        <v>12.72</v>
      </c>
      <c r="AI215" s="0" t="n">
        <v>14.97</v>
      </c>
      <c r="AJ215" s="0" t="n">
        <v>7.85</v>
      </c>
      <c r="AK215" s="0" t="n">
        <v>6.94</v>
      </c>
      <c r="AL215" s="0" t="n">
        <v>9.19</v>
      </c>
      <c r="AM215" s="0" t="n">
        <v>10.16</v>
      </c>
      <c r="AN215" s="0" t="n">
        <v>10.9</v>
      </c>
      <c r="AP215" s="0" t="n">
        <v>10.73</v>
      </c>
      <c r="AQ215" s="0" t="n">
        <v>6.51</v>
      </c>
      <c r="AR215" s="0" t="n">
        <v>4.92</v>
      </c>
      <c r="AS215" s="0" t="n">
        <v>4.27</v>
      </c>
      <c r="AT215" s="0" t="n">
        <v>2.13</v>
      </c>
      <c r="AU215" s="0" t="n">
        <v>9.64</v>
      </c>
    </row>
    <row r="216" customFormat="false" ht="14.25" hidden="false" customHeight="false" outlineLevel="0" collapsed="false">
      <c r="A216" s="0" t="n">
        <v>12.18</v>
      </c>
      <c r="B216" s="0" t="n">
        <v>3.82</v>
      </c>
      <c r="C216" s="0" t="n">
        <v>6.26</v>
      </c>
      <c r="D216" s="0" t="n">
        <v>9.64</v>
      </c>
      <c r="E216" s="0" t="n">
        <v>2.37</v>
      </c>
      <c r="F216" s="0" t="n">
        <v>19.41</v>
      </c>
      <c r="G216" s="0" t="n">
        <v>15.63</v>
      </c>
      <c r="H216" s="0" t="n">
        <v>2.94</v>
      </c>
      <c r="I216" s="0" t="n">
        <v>667.91</v>
      </c>
      <c r="J216" s="0" t="n">
        <v>4.55</v>
      </c>
      <c r="K216" s="0" t="n">
        <v>651.37</v>
      </c>
      <c r="L216" s="0" t="n">
        <v>646.07</v>
      </c>
      <c r="M216" s="0" t="n">
        <v>639.63</v>
      </c>
      <c r="N216" s="0" t="n">
        <v>631.61</v>
      </c>
      <c r="O216" s="0" t="n">
        <v>621.59</v>
      </c>
      <c r="P216" s="0" t="n">
        <v>613.42</v>
      </c>
      <c r="R216" s="0" t="n">
        <v>5.28</v>
      </c>
      <c r="S216" s="0" t="n">
        <v>4.87</v>
      </c>
      <c r="T216" s="0" t="n">
        <v>4.77</v>
      </c>
      <c r="U216" s="0" t="n">
        <v>4.5</v>
      </c>
      <c r="V216" s="0" t="n">
        <v>4.74</v>
      </c>
      <c r="W216" s="0" t="n">
        <v>3.98</v>
      </c>
      <c r="X216" s="0" t="n">
        <v>3.97</v>
      </c>
      <c r="Y216" s="0" t="n">
        <v>1.68</v>
      </c>
      <c r="AB216" s="0" t="n">
        <v>3.82</v>
      </c>
      <c r="AC216" s="0" t="n">
        <v>4.76</v>
      </c>
      <c r="AD216" s="0" t="n">
        <v>13.68</v>
      </c>
      <c r="AE216" s="0" t="n">
        <v>13.75</v>
      </c>
      <c r="AF216" s="0" t="n">
        <v>2.48</v>
      </c>
      <c r="AH216" s="0" t="n">
        <v>12.72</v>
      </c>
      <c r="AI216" s="0" t="n">
        <v>14.98</v>
      </c>
      <c r="AJ216" s="0" t="n">
        <v>7.84</v>
      </c>
      <c r="AK216" s="0" t="n">
        <v>6.95</v>
      </c>
      <c r="AL216" s="0" t="n">
        <v>9.21</v>
      </c>
      <c r="AM216" s="0" t="n">
        <v>10.21</v>
      </c>
      <c r="AN216" s="0" t="n">
        <v>10.85</v>
      </c>
      <c r="AP216" s="0" t="n">
        <v>10.74</v>
      </c>
      <c r="AQ216" s="0" t="n">
        <v>6.48</v>
      </c>
      <c r="AR216" s="0" t="n">
        <v>4.93</v>
      </c>
      <c r="AS216" s="0" t="n">
        <v>4.32</v>
      </c>
      <c r="AT216" s="0" t="n">
        <v>2.14</v>
      </c>
      <c r="AU216" s="0" t="n">
        <v>9.64</v>
      </c>
    </row>
    <row r="217" customFormat="false" ht="14.25" hidden="false" customHeight="false" outlineLevel="0" collapsed="false">
      <c r="A217" s="0" t="n">
        <v>12.18</v>
      </c>
      <c r="B217" s="0" t="n">
        <v>3.83</v>
      </c>
      <c r="C217" s="0" t="n">
        <v>6.24</v>
      </c>
      <c r="D217" s="0" t="n">
        <v>9.67</v>
      </c>
      <c r="E217" s="0" t="n">
        <v>2.39</v>
      </c>
      <c r="F217" s="0" t="n">
        <v>19.45</v>
      </c>
      <c r="G217" s="0" t="n">
        <v>15.63</v>
      </c>
      <c r="H217" s="0" t="n">
        <v>2.87</v>
      </c>
      <c r="I217" s="0" t="n">
        <v>667.87</v>
      </c>
      <c r="J217" s="0" t="n">
        <v>4.55</v>
      </c>
      <c r="K217" s="0" t="n">
        <v>651.36</v>
      </c>
      <c r="L217" s="0" t="n">
        <v>646.06</v>
      </c>
      <c r="M217" s="0" t="n">
        <v>639.63</v>
      </c>
      <c r="N217" s="0" t="n">
        <v>631.61</v>
      </c>
      <c r="O217" s="0" t="n">
        <v>621.61</v>
      </c>
      <c r="P217" s="0" t="n">
        <v>613.42</v>
      </c>
      <c r="R217" s="0" t="n">
        <v>5.29</v>
      </c>
      <c r="S217" s="0" t="n">
        <v>4.85</v>
      </c>
      <c r="T217" s="0" t="n">
        <v>4.76</v>
      </c>
      <c r="U217" s="0" t="n">
        <v>4.49</v>
      </c>
      <c r="V217" s="0" t="n">
        <v>4.73</v>
      </c>
      <c r="W217" s="0" t="n">
        <v>3.98</v>
      </c>
      <c r="X217" s="0" t="n">
        <v>3.97</v>
      </c>
      <c r="Y217" s="0" t="n">
        <v>1.69</v>
      </c>
      <c r="AB217" s="0" t="n">
        <v>3.81</v>
      </c>
      <c r="AC217" s="0" t="n">
        <v>4.77</v>
      </c>
      <c r="AD217" s="0" t="n">
        <v>13.67</v>
      </c>
      <c r="AE217" s="0" t="n">
        <v>13.7</v>
      </c>
      <c r="AF217" s="0" t="n">
        <v>2.52</v>
      </c>
      <c r="AH217" s="0" t="n">
        <v>12.72</v>
      </c>
      <c r="AI217" s="0" t="n">
        <v>14.98</v>
      </c>
      <c r="AJ217" s="0" t="n">
        <v>7.85</v>
      </c>
      <c r="AK217" s="0" t="n">
        <v>6.97</v>
      </c>
      <c r="AL217" s="0" t="n">
        <v>9.2</v>
      </c>
      <c r="AM217" s="0" t="n">
        <v>10.23</v>
      </c>
      <c r="AN217" s="0" t="n">
        <v>10.85</v>
      </c>
      <c r="AP217" s="0" t="n">
        <v>10.74</v>
      </c>
      <c r="AQ217" s="0" t="n">
        <v>6.51</v>
      </c>
      <c r="AR217" s="0" t="n">
        <v>4.92</v>
      </c>
      <c r="AS217" s="0" t="n">
        <v>4.28</v>
      </c>
      <c r="AT217" s="0" t="n">
        <v>2.14</v>
      </c>
      <c r="AU217" s="0" t="n">
        <v>9.65</v>
      </c>
    </row>
    <row r="218" customFormat="false" ht="14.25" hidden="false" customHeight="false" outlineLevel="0" collapsed="false">
      <c r="A218" s="0" t="n">
        <v>12.17</v>
      </c>
      <c r="B218" s="0" t="n">
        <v>3.81</v>
      </c>
      <c r="C218" s="0" t="n">
        <v>6.24</v>
      </c>
      <c r="D218" s="0" t="n">
        <v>9.65</v>
      </c>
      <c r="E218" s="0" t="n">
        <v>2.45</v>
      </c>
      <c r="F218" s="0" t="n">
        <v>19.46</v>
      </c>
      <c r="G218" s="0" t="n">
        <v>15.66</v>
      </c>
      <c r="H218" s="0" t="n">
        <v>2.87</v>
      </c>
      <c r="I218" s="0" t="n">
        <v>667.87</v>
      </c>
      <c r="J218" s="0" t="n">
        <v>4.55</v>
      </c>
      <c r="K218" s="0" t="n">
        <v>651.36</v>
      </c>
      <c r="L218" s="0" t="n">
        <v>646.07</v>
      </c>
      <c r="M218" s="0" t="n">
        <v>639.63</v>
      </c>
      <c r="N218" s="0" t="n">
        <v>631.61</v>
      </c>
      <c r="O218" s="0" t="n">
        <v>621.65</v>
      </c>
      <c r="P218" s="0" t="n">
        <v>613.42</v>
      </c>
      <c r="R218" s="0" t="n">
        <v>5.3</v>
      </c>
      <c r="S218" s="0" t="n">
        <v>4.87</v>
      </c>
      <c r="T218" s="0" t="n">
        <v>4.77</v>
      </c>
      <c r="U218" s="0" t="n">
        <v>4.5</v>
      </c>
      <c r="V218" s="0" t="n">
        <v>4.73</v>
      </c>
      <c r="W218" s="0" t="n">
        <v>3.96</v>
      </c>
      <c r="X218" s="0" t="n">
        <v>3.97</v>
      </c>
      <c r="Y218" s="0" t="n">
        <v>1.69</v>
      </c>
      <c r="AB218" s="0" t="n">
        <v>3.82</v>
      </c>
      <c r="AC218" s="0" t="n">
        <v>4.76</v>
      </c>
      <c r="AD218" s="0" t="n">
        <v>13.67</v>
      </c>
      <c r="AE218" s="0" t="n">
        <v>13.55</v>
      </c>
      <c r="AF218" s="0" t="n">
        <v>2.43</v>
      </c>
      <c r="AH218" s="0" t="n">
        <v>12.73</v>
      </c>
      <c r="AI218" s="0" t="n">
        <v>14.99</v>
      </c>
      <c r="AJ218" s="0" t="n">
        <v>7.85</v>
      </c>
      <c r="AK218" s="0" t="n">
        <v>6.96</v>
      </c>
      <c r="AL218" s="0" t="n">
        <v>9.22</v>
      </c>
      <c r="AM218" s="0" t="n">
        <v>10.13</v>
      </c>
      <c r="AN218" s="0" t="n">
        <v>10.83</v>
      </c>
      <c r="AP218" s="0" t="n">
        <v>10.74</v>
      </c>
      <c r="AQ218" s="0" t="n">
        <v>6.47</v>
      </c>
      <c r="AR218" s="0" t="n">
        <v>4.92</v>
      </c>
      <c r="AS218" s="0" t="n">
        <v>4.3</v>
      </c>
      <c r="AT218" s="0" t="n">
        <v>2.14</v>
      </c>
      <c r="AU218" s="0" t="n">
        <v>9.63</v>
      </c>
    </row>
    <row r="219" customFormat="false" ht="14.25" hidden="false" customHeight="false" outlineLevel="0" collapsed="false">
      <c r="A219" s="0" t="n">
        <v>12.17</v>
      </c>
      <c r="B219" s="0" t="n">
        <v>3.82</v>
      </c>
      <c r="C219" s="0" t="n">
        <v>6.22</v>
      </c>
      <c r="D219" s="0" t="n">
        <v>9.67</v>
      </c>
      <c r="E219" s="0" t="n">
        <v>2.39</v>
      </c>
      <c r="F219" s="0" t="n">
        <v>19.43</v>
      </c>
      <c r="G219" s="0" t="n">
        <v>15.73</v>
      </c>
      <c r="H219" s="0" t="n">
        <v>2.86</v>
      </c>
      <c r="I219" s="0" t="n">
        <v>667.87</v>
      </c>
      <c r="J219" s="0" t="n">
        <v>4.56</v>
      </c>
      <c r="K219" s="0" t="n">
        <v>651.38</v>
      </c>
      <c r="L219" s="0" t="n">
        <v>646.07</v>
      </c>
      <c r="M219" s="0" t="n">
        <v>639.63</v>
      </c>
      <c r="N219" s="0" t="n">
        <v>631.61</v>
      </c>
      <c r="O219" s="0" t="n">
        <v>621.59</v>
      </c>
      <c r="P219" s="0" t="n">
        <v>613.43</v>
      </c>
      <c r="R219" s="0" t="n">
        <v>5.29</v>
      </c>
      <c r="S219" s="0" t="n">
        <v>4.9</v>
      </c>
      <c r="T219" s="0" t="n">
        <v>4.79</v>
      </c>
      <c r="U219" s="0" t="n">
        <v>4.48</v>
      </c>
      <c r="V219" s="0" t="n">
        <v>4.73</v>
      </c>
      <c r="W219" s="0" t="n">
        <v>3.98</v>
      </c>
      <c r="X219" s="0" t="n">
        <v>3.98</v>
      </c>
      <c r="Y219" s="0" t="n">
        <v>1.69</v>
      </c>
      <c r="AB219" s="0" t="n">
        <v>3.81</v>
      </c>
      <c r="AC219" s="0" t="n">
        <v>4.79</v>
      </c>
      <c r="AD219" s="0" t="n">
        <v>13.63</v>
      </c>
      <c r="AE219" s="0" t="n">
        <v>13.51</v>
      </c>
      <c r="AF219" s="0" t="n">
        <v>2.52</v>
      </c>
      <c r="AH219" s="0" t="n">
        <v>12.73</v>
      </c>
      <c r="AI219" s="0" t="n">
        <v>14.99</v>
      </c>
      <c r="AJ219" s="0" t="n">
        <v>7.85</v>
      </c>
      <c r="AK219" s="0" t="n">
        <v>6.95</v>
      </c>
      <c r="AL219" s="0" t="n">
        <v>9.24</v>
      </c>
      <c r="AM219" s="0" t="n">
        <v>10.15</v>
      </c>
      <c r="AN219" s="0" t="n">
        <v>10.75</v>
      </c>
      <c r="AP219" s="0" t="n">
        <v>10.74</v>
      </c>
      <c r="AQ219" s="0" t="n">
        <v>6.47</v>
      </c>
      <c r="AR219" s="0" t="n">
        <v>4.92</v>
      </c>
      <c r="AS219" s="0" t="n">
        <v>4.26</v>
      </c>
      <c r="AT219" s="0" t="n">
        <v>2.16</v>
      </c>
      <c r="AU219" s="0" t="n">
        <v>9.6</v>
      </c>
    </row>
    <row r="220" customFormat="false" ht="14.25" hidden="false" customHeight="false" outlineLevel="0" collapsed="false">
      <c r="A220" s="0" t="n">
        <v>12.16</v>
      </c>
      <c r="B220" s="0" t="n">
        <v>3.77</v>
      </c>
      <c r="C220" s="0" t="n">
        <v>6.21</v>
      </c>
      <c r="D220" s="0" t="n">
        <v>9.64</v>
      </c>
      <c r="E220" s="0" t="n">
        <v>2.41</v>
      </c>
      <c r="F220" s="0" t="n">
        <v>19.34</v>
      </c>
      <c r="G220" s="0" t="n">
        <v>15.72</v>
      </c>
      <c r="H220" s="0" t="n">
        <v>2.87</v>
      </c>
      <c r="I220" s="0" t="n">
        <v>667.89</v>
      </c>
      <c r="J220" s="0" t="n">
        <v>4.57</v>
      </c>
      <c r="K220" s="0" t="n">
        <v>651.37</v>
      </c>
      <c r="L220" s="0" t="n">
        <v>646.06</v>
      </c>
      <c r="M220" s="0" t="n">
        <v>639.63</v>
      </c>
      <c r="N220" s="0" t="n">
        <v>631.61</v>
      </c>
      <c r="O220" s="0" t="n">
        <v>621.64</v>
      </c>
      <c r="P220" s="0" t="n">
        <v>613.42</v>
      </c>
      <c r="R220" s="0" t="n">
        <v>5.31</v>
      </c>
      <c r="S220" s="0" t="n">
        <v>4.82</v>
      </c>
      <c r="T220" s="0" t="n">
        <v>4.77</v>
      </c>
      <c r="U220" s="0" t="n">
        <v>4.51</v>
      </c>
      <c r="V220" s="0" t="n">
        <v>4.73</v>
      </c>
      <c r="W220" s="0" t="n">
        <v>3.96</v>
      </c>
      <c r="X220" s="0" t="n">
        <v>3.98</v>
      </c>
      <c r="Y220" s="0" t="n">
        <v>1.7</v>
      </c>
      <c r="AB220" s="0" t="n">
        <v>3.83</v>
      </c>
      <c r="AC220" s="0" t="n">
        <v>4.79</v>
      </c>
      <c r="AD220" s="0" t="n">
        <v>13.65</v>
      </c>
      <c r="AE220" s="0" t="n">
        <v>13.51</v>
      </c>
      <c r="AF220" s="0" t="n">
        <v>2.45</v>
      </c>
      <c r="AH220" s="0" t="n">
        <v>12.74</v>
      </c>
      <c r="AI220" s="0" t="n">
        <v>14.99</v>
      </c>
      <c r="AJ220" s="0" t="n">
        <v>7.84</v>
      </c>
      <c r="AK220" s="0" t="n">
        <v>6.97</v>
      </c>
      <c r="AL220" s="0" t="n">
        <v>9.25</v>
      </c>
      <c r="AM220" s="0" t="n">
        <v>10.21</v>
      </c>
      <c r="AN220" s="0" t="n">
        <v>10.67</v>
      </c>
      <c r="AP220" s="0" t="n">
        <v>10.73</v>
      </c>
      <c r="AQ220" s="0" t="n">
        <v>6.49</v>
      </c>
      <c r="AR220" s="0" t="n">
        <v>4.92</v>
      </c>
      <c r="AS220" s="0" t="n">
        <v>4.29</v>
      </c>
      <c r="AT220" s="0" t="n">
        <v>2.15</v>
      </c>
      <c r="AU220" s="0" t="n">
        <v>9.57</v>
      </c>
    </row>
    <row r="221" customFormat="false" ht="14.25" hidden="false" customHeight="false" outlineLevel="0" collapsed="false">
      <c r="A221" s="0" t="n">
        <v>12.18</v>
      </c>
      <c r="B221" s="0" t="n">
        <v>3.76</v>
      </c>
      <c r="C221" s="0" t="n">
        <v>6.21</v>
      </c>
      <c r="D221" s="0" t="n">
        <v>9.66</v>
      </c>
      <c r="E221" s="0" t="n">
        <v>2.41</v>
      </c>
      <c r="F221" s="0" t="n">
        <v>19.14</v>
      </c>
      <c r="G221" s="0" t="n">
        <v>15.71</v>
      </c>
      <c r="H221" s="0" t="n">
        <v>2.86</v>
      </c>
      <c r="I221" s="0" t="n">
        <v>667.91</v>
      </c>
      <c r="J221" s="0" t="n">
        <v>4.57</v>
      </c>
      <c r="K221" s="0" t="n">
        <v>651.43</v>
      </c>
      <c r="L221" s="0" t="n">
        <v>646.07</v>
      </c>
      <c r="M221" s="0" t="n">
        <v>639.63</v>
      </c>
      <c r="N221" s="0" t="n">
        <v>631.62</v>
      </c>
      <c r="O221" s="0" t="n">
        <v>621.6</v>
      </c>
      <c r="P221" s="0" t="n">
        <v>613.42</v>
      </c>
      <c r="R221" s="0" t="n">
        <v>5.29</v>
      </c>
      <c r="S221" s="0" t="n">
        <v>4.88</v>
      </c>
      <c r="T221" s="0" t="n">
        <v>4.76</v>
      </c>
      <c r="U221" s="0" t="n">
        <v>4.48</v>
      </c>
      <c r="V221" s="0" t="n">
        <v>4.74</v>
      </c>
      <c r="W221" s="0" t="n">
        <v>4</v>
      </c>
      <c r="X221" s="0" t="n">
        <v>3.98</v>
      </c>
      <c r="Y221" s="0" t="n">
        <v>1.67</v>
      </c>
      <c r="AB221" s="0" t="n">
        <v>3.83</v>
      </c>
      <c r="AC221" s="0" t="n">
        <v>4.8</v>
      </c>
      <c r="AD221" s="0" t="n">
        <v>13.62</v>
      </c>
      <c r="AE221" s="0" t="n">
        <v>13.5</v>
      </c>
      <c r="AF221" s="0" t="n">
        <v>2.39</v>
      </c>
      <c r="AH221" s="0" t="n">
        <v>12.73</v>
      </c>
      <c r="AI221" s="0" t="n">
        <v>14.99</v>
      </c>
      <c r="AJ221" s="0" t="n">
        <v>7.85</v>
      </c>
      <c r="AK221" s="0" t="n">
        <v>6.97</v>
      </c>
      <c r="AL221" s="0" t="n">
        <v>9.24</v>
      </c>
      <c r="AM221" s="0" t="n">
        <v>10.21</v>
      </c>
      <c r="AN221" s="0" t="n">
        <v>10.79</v>
      </c>
      <c r="AP221" s="0" t="n">
        <v>10.74</v>
      </c>
      <c r="AQ221" s="0" t="n">
        <v>6.46</v>
      </c>
      <c r="AR221" s="0" t="n">
        <v>4.93</v>
      </c>
      <c r="AS221" s="0" t="n">
        <v>4.28</v>
      </c>
      <c r="AT221" s="0" t="n">
        <v>2.17</v>
      </c>
      <c r="AU221" s="0" t="n">
        <v>9.55</v>
      </c>
    </row>
    <row r="222" customFormat="false" ht="14.25" hidden="false" customHeight="false" outlineLevel="0" collapsed="false">
      <c r="A222" s="0" t="n">
        <v>12.17</v>
      </c>
      <c r="B222" s="0" t="n">
        <v>3.77</v>
      </c>
      <c r="C222" s="0" t="n">
        <v>6.2</v>
      </c>
      <c r="D222" s="0" t="n">
        <v>9.66</v>
      </c>
      <c r="E222" s="0" t="n">
        <v>2.34</v>
      </c>
      <c r="F222" s="0" t="n">
        <v>19.14</v>
      </c>
      <c r="G222" s="0" t="n">
        <v>15.61</v>
      </c>
      <c r="H222" s="0" t="n">
        <v>2.87</v>
      </c>
      <c r="I222" s="0" t="n">
        <v>667.89</v>
      </c>
      <c r="J222" s="0" t="n">
        <v>4.57</v>
      </c>
      <c r="K222" s="0" t="n">
        <v>651.37</v>
      </c>
      <c r="L222" s="0" t="n">
        <v>646.07</v>
      </c>
      <c r="M222" s="0" t="n">
        <v>639.63</v>
      </c>
      <c r="N222" s="0" t="n">
        <v>631.61</v>
      </c>
      <c r="O222" s="0" t="n">
        <v>621.58</v>
      </c>
      <c r="P222" s="0" t="n">
        <v>613.42</v>
      </c>
      <c r="R222" s="0" t="n">
        <v>5.32</v>
      </c>
      <c r="S222" s="0" t="n">
        <v>4.87</v>
      </c>
      <c r="T222" s="0" t="n">
        <v>4.76</v>
      </c>
      <c r="U222" s="0" t="n">
        <v>4.56</v>
      </c>
      <c r="V222" s="0" t="n">
        <v>4.73</v>
      </c>
      <c r="W222" s="0" t="n">
        <v>3.97</v>
      </c>
      <c r="X222" s="0" t="n">
        <v>3.98</v>
      </c>
      <c r="Y222" s="0" t="n">
        <v>1.68</v>
      </c>
      <c r="AB222" s="0" t="n">
        <v>3.83</v>
      </c>
      <c r="AC222" s="0" t="n">
        <v>4.77</v>
      </c>
      <c r="AD222" s="0" t="n">
        <v>13.53</v>
      </c>
      <c r="AE222" s="0" t="n">
        <v>13.42</v>
      </c>
      <c r="AF222" s="0" t="n">
        <v>2.44</v>
      </c>
      <c r="AH222" s="0" t="n">
        <v>12.75</v>
      </c>
      <c r="AI222" s="0" t="n">
        <v>14.98</v>
      </c>
      <c r="AJ222" s="0" t="n">
        <v>7.85</v>
      </c>
      <c r="AK222" s="0" t="n">
        <v>6.99</v>
      </c>
      <c r="AL222" s="0" t="n">
        <v>9.25</v>
      </c>
      <c r="AM222" s="0" t="n">
        <v>10.18</v>
      </c>
      <c r="AN222" s="0" t="n">
        <v>10.85</v>
      </c>
      <c r="AP222" s="0" t="n">
        <v>10.74</v>
      </c>
      <c r="AQ222" s="0" t="n">
        <v>6.43</v>
      </c>
      <c r="AR222" s="0" t="n">
        <v>4.94</v>
      </c>
      <c r="AS222" s="0" t="n">
        <v>4.28</v>
      </c>
      <c r="AT222" s="0" t="n">
        <v>2.15</v>
      </c>
      <c r="AU222" s="0" t="n">
        <v>9.52</v>
      </c>
    </row>
    <row r="223" customFormat="false" ht="14.25" hidden="false" customHeight="false" outlineLevel="0" collapsed="false">
      <c r="A223" s="0" t="n">
        <v>12.19</v>
      </c>
      <c r="B223" s="0" t="n">
        <v>3.77</v>
      </c>
      <c r="C223" s="0" t="n">
        <v>6.19</v>
      </c>
      <c r="D223" s="0" t="n">
        <v>9.64</v>
      </c>
      <c r="E223" s="0" t="n">
        <v>2.32</v>
      </c>
      <c r="F223" s="0" t="n">
        <v>19.07</v>
      </c>
      <c r="G223" s="0" t="n">
        <v>15.39</v>
      </c>
      <c r="H223" s="0" t="n">
        <v>2.87</v>
      </c>
      <c r="I223" s="0" t="n">
        <v>667.9</v>
      </c>
      <c r="J223" s="0" t="n">
        <v>4.57</v>
      </c>
      <c r="K223" s="0" t="n">
        <v>651.37</v>
      </c>
      <c r="L223" s="0" t="n">
        <v>646.06</v>
      </c>
      <c r="M223" s="0" t="n">
        <v>639.62</v>
      </c>
      <c r="N223" s="0" t="n">
        <v>631.62</v>
      </c>
      <c r="O223" s="0" t="n">
        <v>621.59</v>
      </c>
      <c r="P223" s="0" t="n">
        <v>613.42</v>
      </c>
      <c r="R223" s="0" t="n">
        <v>5.32</v>
      </c>
      <c r="S223" s="0" t="n">
        <v>4.9</v>
      </c>
      <c r="T223" s="0" t="n">
        <v>4.76</v>
      </c>
      <c r="U223" s="0" t="n">
        <v>4.5</v>
      </c>
      <c r="V223" s="0" t="n">
        <v>4.73</v>
      </c>
      <c r="W223" s="0" t="n">
        <v>4</v>
      </c>
      <c r="X223" s="0" t="n">
        <v>3.99</v>
      </c>
      <c r="Y223" s="0" t="n">
        <v>1.68</v>
      </c>
      <c r="AB223" s="0" t="n">
        <v>3.86</v>
      </c>
      <c r="AC223" s="0" t="n">
        <v>4.86</v>
      </c>
      <c r="AD223" s="0" t="n">
        <v>13.25</v>
      </c>
      <c r="AE223" s="0" t="n">
        <v>13.13</v>
      </c>
      <c r="AF223" s="0" t="n">
        <v>2.54</v>
      </c>
      <c r="AH223" s="0" t="n">
        <v>12.72</v>
      </c>
      <c r="AI223" s="0" t="n">
        <v>14.99</v>
      </c>
      <c r="AJ223" s="0" t="n">
        <v>7.85</v>
      </c>
      <c r="AK223" s="0" t="n">
        <v>6.99</v>
      </c>
      <c r="AL223" s="0" t="n">
        <v>9.26</v>
      </c>
      <c r="AM223" s="0" t="n">
        <v>10.18</v>
      </c>
      <c r="AN223" s="0" t="n">
        <v>10.82</v>
      </c>
      <c r="AP223" s="0" t="n">
        <v>10.75</v>
      </c>
      <c r="AQ223" s="0" t="n">
        <v>6.42</v>
      </c>
      <c r="AR223" s="0" t="n">
        <v>4.94</v>
      </c>
      <c r="AS223" s="0" t="n">
        <v>4.28</v>
      </c>
      <c r="AT223" s="0" t="n">
        <v>2.16</v>
      </c>
      <c r="AU223" s="0" t="n">
        <v>9.48</v>
      </c>
    </row>
    <row r="224" customFormat="false" ht="14.25" hidden="false" customHeight="false" outlineLevel="0" collapsed="false">
      <c r="A224" s="0" t="n">
        <v>12.2</v>
      </c>
      <c r="B224" s="0" t="n">
        <v>3.77</v>
      </c>
      <c r="C224" s="0" t="n">
        <v>6.18</v>
      </c>
      <c r="D224" s="0" t="n">
        <v>9.68</v>
      </c>
      <c r="E224" s="0" t="n">
        <v>2.28</v>
      </c>
      <c r="F224" s="0" t="n">
        <v>19.11</v>
      </c>
      <c r="G224" s="0" t="n">
        <v>15.5</v>
      </c>
      <c r="H224" s="0" t="n">
        <v>2.86</v>
      </c>
      <c r="I224" s="0" t="n">
        <v>667.89</v>
      </c>
      <c r="J224" s="0" t="n">
        <v>4.57</v>
      </c>
      <c r="K224" s="0" t="n">
        <v>651.37</v>
      </c>
      <c r="L224" s="0" t="n">
        <v>646.07</v>
      </c>
      <c r="M224" s="0" t="n">
        <v>639.62</v>
      </c>
      <c r="N224" s="0" t="n">
        <v>631.62</v>
      </c>
      <c r="O224" s="0" t="n">
        <v>621.56</v>
      </c>
      <c r="P224" s="0" t="n">
        <v>613.42</v>
      </c>
      <c r="R224" s="0" t="n">
        <v>5.29</v>
      </c>
      <c r="S224" s="0" t="n">
        <v>4.91</v>
      </c>
      <c r="T224" s="0" t="n">
        <v>4.75</v>
      </c>
      <c r="U224" s="0" t="n">
        <v>4.49</v>
      </c>
      <c r="V224" s="0" t="n">
        <v>4.74</v>
      </c>
      <c r="W224" s="0" t="n">
        <v>4</v>
      </c>
      <c r="X224" s="0" t="n">
        <v>4</v>
      </c>
      <c r="Y224" s="0" t="n">
        <v>1.67</v>
      </c>
      <c r="AB224" s="0" t="n">
        <v>3.89</v>
      </c>
      <c r="AC224" s="0" t="n">
        <v>4.89</v>
      </c>
      <c r="AD224" s="0" t="n">
        <v>13.23</v>
      </c>
      <c r="AE224" s="0" t="n">
        <v>13.22</v>
      </c>
      <c r="AF224" s="0" t="n">
        <v>2.28</v>
      </c>
      <c r="AH224" s="0" t="n">
        <v>12.73</v>
      </c>
      <c r="AI224" s="0" t="n">
        <v>14.98</v>
      </c>
      <c r="AJ224" s="0" t="n">
        <v>7.85</v>
      </c>
      <c r="AK224" s="0" t="n">
        <v>7</v>
      </c>
      <c r="AL224" s="0" t="n">
        <v>9.26</v>
      </c>
      <c r="AM224" s="0" t="n">
        <v>10.1</v>
      </c>
      <c r="AN224" s="0" t="n">
        <v>10.7</v>
      </c>
      <c r="AP224" s="0" t="n">
        <v>10.73</v>
      </c>
      <c r="AQ224" s="0" t="n">
        <v>6.45</v>
      </c>
      <c r="AR224" s="0" t="n">
        <v>4.92</v>
      </c>
      <c r="AS224" s="0" t="n">
        <v>4.28</v>
      </c>
      <c r="AT224" s="0" t="n">
        <v>2.16</v>
      </c>
      <c r="AU224" s="0" t="n">
        <v>9.46</v>
      </c>
    </row>
    <row r="225" customFormat="false" ht="14.25" hidden="false" customHeight="false" outlineLevel="0" collapsed="false">
      <c r="A225" s="0" t="n">
        <v>12.19</v>
      </c>
      <c r="B225" s="0" t="n">
        <v>3.75</v>
      </c>
      <c r="C225" s="0" t="n">
        <v>6.16</v>
      </c>
      <c r="D225" s="0" t="n">
        <v>9.64</v>
      </c>
      <c r="E225" s="0" t="n">
        <v>2.25</v>
      </c>
      <c r="F225" s="0" t="n">
        <v>19.14</v>
      </c>
      <c r="G225" s="0" t="n">
        <v>15.48</v>
      </c>
      <c r="H225" s="0" t="n">
        <v>2.87</v>
      </c>
      <c r="I225" s="0" t="n">
        <v>667.87</v>
      </c>
      <c r="J225" s="0" t="n">
        <v>4.58</v>
      </c>
      <c r="K225" s="0" t="n">
        <v>651.37</v>
      </c>
      <c r="L225" s="0" t="n">
        <v>646.07</v>
      </c>
      <c r="M225" s="0" t="n">
        <v>639.62</v>
      </c>
      <c r="N225" s="0" t="n">
        <v>631.62</v>
      </c>
      <c r="O225" s="0" t="n">
        <v>621.59</v>
      </c>
      <c r="P225" s="0" t="n">
        <v>613.43</v>
      </c>
      <c r="R225" s="0" t="n">
        <v>5.3</v>
      </c>
      <c r="S225" s="0" t="n">
        <v>4.87</v>
      </c>
      <c r="T225" s="0" t="n">
        <v>4.76</v>
      </c>
      <c r="U225" s="0" t="n">
        <v>4.49</v>
      </c>
      <c r="V225" s="0" t="n">
        <v>4.74</v>
      </c>
      <c r="W225" s="0" t="n">
        <v>4</v>
      </c>
      <c r="X225" s="0" t="n">
        <v>3.99</v>
      </c>
      <c r="Y225" s="0" t="n">
        <v>1.68</v>
      </c>
      <c r="AB225" s="0" t="n">
        <v>3.9</v>
      </c>
      <c r="AC225" s="0" t="n">
        <v>4.85</v>
      </c>
      <c r="AD225" s="0" t="n">
        <v>13.15</v>
      </c>
      <c r="AE225" s="0" t="n">
        <v>13.24</v>
      </c>
      <c r="AF225" s="0" t="n">
        <v>2.36</v>
      </c>
      <c r="AH225" s="0" t="n">
        <v>12.74</v>
      </c>
      <c r="AI225" s="0" t="n">
        <v>14.96</v>
      </c>
      <c r="AJ225" s="0" t="n">
        <v>7.85</v>
      </c>
      <c r="AK225" s="0" t="n">
        <v>7</v>
      </c>
      <c r="AL225" s="0" t="n">
        <v>9.24</v>
      </c>
      <c r="AM225" s="0" t="n">
        <v>10.11</v>
      </c>
      <c r="AN225" s="0" t="n">
        <v>10.74</v>
      </c>
      <c r="AP225" s="0" t="n">
        <v>10.74</v>
      </c>
      <c r="AQ225" s="0" t="n">
        <v>6.45</v>
      </c>
      <c r="AR225" s="0" t="n">
        <v>4.93</v>
      </c>
      <c r="AS225" s="0" t="n">
        <v>4.28</v>
      </c>
      <c r="AT225" s="0" t="n">
        <v>2.17</v>
      </c>
      <c r="AU225" s="0" t="n">
        <v>9.41</v>
      </c>
    </row>
    <row r="226" customFormat="false" ht="14.25" hidden="false" customHeight="false" outlineLevel="0" collapsed="false">
      <c r="A226" s="0" t="n">
        <v>12.19</v>
      </c>
      <c r="B226" s="0" t="n">
        <v>3.75</v>
      </c>
      <c r="C226" s="0" t="n">
        <v>6.15</v>
      </c>
      <c r="D226" s="0" t="n">
        <v>9.65</v>
      </c>
      <c r="E226" s="0" t="n">
        <v>2.21</v>
      </c>
      <c r="F226" s="0" t="n">
        <v>19.21</v>
      </c>
      <c r="G226" s="0" t="n">
        <v>15.46</v>
      </c>
      <c r="H226" s="0" t="n">
        <v>2.86</v>
      </c>
      <c r="I226" s="0" t="n">
        <v>667.87</v>
      </c>
      <c r="J226" s="0" t="n">
        <v>4.58</v>
      </c>
      <c r="K226" s="0" t="n">
        <v>651.37</v>
      </c>
      <c r="L226" s="0" t="n">
        <v>646.07</v>
      </c>
      <c r="M226" s="0" t="n">
        <v>639.62</v>
      </c>
      <c r="N226" s="0" t="n">
        <v>631.62</v>
      </c>
      <c r="O226" s="0" t="n">
        <v>621.6</v>
      </c>
      <c r="P226" s="0" t="n">
        <v>613.42</v>
      </c>
      <c r="R226" s="0" t="n">
        <v>5.3</v>
      </c>
      <c r="S226" s="0" t="n">
        <v>4.86</v>
      </c>
      <c r="T226" s="0" t="n">
        <v>4.76</v>
      </c>
      <c r="U226" s="0" t="n">
        <v>4.41</v>
      </c>
      <c r="V226" s="0" t="n">
        <v>4.73</v>
      </c>
      <c r="W226" s="0" t="n">
        <v>3.99</v>
      </c>
      <c r="X226" s="0" t="n">
        <v>4</v>
      </c>
      <c r="Y226" s="0" t="n">
        <v>1.66</v>
      </c>
      <c r="AB226" s="0" t="n">
        <v>3.89</v>
      </c>
      <c r="AC226" s="0" t="n">
        <v>4.85</v>
      </c>
      <c r="AD226" s="0" t="n">
        <v>13.11</v>
      </c>
      <c r="AE226" s="0" t="n">
        <v>13.25</v>
      </c>
      <c r="AF226" s="0" t="n">
        <v>2.32</v>
      </c>
      <c r="AH226" s="0" t="n">
        <v>12.75</v>
      </c>
      <c r="AI226" s="0" t="n">
        <v>14.99</v>
      </c>
      <c r="AJ226" s="0" t="n">
        <v>7.85</v>
      </c>
      <c r="AK226" s="0" t="n">
        <v>7</v>
      </c>
      <c r="AL226" s="0" t="n">
        <v>9.28</v>
      </c>
      <c r="AM226" s="0" t="n">
        <v>10.3</v>
      </c>
      <c r="AN226" s="0" t="n">
        <v>10.74</v>
      </c>
      <c r="AP226" s="0" t="n">
        <v>10.73</v>
      </c>
      <c r="AQ226" s="0" t="n">
        <v>6.45</v>
      </c>
      <c r="AR226" s="0" t="n">
        <v>4.94</v>
      </c>
      <c r="AS226" s="0" t="n">
        <v>4.29</v>
      </c>
      <c r="AT226" s="0" t="n">
        <v>2.16</v>
      </c>
      <c r="AU226" s="0" t="n">
        <v>9.37</v>
      </c>
    </row>
    <row r="227" customFormat="false" ht="14.25" hidden="false" customHeight="false" outlineLevel="0" collapsed="false">
      <c r="A227" s="0" t="n">
        <v>12.19</v>
      </c>
      <c r="B227" s="0" t="n">
        <v>3.73</v>
      </c>
      <c r="C227" s="0" t="n">
        <v>6.14</v>
      </c>
      <c r="D227" s="0" t="n">
        <v>9.66</v>
      </c>
      <c r="E227" s="0" t="n">
        <v>2.15</v>
      </c>
      <c r="F227" s="0" t="n">
        <v>19.17</v>
      </c>
      <c r="G227" s="0" t="n">
        <v>15.38</v>
      </c>
      <c r="H227" s="0" t="n">
        <v>2.86</v>
      </c>
      <c r="I227" s="0" t="n">
        <v>667.87</v>
      </c>
      <c r="J227" s="0" t="n">
        <v>4.58</v>
      </c>
      <c r="K227" s="0" t="n">
        <v>651.38</v>
      </c>
      <c r="L227" s="0" t="n">
        <v>646.07</v>
      </c>
      <c r="M227" s="0" t="n">
        <v>639.62</v>
      </c>
      <c r="N227" s="0" t="n">
        <v>631.62</v>
      </c>
      <c r="O227" s="0" t="n">
        <v>621.64</v>
      </c>
      <c r="P227" s="0" t="n">
        <v>613.42</v>
      </c>
      <c r="R227" s="0" t="n">
        <v>5.25</v>
      </c>
      <c r="S227" s="0" t="n">
        <v>4.85</v>
      </c>
      <c r="T227" s="0" t="n">
        <v>4.75</v>
      </c>
      <c r="U227" s="0" t="n">
        <v>4.48</v>
      </c>
      <c r="V227" s="0" t="n">
        <v>4.74</v>
      </c>
      <c r="W227" s="0" t="n">
        <v>3.97</v>
      </c>
      <c r="X227" s="0" t="n">
        <v>4</v>
      </c>
      <c r="Y227" s="0" t="n">
        <v>1.72</v>
      </c>
      <c r="AB227" s="0" t="n">
        <v>3.87</v>
      </c>
      <c r="AC227" s="0" t="n">
        <v>4.8</v>
      </c>
      <c r="AD227" s="0" t="n">
        <v>13.27</v>
      </c>
      <c r="AE227" s="0" t="n">
        <v>13.25</v>
      </c>
      <c r="AF227" s="0" t="n">
        <v>2.33</v>
      </c>
      <c r="AH227" s="0" t="n">
        <v>12.76</v>
      </c>
      <c r="AI227" s="0" t="n">
        <v>14.98</v>
      </c>
      <c r="AJ227" s="0" t="n">
        <v>7.85</v>
      </c>
      <c r="AK227" s="0" t="n">
        <v>7.01</v>
      </c>
      <c r="AL227" s="0" t="n">
        <v>9.3</v>
      </c>
      <c r="AM227" s="0" t="n">
        <v>10.17</v>
      </c>
      <c r="AN227" s="0" t="n">
        <v>10.72</v>
      </c>
      <c r="AP227" s="0" t="n">
        <v>10.72</v>
      </c>
      <c r="AQ227" s="0" t="n">
        <v>6.46</v>
      </c>
      <c r="AR227" s="0" t="n">
        <v>4.93</v>
      </c>
      <c r="AS227" s="0" t="n">
        <v>4.3</v>
      </c>
      <c r="AT227" s="0" t="n">
        <v>2.16</v>
      </c>
      <c r="AU227" s="0" t="n">
        <v>9.34</v>
      </c>
    </row>
    <row r="228" customFormat="false" ht="14.25" hidden="false" customHeight="false" outlineLevel="0" collapsed="false">
      <c r="A228" s="0" t="n">
        <v>12.18</v>
      </c>
      <c r="B228" s="0" t="n">
        <v>3.73</v>
      </c>
      <c r="C228" s="0" t="n">
        <v>6.13</v>
      </c>
      <c r="D228" s="0" t="n">
        <v>9.66</v>
      </c>
      <c r="E228" s="0" t="n">
        <v>2.17</v>
      </c>
      <c r="F228" s="0" t="n">
        <v>19.17</v>
      </c>
      <c r="G228" s="0" t="n">
        <v>15.46</v>
      </c>
      <c r="H228" s="0" t="n">
        <v>2.88</v>
      </c>
      <c r="I228" s="0" t="n">
        <v>667.87</v>
      </c>
      <c r="J228" s="0" t="n">
        <v>4.58</v>
      </c>
      <c r="K228" s="0" t="n">
        <v>651.37</v>
      </c>
      <c r="L228" s="0" t="n">
        <v>646.07</v>
      </c>
      <c r="M228" s="0" t="n">
        <v>639.62</v>
      </c>
      <c r="N228" s="0" t="n">
        <v>631.62</v>
      </c>
      <c r="O228" s="0" t="n">
        <v>621.59</v>
      </c>
      <c r="P228" s="0" t="n">
        <v>613.42</v>
      </c>
      <c r="R228" s="0" t="n">
        <v>5.29</v>
      </c>
      <c r="S228" s="0" t="n">
        <v>4.86</v>
      </c>
      <c r="T228" s="0" t="n">
        <v>4.76</v>
      </c>
      <c r="U228" s="0" t="n">
        <v>4.46</v>
      </c>
      <c r="V228" s="0" t="n">
        <v>4.73</v>
      </c>
      <c r="W228" s="0" t="n">
        <v>4.01</v>
      </c>
      <c r="X228" s="0" t="n">
        <v>4</v>
      </c>
      <c r="Y228" s="0" t="n">
        <v>1.71</v>
      </c>
      <c r="AB228" s="0" t="n">
        <v>3.86</v>
      </c>
      <c r="AC228" s="0" t="n">
        <v>4.82</v>
      </c>
      <c r="AD228" s="0" t="n">
        <v>13.31</v>
      </c>
      <c r="AE228" s="0" t="n">
        <v>13.24</v>
      </c>
      <c r="AF228" s="0" t="n">
        <v>2.33</v>
      </c>
      <c r="AH228" s="0" t="n">
        <v>12.76</v>
      </c>
      <c r="AI228" s="0" t="n">
        <v>14.99</v>
      </c>
      <c r="AJ228" s="0" t="n">
        <v>7.85</v>
      </c>
      <c r="AK228" s="0" t="n">
        <v>7.02</v>
      </c>
      <c r="AL228" s="0" t="n">
        <v>9.31</v>
      </c>
      <c r="AM228" s="0" t="n">
        <v>10.16</v>
      </c>
      <c r="AN228" s="0" t="n">
        <v>10.7</v>
      </c>
      <c r="AP228" s="0" t="n">
        <v>10.73</v>
      </c>
      <c r="AQ228" s="0" t="n">
        <v>6.5</v>
      </c>
      <c r="AR228" s="0" t="n">
        <v>4.93</v>
      </c>
      <c r="AS228" s="0" t="n">
        <v>4.29</v>
      </c>
      <c r="AT228" s="0" t="n">
        <v>2.18</v>
      </c>
      <c r="AU228" s="0" t="n">
        <v>9.35</v>
      </c>
    </row>
    <row r="229" customFormat="false" ht="14.25" hidden="false" customHeight="false" outlineLevel="0" collapsed="false">
      <c r="A229" s="0" t="n">
        <v>12.18</v>
      </c>
      <c r="B229" s="0" t="n">
        <v>3.71</v>
      </c>
      <c r="C229" s="0" t="n">
        <v>6.12</v>
      </c>
      <c r="D229" s="0" t="n">
        <v>9.66</v>
      </c>
      <c r="E229" s="0" t="n">
        <v>2.15</v>
      </c>
      <c r="F229" s="0" t="n">
        <v>19.18</v>
      </c>
      <c r="G229" s="0" t="n">
        <v>15.45</v>
      </c>
      <c r="H229" s="0" t="n">
        <v>2.89</v>
      </c>
      <c r="I229" s="0" t="n">
        <v>667.89</v>
      </c>
      <c r="J229" s="0" t="n">
        <v>4.58</v>
      </c>
      <c r="K229" s="0" t="n">
        <v>651.37</v>
      </c>
      <c r="L229" s="0" t="n">
        <v>646.07</v>
      </c>
      <c r="M229" s="0" t="n">
        <v>639.62</v>
      </c>
      <c r="N229" s="0" t="n">
        <v>631.62</v>
      </c>
      <c r="O229" s="0" t="n">
        <v>621.61</v>
      </c>
      <c r="P229" s="0" t="n">
        <v>613.42</v>
      </c>
      <c r="R229" s="0" t="n">
        <v>5.28</v>
      </c>
      <c r="S229" s="0" t="n">
        <v>4.86</v>
      </c>
      <c r="T229" s="0" t="n">
        <v>4.76</v>
      </c>
      <c r="U229" s="0" t="n">
        <v>4.49</v>
      </c>
      <c r="V229" s="0" t="n">
        <v>4.74</v>
      </c>
      <c r="W229" s="0" t="n">
        <v>3.98</v>
      </c>
      <c r="X229" s="0" t="n">
        <v>4</v>
      </c>
      <c r="Y229" s="0" t="n">
        <v>1.72</v>
      </c>
      <c r="AB229" s="0" t="n">
        <v>3.89</v>
      </c>
      <c r="AC229" s="0" t="n">
        <v>4.77</v>
      </c>
      <c r="AD229" s="0" t="n">
        <v>13.3</v>
      </c>
      <c r="AE229" s="0" t="n">
        <v>13.23</v>
      </c>
      <c r="AF229" s="0" t="n">
        <v>2.31</v>
      </c>
      <c r="AH229" s="0" t="n">
        <v>12.75</v>
      </c>
      <c r="AI229" s="0" t="n">
        <v>14.99</v>
      </c>
      <c r="AJ229" s="0" t="n">
        <v>7.86</v>
      </c>
      <c r="AK229" s="0" t="n">
        <v>7.03</v>
      </c>
      <c r="AL229" s="0" t="n">
        <v>9.3</v>
      </c>
      <c r="AM229" s="0" t="n">
        <v>10.18</v>
      </c>
      <c r="AN229" s="0" t="n">
        <v>10.65</v>
      </c>
      <c r="AP229" s="0" t="n">
        <v>10.73</v>
      </c>
      <c r="AQ229" s="0" t="n">
        <v>6.48</v>
      </c>
      <c r="AR229" s="0" t="n">
        <v>4.93</v>
      </c>
      <c r="AS229" s="0" t="n">
        <v>4.28</v>
      </c>
      <c r="AT229" s="0" t="n">
        <v>2.18</v>
      </c>
      <c r="AU229" s="0" t="n">
        <v>9.32</v>
      </c>
    </row>
    <row r="230" customFormat="false" ht="14.25" hidden="false" customHeight="false" outlineLevel="0" collapsed="false">
      <c r="A230" s="0" t="n">
        <v>12.21</v>
      </c>
      <c r="B230" s="0" t="n">
        <v>3.7</v>
      </c>
      <c r="C230" s="0" t="n">
        <v>6.11</v>
      </c>
      <c r="D230" s="0" t="n">
        <v>9.66</v>
      </c>
      <c r="E230" s="0" t="n">
        <v>2.18</v>
      </c>
      <c r="F230" s="0" t="n">
        <v>19.2</v>
      </c>
      <c r="G230" s="0" t="n">
        <v>15.44</v>
      </c>
      <c r="H230" s="0" t="n">
        <v>2.86</v>
      </c>
      <c r="I230" s="0" t="n">
        <v>667.9</v>
      </c>
      <c r="J230" s="0" t="n">
        <v>4.59</v>
      </c>
      <c r="K230" s="0" t="n">
        <v>651.37</v>
      </c>
      <c r="L230" s="0" t="n">
        <v>646.07</v>
      </c>
      <c r="M230" s="0" t="n">
        <v>639.62</v>
      </c>
      <c r="N230" s="0" t="n">
        <v>631.62</v>
      </c>
      <c r="O230" s="0" t="n">
        <v>621.58</v>
      </c>
      <c r="P230" s="0" t="n">
        <v>613.42</v>
      </c>
      <c r="R230" s="0" t="n">
        <v>5.31</v>
      </c>
      <c r="S230" s="0" t="n">
        <v>4.85</v>
      </c>
      <c r="T230" s="0" t="n">
        <v>4.76</v>
      </c>
      <c r="U230" s="0" t="n">
        <v>4.5</v>
      </c>
      <c r="V230" s="0" t="n">
        <v>4.74</v>
      </c>
      <c r="W230" s="0" t="n">
        <v>3.99</v>
      </c>
      <c r="X230" s="0" t="n">
        <v>4.01</v>
      </c>
      <c r="Y230" s="0" t="n">
        <v>1.71</v>
      </c>
      <c r="AB230" s="0" t="n">
        <v>3.88</v>
      </c>
      <c r="AC230" s="0" t="n">
        <v>4.86</v>
      </c>
      <c r="AD230" s="0" t="n">
        <v>13.28</v>
      </c>
      <c r="AE230" s="0" t="n">
        <v>13.22</v>
      </c>
      <c r="AF230" s="0" t="n">
        <v>2.44</v>
      </c>
      <c r="AH230" s="0" t="n">
        <v>12.75</v>
      </c>
      <c r="AI230" s="0" t="n">
        <v>14.99</v>
      </c>
      <c r="AJ230" s="0" t="n">
        <v>7.85</v>
      </c>
      <c r="AK230" s="0" t="n">
        <v>7.02</v>
      </c>
      <c r="AL230" s="0" t="n">
        <v>9.31</v>
      </c>
      <c r="AM230" s="0" t="n">
        <v>10.19</v>
      </c>
      <c r="AN230" s="0" t="n">
        <v>10.66</v>
      </c>
      <c r="AP230" s="0" t="n">
        <v>10.73</v>
      </c>
      <c r="AQ230" s="0" t="n">
        <v>6.49</v>
      </c>
      <c r="AR230" s="0" t="n">
        <v>4.92</v>
      </c>
      <c r="AS230" s="0" t="n">
        <v>4.3</v>
      </c>
      <c r="AT230" s="0" t="n">
        <v>2.17</v>
      </c>
      <c r="AU230" s="0" t="n">
        <v>9.32</v>
      </c>
    </row>
    <row r="231" customFormat="false" ht="14.25" hidden="false" customHeight="false" outlineLevel="0" collapsed="false">
      <c r="A231" s="0" t="n">
        <v>12.22</v>
      </c>
      <c r="B231" s="0" t="n">
        <v>3.69</v>
      </c>
      <c r="C231" s="0" t="n">
        <v>6.1</v>
      </c>
      <c r="D231" s="0" t="n">
        <v>9.65</v>
      </c>
      <c r="E231" s="0" t="n">
        <v>2.15</v>
      </c>
      <c r="F231" s="0" t="n">
        <v>19.21</v>
      </c>
      <c r="G231" s="0" t="n">
        <v>15.44</v>
      </c>
      <c r="H231" s="0" t="n">
        <v>2.88</v>
      </c>
      <c r="I231" s="0" t="n">
        <v>667.89</v>
      </c>
      <c r="J231" s="0" t="n">
        <v>4.59</v>
      </c>
      <c r="K231" s="0" t="n">
        <v>651.37</v>
      </c>
      <c r="L231" s="0" t="n">
        <v>646.07</v>
      </c>
      <c r="M231" s="0" t="n">
        <v>639.62</v>
      </c>
      <c r="N231" s="0" t="n">
        <v>631.61</v>
      </c>
      <c r="O231" s="0" t="n">
        <v>621.58</v>
      </c>
      <c r="P231" s="0" t="n">
        <v>613.42</v>
      </c>
      <c r="R231" s="0" t="n">
        <v>5.31</v>
      </c>
      <c r="S231" s="0" t="n">
        <v>4.86</v>
      </c>
      <c r="T231" s="0" t="n">
        <v>4.77</v>
      </c>
      <c r="U231" s="0" t="n">
        <v>4.5</v>
      </c>
      <c r="V231" s="0" t="n">
        <v>4.74</v>
      </c>
      <c r="W231" s="0" t="n">
        <v>4.01</v>
      </c>
      <c r="X231" s="0" t="n">
        <v>4</v>
      </c>
      <c r="Y231" s="0" t="n">
        <v>1.74</v>
      </c>
      <c r="AB231" s="0" t="n">
        <v>3.89</v>
      </c>
      <c r="AC231" s="0" t="n">
        <v>4.88</v>
      </c>
      <c r="AD231" s="0" t="n">
        <v>13.3</v>
      </c>
      <c r="AE231" s="0" t="n">
        <v>13.21</v>
      </c>
      <c r="AF231" s="0" t="n">
        <v>2.29</v>
      </c>
      <c r="AH231" s="0" t="n">
        <v>12.75</v>
      </c>
      <c r="AI231" s="0" t="n">
        <v>14.99</v>
      </c>
      <c r="AJ231" s="0" t="n">
        <v>7.85</v>
      </c>
      <c r="AK231" s="0" t="n">
        <v>7.02</v>
      </c>
      <c r="AL231" s="0" t="n">
        <v>9.32</v>
      </c>
      <c r="AM231" s="0" t="n">
        <v>10.09</v>
      </c>
      <c r="AN231" s="0" t="n">
        <v>10.68</v>
      </c>
      <c r="AP231" s="0" t="n">
        <v>10.74</v>
      </c>
      <c r="AQ231" s="0" t="n">
        <v>6.5</v>
      </c>
      <c r="AR231" s="0" t="n">
        <v>4.93</v>
      </c>
      <c r="AS231" s="0" t="n">
        <v>4.3</v>
      </c>
      <c r="AT231" s="0" t="n">
        <v>2.18</v>
      </c>
      <c r="AU231" s="0" t="n">
        <v>9.29</v>
      </c>
    </row>
    <row r="232" customFormat="false" ht="14.25" hidden="false" customHeight="false" outlineLevel="0" collapsed="false">
      <c r="A232" s="0" t="n">
        <v>12.17</v>
      </c>
      <c r="B232" s="0" t="n">
        <v>3.67</v>
      </c>
      <c r="C232" s="0" t="n">
        <v>6.09</v>
      </c>
      <c r="D232" s="0" t="n">
        <v>9.64</v>
      </c>
      <c r="E232" s="0" t="n">
        <v>2.17</v>
      </c>
      <c r="F232" s="0" t="n">
        <v>19.22</v>
      </c>
      <c r="G232" s="0" t="n">
        <v>15.42</v>
      </c>
      <c r="H232" s="0" t="n">
        <v>2.84</v>
      </c>
      <c r="I232" s="0" t="n">
        <v>667.87</v>
      </c>
      <c r="J232" s="0" t="n">
        <v>4.59</v>
      </c>
      <c r="K232" s="0" t="n">
        <v>651.37</v>
      </c>
      <c r="L232" s="0" t="n">
        <v>646.07</v>
      </c>
      <c r="M232" s="0" t="n">
        <v>639.62</v>
      </c>
      <c r="N232" s="0" t="n">
        <v>631.62</v>
      </c>
      <c r="O232" s="0" t="n">
        <v>621.58</v>
      </c>
      <c r="P232" s="0" t="n">
        <v>613.42</v>
      </c>
      <c r="R232" s="0" t="n">
        <v>5.3</v>
      </c>
      <c r="S232" s="0" t="n">
        <v>4.85</v>
      </c>
      <c r="T232" s="0" t="n">
        <v>4.77</v>
      </c>
      <c r="U232" s="0" t="n">
        <v>4.48</v>
      </c>
      <c r="V232" s="0" t="n">
        <v>4.76</v>
      </c>
      <c r="W232" s="0" t="n">
        <v>4</v>
      </c>
      <c r="X232" s="0" t="n">
        <v>4.01</v>
      </c>
      <c r="Y232" s="0" t="n">
        <v>1.67</v>
      </c>
      <c r="AB232" s="0" t="n">
        <v>3.9</v>
      </c>
      <c r="AC232" s="0" t="n">
        <v>4.85</v>
      </c>
      <c r="AD232" s="0" t="n">
        <v>13.3</v>
      </c>
      <c r="AE232" s="0" t="n">
        <v>13.21</v>
      </c>
      <c r="AF232" s="0" t="n">
        <v>2.24</v>
      </c>
      <c r="AH232" s="0" t="n">
        <v>12.76</v>
      </c>
      <c r="AI232" s="0" t="n">
        <v>14.97</v>
      </c>
      <c r="AJ232" s="0" t="n">
        <v>7.85</v>
      </c>
      <c r="AK232" s="0" t="n">
        <v>7.05</v>
      </c>
      <c r="AL232" s="0" t="n">
        <v>9.34</v>
      </c>
      <c r="AM232" s="0" t="n">
        <v>10.14</v>
      </c>
      <c r="AN232" s="0" t="n">
        <v>10.71</v>
      </c>
      <c r="AP232" s="0" t="n">
        <v>10.73</v>
      </c>
      <c r="AQ232" s="0" t="n">
        <v>6.5</v>
      </c>
      <c r="AR232" s="0" t="n">
        <v>4.92</v>
      </c>
      <c r="AS232" s="0" t="n">
        <v>4.27</v>
      </c>
      <c r="AT232" s="0" t="n">
        <v>2.17</v>
      </c>
      <c r="AU232" s="0" t="n">
        <v>9.31</v>
      </c>
    </row>
    <row r="233" customFormat="false" ht="14.25" hidden="false" customHeight="false" outlineLevel="0" collapsed="false">
      <c r="A233" s="0" t="n">
        <v>12.18</v>
      </c>
      <c r="B233" s="0" t="n">
        <v>3.67</v>
      </c>
      <c r="C233" s="0" t="n">
        <v>6.07</v>
      </c>
      <c r="D233" s="0" t="n">
        <v>9.65</v>
      </c>
      <c r="E233" s="0" t="n">
        <v>2.17</v>
      </c>
      <c r="F233" s="0" t="n">
        <v>19.17</v>
      </c>
      <c r="G233" s="0" t="n">
        <v>15.43</v>
      </c>
      <c r="H233" s="0" t="n">
        <v>2.87</v>
      </c>
      <c r="I233" s="0" t="n">
        <v>667.87</v>
      </c>
      <c r="J233" s="0" t="n">
        <v>4.59</v>
      </c>
      <c r="K233" s="0" t="n">
        <v>651.38</v>
      </c>
      <c r="L233" s="0" t="n">
        <v>646.07</v>
      </c>
      <c r="M233" s="0" t="n">
        <v>639.62</v>
      </c>
      <c r="N233" s="0" t="n">
        <v>631.63</v>
      </c>
      <c r="O233" s="0" t="n">
        <v>621.58</v>
      </c>
      <c r="P233" s="0" t="n">
        <v>613.41</v>
      </c>
      <c r="R233" s="0" t="n">
        <v>5.29</v>
      </c>
      <c r="S233" s="0" t="n">
        <v>4.85</v>
      </c>
      <c r="T233" s="0" t="n">
        <v>4.77</v>
      </c>
      <c r="U233" s="0" t="n">
        <v>4.48</v>
      </c>
      <c r="V233" s="0" t="n">
        <v>4.74</v>
      </c>
      <c r="W233" s="0" t="n">
        <v>4</v>
      </c>
      <c r="X233" s="0" t="n">
        <v>4</v>
      </c>
      <c r="Y233" s="0" t="n">
        <v>1.73</v>
      </c>
      <c r="AB233" s="0" t="n">
        <v>3.91</v>
      </c>
      <c r="AC233" s="0" t="n">
        <v>4.82</v>
      </c>
      <c r="AD233" s="0" t="n">
        <v>13.3</v>
      </c>
      <c r="AE233" s="0" t="n">
        <v>13.21</v>
      </c>
      <c r="AF233" s="0" t="n">
        <v>2.25</v>
      </c>
      <c r="AH233" s="0" t="n">
        <v>12.76</v>
      </c>
      <c r="AI233" s="0" t="n">
        <v>14.9</v>
      </c>
      <c r="AJ233" s="0" t="n">
        <v>7.85</v>
      </c>
      <c r="AK233" s="0" t="n">
        <v>7.05</v>
      </c>
      <c r="AL233" s="0" t="n">
        <v>9.35</v>
      </c>
      <c r="AM233" s="0" t="n">
        <v>10.12</v>
      </c>
      <c r="AN233" s="0" t="n">
        <v>10.72</v>
      </c>
      <c r="AP233" s="0" t="n">
        <v>10.73</v>
      </c>
      <c r="AQ233" s="0" t="n">
        <v>6.49</v>
      </c>
      <c r="AR233" s="0" t="n">
        <v>4.93</v>
      </c>
      <c r="AS233" s="0" t="n">
        <v>4.31</v>
      </c>
      <c r="AT233" s="0" t="n">
        <v>2.19</v>
      </c>
      <c r="AU233" s="0" t="n">
        <v>9.27</v>
      </c>
    </row>
    <row r="234" customFormat="false" ht="14.25" hidden="false" customHeight="false" outlineLevel="0" collapsed="false">
      <c r="A234" s="0" t="n">
        <v>12.18</v>
      </c>
      <c r="B234" s="0" t="n">
        <v>3.66</v>
      </c>
      <c r="C234" s="0" t="n">
        <v>6.05</v>
      </c>
      <c r="D234" s="0" t="n">
        <v>9.66</v>
      </c>
      <c r="E234" s="0" t="n">
        <v>2.16</v>
      </c>
      <c r="F234" s="0" t="n">
        <v>19.16</v>
      </c>
      <c r="G234" s="0" t="n">
        <v>15.41</v>
      </c>
      <c r="H234" s="0" t="n">
        <v>2.89</v>
      </c>
      <c r="I234" s="0" t="n">
        <v>667.89</v>
      </c>
      <c r="J234" s="0" t="n">
        <v>4.59</v>
      </c>
      <c r="K234" s="0" t="n">
        <v>651.38</v>
      </c>
      <c r="L234" s="0" t="n">
        <v>646.07</v>
      </c>
      <c r="M234" s="0" t="n">
        <v>639.62</v>
      </c>
      <c r="N234" s="0" t="n">
        <v>631.63</v>
      </c>
      <c r="O234" s="0" t="n">
        <v>621.58</v>
      </c>
      <c r="P234" s="0" t="n">
        <v>613.41</v>
      </c>
      <c r="R234" s="0" t="n">
        <v>5.2</v>
      </c>
      <c r="S234" s="0" t="n">
        <v>4.87</v>
      </c>
      <c r="T234" s="0" t="n">
        <v>4.79</v>
      </c>
      <c r="U234" s="0" t="n">
        <v>4.49</v>
      </c>
      <c r="V234" s="0" t="n">
        <v>4.74</v>
      </c>
      <c r="W234" s="0" t="n">
        <v>4.01</v>
      </c>
      <c r="X234" s="0" t="n">
        <v>4</v>
      </c>
      <c r="Y234" s="0" t="n">
        <v>1.73</v>
      </c>
      <c r="AB234" s="0" t="n">
        <v>3.89</v>
      </c>
      <c r="AC234" s="0" t="n">
        <v>4.81</v>
      </c>
      <c r="AD234" s="0" t="n">
        <v>13.33</v>
      </c>
      <c r="AE234" s="0" t="n">
        <v>13.2</v>
      </c>
      <c r="AF234" s="0" t="n">
        <v>2.23</v>
      </c>
      <c r="AH234" s="0" t="n">
        <v>12.76</v>
      </c>
      <c r="AI234" s="0" t="n">
        <v>14.92</v>
      </c>
      <c r="AJ234" s="0" t="n">
        <v>7.85</v>
      </c>
      <c r="AK234" s="0" t="n">
        <v>7.07</v>
      </c>
      <c r="AL234" s="0" t="n">
        <v>9.38</v>
      </c>
      <c r="AM234" s="0" t="n">
        <v>10.14</v>
      </c>
      <c r="AN234" s="0" t="n">
        <v>10.76</v>
      </c>
      <c r="AP234" s="0" t="n">
        <v>10.72</v>
      </c>
      <c r="AQ234" s="0" t="n">
        <v>6.5</v>
      </c>
      <c r="AR234" s="0" t="n">
        <v>4.92</v>
      </c>
      <c r="AS234" s="0" t="n">
        <v>4.3</v>
      </c>
      <c r="AT234" s="0" t="n">
        <v>2.2</v>
      </c>
      <c r="AU234" s="0" t="n">
        <v>9.26</v>
      </c>
    </row>
    <row r="235" customFormat="false" ht="14.25" hidden="false" customHeight="false" outlineLevel="0" collapsed="false">
      <c r="A235" s="0" t="n">
        <v>12.18</v>
      </c>
      <c r="B235" s="0" t="n">
        <v>3.65</v>
      </c>
      <c r="C235" s="0" t="n">
        <v>6.04</v>
      </c>
      <c r="D235" s="0" t="n">
        <v>9.65</v>
      </c>
      <c r="E235" s="0" t="n">
        <v>2.13</v>
      </c>
      <c r="F235" s="0" t="n">
        <v>19.14</v>
      </c>
      <c r="G235" s="0" t="n">
        <v>15.39</v>
      </c>
      <c r="H235" s="0" t="n">
        <v>2.82</v>
      </c>
      <c r="I235" s="0" t="n">
        <v>667.89</v>
      </c>
      <c r="J235" s="0" t="n">
        <v>4.59</v>
      </c>
      <c r="K235" s="0" t="n">
        <v>651.38</v>
      </c>
      <c r="L235" s="0" t="n">
        <v>646.08</v>
      </c>
      <c r="M235" s="0" t="n">
        <v>639.62</v>
      </c>
      <c r="N235" s="0" t="n">
        <v>631.63</v>
      </c>
      <c r="O235" s="0" t="n">
        <v>621.58</v>
      </c>
      <c r="P235" s="0" t="n">
        <v>613.41</v>
      </c>
      <c r="R235" s="0" t="n">
        <v>5.28</v>
      </c>
      <c r="S235" s="0" t="n">
        <v>4.87</v>
      </c>
      <c r="T235" s="0" t="n">
        <v>4.77</v>
      </c>
      <c r="U235" s="0" t="n">
        <v>4.49</v>
      </c>
      <c r="V235" s="0" t="n">
        <v>4.74</v>
      </c>
      <c r="W235" s="0" t="n">
        <v>4</v>
      </c>
      <c r="X235" s="0" t="n">
        <v>4</v>
      </c>
      <c r="Y235" s="0" t="n">
        <v>1.74</v>
      </c>
      <c r="AB235" s="0" t="n">
        <v>3.93</v>
      </c>
      <c r="AC235" s="0" t="n">
        <v>4.92</v>
      </c>
      <c r="AD235" s="0" t="n">
        <v>13.33</v>
      </c>
      <c r="AE235" s="0" t="n">
        <v>13.2</v>
      </c>
      <c r="AF235" s="0" t="n">
        <v>2.18</v>
      </c>
      <c r="AH235" s="0" t="n">
        <v>12.76</v>
      </c>
      <c r="AI235" s="0" t="n">
        <v>15</v>
      </c>
      <c r="AJ235" s="0" t="n">
        <v>7.85</v>
      </c>
      <c r="AK235" s="0" t="n">
        <v>7.06</v>
      </c>
      <c r="AL235" s="0" t="n">
        <v>9.37</v>
      </c>
      <c r="AM235" s="0" t="n">
        <v>10.1</v>
      </c>
      <c r="AN235" s="0" t="n">
        <v>10.74</v>
      </c>
      <c r="AP235" s="0" t="n">
        <v>10.71</v>
      </c>
      <c r="AQ235" s="0" t="n">
        <v>6.5</v>
      </c>
      <c r="AR235" s="0" t="n">
        <v>4.92</v>
      </c>
      <c r="AS235" s="0" t="n">
        <v>4.31</v>
      </c>
      <c r="AT235" s="0" t="n">
        <v>2.19</v>
      </c>
      <c r="AU235" s="0" t="n">
        <v>9.24</v>
      </c>
    </row>
    <row r="236" customFormat="false" ht="14.25" hidden="false" customHeight="false" outlineLevel="0" collapsed="false">
      <c r="A236" s="0" t="n">
        <v>12.19</v>
      </c>
      <c r="B236" s="0" t="n">
        <v>3.63</v>
      </c>
      <c r="C236" s="0" t="n">
        <v>6.04</v>
      </c>
      <c r="D236" s="0" t="n">
        <v>9.66</v>
      </c>
      <c r="E236" s="0" t="n">
        <v>2.12</v>
      </c>
      <c r="F236" s="0" t="n">
        <v>19.16</v>
      </c>
      <c r="G236" s="0" t="n">
        <v>15.4</v>
      </c>
      <c r="H236" s="0" t="n">
        <v>2.88</v>
      </c>
      <c r="I236" s="0" t="n">
        <v>667.89</v>
      </c>
      <c r="J236" s="0" t="n">
        <v>4.59</v>
      </c>
      <c r="K236" s="0" t="n">
        <v>651.38</v>
      </c>
      <c r="L236" s="0" t="n">
        <v>646.07</v>
      </c>
      <c r="M236" s="0" t="n">
        <v>639.63</v>
      </c>
      <c r="N236" s="0" t="n">
        <v>631.63</v>
      </c>
      <c r="O236" s="0" t="n">
        <v>621.58</v>
      </c>
      <c r="P236" s="0" t="n">
        <v>613.42</v>
      </c>
      <c r="R236" s="0" t="n">
        <v>5.28</v>
      </c>
      <c r="S236" s="0" t="n">
        <v>4.87</v>
      </c>
      <c r="T236" s="0" t="n">
        <v>4.78</v>
      </c>
      <c r="U236" s="0" t="n">
        <v>4.49</v>
      </c>
      <c r="V236" s="0" t="n">
        <v>4.75</v>
      </c>
      <c r="W236" s="0" t="n">
        <v>4</v>
      </c>
      <c r="X236" s="0" t="n">
        <v>4</v>
      </c>
      <c r="Y236" s="0" t="n">
        <v>1.74</v>
      </c>
      <c r="AB236" s="0" t="n">
        <v>3.88</v>
      </c>
      <c r="AC236" s="0" t="n">
        <v>4.87</v>
      </c>
      <c r="AD236" s="0" t="n">
        <v>13.38</v>
      </c>
      <c r="AE236" s="0" t="n">
        <v>13.2</v>
      </c>
      <c r="AF236" s="0" t="n">
        <v>2.2</v>
      </c>
      <c r="AH236" s="0" t="n">
        <v>12.75</v>
      </c>
      <c r="AI236" s="0" t="n">
        <v>15</v>
      </c>
      <c r="AJ236" s="0" t="n">
        <v>7.86</v>
      </c>
      <c r="AK236" s="0" t="n">
        <v>7.08</v>
      </c>
      <c r="AL236" s="0" t="n">
        <v>9.33</v>
      </c>
      <c r="AM236" s="0" t="n">
        <v>10.11</v>
      </c>
      <c r="AN236" s="0" t="n">
        <v>10.74</v>
      </c>
      <c r="AP236" s="0" t="n">
        <v>10.71</v>
      </c>
      <c r="AQ236" s="0" t="n">
        <v>6.51</v>
      </c>
      <c r="AR236" s="0" t="n">
        <v>4.93</v>
      </c>
      <c r="AS236" s="0" t="n">
        <v>4.34</v>
      </c>
      <c r="AT236" s="0" t="n">
        <v>2.2</v>
      </c>
      <c r="AU236" s="0" t="n">
        <v>9.23</v>
      </c>
    </row>
    <row r="237" customFormat="false" ht="14.25" hidden="false" customHeight="false" outlineLevel="0" collapsed="false">
      <c r="A237" s="0" t="n">
        <v>12.19</v>
      </c>
      <c r="B237" s="0" t="n">
        <v>3.62</v>
      </c>
      <c r="C237" s="0" t="n">
        <v>6.03</v>
      </c>
      <c r="D237" s="0" t="n">
        <v>9.62</v>
      </c>
      <c r="E237" s="0" t="n">
        <v>2.14</v>
      </c>
      <c r="F237" s="0" t="n">
        <v>19.16</v>
      </c>
      <c r="G237" s="0" t="n">
        <v>15.39</v>
      </c>
      <c r="H237" s="0" t="n">
        <v>2.87</v>
      </c>
      <c r="I237" s="0" t="n">
        <v>667.89</v>
      </c>
      <c r="J237" s="0" t="n">
        <v>4.59</v>
      </c>
      <c r="K237" s="0" t="n">
        <v>651.38</v>
      </c>
      <c r="L237" s="0" t="n">
        <v>646.09</v>
      </c>
      <c r="M237" s="0" t="n">
        <v>639.63</v>
      </c>
      <c r="N237" s="0" t="n">
        <v>631.63</v>
      </c>
      <c r="O237" s="0" t="n">
        <v>621.58</v>
      </c>
      <c r="P237" s="0" t="n">
        <v>613.42</v>
      </c>
      <c r="R237" s="0" t="n">
        <v>5.31</v>
      </c>
      <c r="S237" s="0" t="n">
        <v>4.85</v>
      </c>
      <c r="T237" s="0" t="n">
        <v>4.79</v>
      </c>
      <c r="U237" s="0" t="n">
        <v>4.48</v>
      </c>
      <c r="V237" s="0" t="n">
        <v>4.75</v>
      </c>
      <c r="W237" s="0" t="n">
        <v>4.02</v>
      </c>
      <c r="X237" s="0" t="n">
        <v>4.01</v>
      </c>
      <c r="Y237" s="0" t="n">
        <v>1.75</v>
      </c>
      <c r="AB237" s="0" t="n">
        <v>3.91</v>
      </c>
      <c r="AC237" s="0" t="n">
        <v>4.87</v>
      </c>
      <c r="AD237" s="0" t="n">
        <v>13.32</v>
      </c>
      <c r="AE237" s="0" t="n">
        <v>13.2</v>
      </c>
      <c r="AF237" s="0" t="n">
        <v>2.25</v>
      </c>
      <c r="AH237" s="0" t="n">
        <v>12.75</v>
      </c>
      <c r="AI237" s="0" t="n">
        <v>15.01</v>
      </c>
      <c r="AJ237" s="0" t="n">
        <v>7.86</v>
      </c>
      <c r="AK237" s="0" t="n">
        <v>7.08</v>
      </c>
      <c r="AL237" s="0" t="n">
        <v>9.37</v>
      </c>
      <c r="AM237" s="0" t="n">
        <v>10.08</v>
      </c>
      <c r="AN237" s="0" t="n">
        <v>10.7</v>
      </c>
      <c r="AP237" s="0" t="n">
        <v>10.73</v>
      </c>
      <c r="AQ237" s="0" t="n">
        <v>6.5</v>
      </c>
      <c r="AR237" s="0" t="n">
        <v>4.93</v>
      </c>
      <c r="AS237" s="0" t="n">
        <v>4.36</v>
      </c>
      <c r="AT237" s="0" t="n">
        <v>2.2</v>
      </c>
      <c r="AU237" s="0" t="n">
        <v>9.23</v>
      </c>
    </row>
    <row r="238" customFormat="false" ht="14.25" hidden="false" customHeight="false" outlineLevel="0" collapsed="false">
      <c r="A238" s="0" t="n">
        <v>12.19</v>
      </c>
      <c r="B238" s="0" t="n">
        <v>3.6</v>
      </c>
      <c r="C238" s="0" t="n">
        <v>6.02</v>
      </c>
      <c r="D238" s="0" t="n">
        <v>9.65</v>
      </c>
      <c r="E238" s="0" t="n">
        <v>2.14</v>
      </c>
      <c r="F238" s="0" t="n">
        <v>19.15</v>
      </c>
      <c r="G238" s="0" t="n">
        <v>15.39</v>
      </c>
      <c r="H238" s="0" t="n">
        <v>2.86</v>
      </c>
      <c r="I238" s="0" t="n">
        <v>667.9</v>
      </c>
      <c r="J238" s="0" t="n">
        <v>4.59</v>
      </c>
      <c r="K238" s="0" t="n">
        <v>651.38</v>
      </c>
      <c r="L238" s="0" t="n">
        <v>646.07</v>
      </c>
      <c r="M238" s="0" t="n">
        <v>639.63</v>
      </c>
      <c r="N238" s="0" t="n">
        <v>631.62</v>
      </c>
      <c r="O238" s="0" t="n">
        <v>621.58</v>
      </c>
      <c r="P238" s="0" t="n">
        <v>613.41</v>
      </c>
      <c r="R238" s="0" t="n">
        <v>5.31</v>
      </c>
      <c r="S238" s="0" t="n">
        <v>4.86</v>
      </c>
      <c r="T238" s="0" t="n">
        <v>4.77</v>
      </c>
      <c r="U238" s="0" t="n">
        <v>4.5</v>
      </c>
      <c r="V238" s="0" t="n">
        <v>4.75</v>
      </c>
      <c r="W238" s="0" t="n">
        <v>4.03</v>
      </c>
      <c r="X238" s="0" t="n">
        <v>4.01</v>
      </c>
      <c r="Y238" s="0" t="n">
        <v>1.76</v>
      </c>
      <c r="AB238" s="0" t="n">
        <v>3.9</v>
      </c>
      <c r="AC238" s="0" t="n">
        <v>4.88</v>
      </c>
      <c r="AD238" s="0" t="n">
        <v>13.31</v>
      </c>
      <c r="AE238" s="0" t="n">
        <v>13.18</v>
      </c>
      <c r="AF238" s="0" t="n">
        <v>2.22</v>
      </c>
      <c r="AH238" s="0" t="n">
        <v>12.74</v>
      </c>
      <c r="AI238" s="0" t="n">
        <v>15.02</v>
      </c>
      <c r="AJ238" s="0" t="n">
        <v>7.85</v>
      </c>
      <c r="AK238" s="0" t="n">
        <v>7.08</v>
      </c>
      <c r="AL238" s="0" t="n">
        <v>9.42</v>
      </c>
      <c r="AM238" s="0" t="n">
        <v>10.1</v>
      </c>
      <c r="AN238" s="0" t="n">
        <v>10.72</v>
      </c>
      <c r="AP238" s="0" t="n">
        <v>10.73</v>
      </c>
      <c r="AQ238" s="0" t="n">
        <v>6.5</v>
      </c>
      <c r="AR238" s="0" t="n">
        <v>4.91</v>
      </c>
      <c r="AS238" s="0" t="n">
        <v>4.4</v>
      </c>
      <c r="AT238" s="0" t="n">
        <v>2.19</v>
      </c>
      <c r="AU238" s="0" t="n">
        <v>9.24</v>
      </c>
    </row>
    <row r="239" customFormat="false" ht="14.25" hidden="false" customHeight="false" outlineLevel="0" collapsed="false">
      <c r="A239" s="0" t="n">
        <v>12.19</v>
      </c>
      <c r="B239" s="0" t="n">
        <v>3.58</v>
      </c>
      <c r="C239" s="0" t="n">
        <v>6.01</v>
      </c>
      <c r="D239" s="0" t="n">
        <v>9.63</v>
      </c>
      <c r="E239" s="0" t="n">
        <v>2.13</v>
      </c>
      <c r="F239" s="0" t="n">
        <v>19.15</v>
      </c>
      <c r="G239" s="0" t="n">
        <v>15.39</v>
      </c>
      <c r="H239" s="0" t="n">
        <v>2.86</v>
      </c>
      <c r="I239" s="0" t="n">
        <v>667.9</v>
      </c>
      <c r="J239" s="0" t="n">
        <v>4.6</v>
      </c>
      <c r="K239" s="0" t="n">
        <v>651.38</v>
      </c>
      <c r="L239" s="0" t="n">
        <v>646.12</v>
      </c>
      <c r="M239" s="0" t="n">
        <v>639.63</v>
      </c>
      <c r="N239" s="0" t="n">
        <v>631.62</v>
      </c>
      <c r="O239" s="0" t="n">
        <v>621.58</v>
      </c>
      <c r="P239" s="0" t="n">
        <v>613.41</v>
      </c>
      <c r="R239" s="0" t="n">
        <v>5.24</v>
      </c>
      <c r="S239" s="0" t="n">
        <v>4.86</v>
      </c>
      <c r="T239" s="0" t="n">
        <v>4.77</v>
      </c>
      <c r="U239" s="0" t="n">
        <v>4.47</v>
      </c>
      <c r="V239" s="0" t="n">
        <v>4.75</v>
      </c>
      <c r="W239" s="0" t="n">
        <v>4.03</v>
      </c>
      <c r="X239" s="0" t="n">
        <v>4.01</v>
      </c>
      <c r="Y239" s="0" t="n">
        <v>1.76</v>
      </c>
      <c r="AB239" s="0" t="n">
        <v>3.9</v>
      </c>
      <c r="AC239" s="0" t="n">
        <v>4.83</v>
      </c>
      <c r="AD239" s="0" t="n">
        <v>13.29</v>
      </c>
      <c r="AE239" s="0" t="n">
        <v>13.17</v>
      </c>
      <c r="AF239" s="0" t="n">
        <v>2.16</v>
      </c>
      <c r="AH239" s="0" t="n">
        <v>12.75</v>
      </c>
      <c r="AI239" s="0" t="n">
        <v>14.99</v>
      </c>
      <c r="AJ239" s="0" t="n">
        <v>7.84</v>
      </c>
      <c r="AK239" s="0" t="n">
        <v>7.08</v>
      </c>
      <c r="AL239" s="0" t="n">
        <v>9.36</v>
      </c>
      <c r="AM239" s="0" t="n">
        <v>10.13</v>
      </c>
      <c r="AN239" s="0" t="n">
        <v>10.68</v>
      </c>
      <c r="AP239" s="0" t="n">
        <v>10.74</v>
      </c>
      <c r="AQ239" s="0" t="n">
        <v>6.49</v>
      </c>
      <c r="AR239" s="0" t="n">
        <v>4.93</v>
      </c>
      <c r="AS239" s="0" t="n">
        <v>4.43</v>
      </c>
      <c r="AT239" s="0" t="n">
        <v>2.21</v>
      </c>
      <c r="AU239" s="0" t="n">
        <v>9.22</v>
      </c>
    </row>
    <row r="240" customFormat="false" ht="14.25" hidden="false" customHeight="false" outlineLevel="0" collapsed="false">
      <c r="A240" s="0" t="n">
        <v>12.19</v>
      </c>
      <c r="B240" s="0" t="n">
        <v>3.57</v>
      </c>
      <c r="C240" s="0" t="n">
        <v>6</v>
      </c>
      <c r="D240" s="0" t="n">
        <v>9.63</v>
      </c>
      <c r="E240" s="0" t="n">
        <v>2.14</v>
      </c>
      <c r="F240" s="0" t="n">
        <v>19.16</v>
      </c>
      <c r="G240" s="0" t="n">
        <v>15.36</v>
      </c>
      <c r="H240" s="0" t="n">
        <v>2.87</v>
      </c>
      <c r="I240" s="0" t="n">
        <v>667.91</v>
      </c>
      <c r="J240" s="0" t="n">
        <v>4.6</v>
      </c>
      <c r="K240" s="0" t="n">
        <v>651.38</v>
      </c>
      <c r="L240" s="0" t="n">
        <v>646.08</v>
      </c>
      <c r="M240" s="0" t="n">
        <v>639.63</v>
      </c>
      <c r="N240" s="0" t="n">
        <v>631.62</v>
      </c>
      <c r="O240" s="0" t="n">
        <v>621.58</v>
      </c>
      <c r="P240" s="0" t="n">
        <v>613.41</v>
      </c>
      <c r="R240" s="0" t="n">
        <v>5.32</v>
      </c>
      <c r="S240" s="0" t="n">
        <v>4.85</v>
      </c>
      <c r="T240" s="0" t="n">
        <v>4.77</v>
      </c>
      <c r="U240" s="0" t="n">
        <v>4.51</v>
      </c>
      <c r="V240" s="0" t="n">
        <v>4.76</v>
      </c>
      <c r="W240" s="0" t="n">
        <v>4.01</v>
      </c>
      <c r="X240" s="0" t="n">
        <v>4.02</v>
      </c>
      <c r="Y240" s="0" t="n">
        <v>1.76</v>
      </c>
      <c r="AB240" s="0" t="n">
        <v>3.89</v>
      </c>
      <c r="AC240" s="0" t="n">
        <v>4.86</v>
      </c>
      <c r="AD240" s="0" t="n">
        <v>13.28</v>
      </c>
      <c r="AE240" s="0" t="n">
        <v>13.1</v>
      </c>
      <c r="AF240" s="0" t="n">
        <v>2.33</v>
      </c>
      <c r="AH240" s="0" t="n">
        <v>12.74</v>
      </c>
      <c r="AI240" s="0" t="n">
        <v>14.94</v>
      </c>
      <c r="AJ240" s="0" t="n">
        <v>7.85</v>
      </c>
      <c r="AK240" s="0" t="n">
        <v>7.1</v>
      </c>
      <c r="AL240" s="0" t="n">
        <v>9.4</v>
      </c>
      <c r="AM240" s="0" t="n">
        <v>10.03</v>
      </c>
      <c r="AN240" s="0" t="n">
        <v>10.69</v>
      </c>
      <c r="AP240" s="0" t="n">
        <v>10.72</v>
      </c>
      <c r="AQ240" s="0" t="n">
        <v>6.48</v>
      </c>
      <c r="AR240" s="0" t="n">
        <v>4.93</v>
      </c>
      <c r="AS240" s="0" t="n">
        <v>4.4</v>
      </c>
      <c r="AT240" s="0" t="n">
        <v>2.2</v>
      </c>
      <c r="AU240" s="0" t="n">
        <v>9.22</v>
      </c>
    </row>
    <row r="241" customFormat="false" ht="14.25" hidden="false" customHeight="false" outlineLevel="0" collapsed="false">
      <c r="A241" s="0" t="n">
        <v>12.2</v>
      </c>
      <c r="B241" s="0" t="n">
        <v>3.56</v>
      </c>
      <c r="C241" s="0" t="n">
        <v>6</v>
      </c>
      <c r="D241" s="0" t="n">
        <v>9.62</v>
      </c>
      <c r="E241" s="0" t="n">
        <v>2.13</v>
      </c>
      <c r="F241" s="0" t="n">
        <v>19.14</v>
      </c>
      <c r="G241" s="0" t="n">
        <v>15.35</v>
      </c>
      <c r="H241" s="0" t="n">
        <v>2.86</v>
      </c>
      <c r="I241" s="0" t="n">
        <v>667.93</v>
      </c>
      <c r="J241" s="0" t="n">
        <v>4.61</v>
      </c>
      <c r="K241" s="0" t="n">
        <v>651.38</v>
      </c>
      <c r="L241" s="0" t="n">
        <v>646.08</v>
      </c>
      <c r="M241" s="0" t="n">
        <v>639.63</v>
      </c>
      <c r="N241" s="0" t="n">
        <v>631.62</v>
      </c>
      <c r="O241" s="0" t="n">
        <v>621.58</v>
      </c>
      <c r="P241" s="0" t="n">
        <v>613.41</v>
      </c>
      <c r="R241" s="0" t="n">
        <v>5.39</v>
      </c>
      <c r="S241" s="0" t="n">
        <v>4.85</v>
      </c>
      <c r="T241" s="0" t="n">
        <v>4.78</v>
      </c>
      <c r="U241" s="0" t="n">
        <v>4.49</v>
      </c>
      <c r="V241" s="0" t="n">
        <v>4.77</v>
      </c>
      <c r="W241" s="0" t="n">
        <v>3.92</v>
      </c>
      <c r="X241" s="0" t="n">
        <v>4</v>
      </c>
      <c r="Y241" s="0" t="n">
        <v>1.77</v>
      </c>
      <c r="AB241" s="0" t="n">
        <v>3.92</v>
      </c>
      <c r="AC241" s="0" t="n">
        <v>4.91</v>
      </c>
      <c r="AD241" s="0" t="n">
        <v>13.21</v>
      </c>
      <c r="AE241" s="0" t="n">
        <v>13.12</v>
      </c>
      <c r="AF241" s="0" t="n">
        <v>2.21</v>
      </c>
      <c r="AH241" s="0" t="n">
        <v>12.74</v>
      </c>
      <c r="AI241" s="0" t="n">
        <v>14.93</v>
      </c>
      <c r="AJ241" s="0" t="n">
        <v>7.85</v>
      </c>
      <c r="AK241" s="0" t="n">
        <v>7.1</v>
      </c>
      <c r="AL241" s="0" t="n">
        <v>9.44</v>
      </c>
      <c r="AM241" s="0" t="n">
        <v>10.01</v>
      </c>
      <c r="AN241" s="0" t="n">
        <v>10.62</v>
      </c>
      <c r="AP241" s="0" t="n">
        <v>10.72</v>
      </c>
      <c r="AQ241" s="0" t="n">
        <v>6.45</v>
      </c>
      <c r="AR241" s="0" t="n">
        <v>4.94</v>
      </c>
      <c r="AS241" s="0" t="n">
        <v>4.37</v>
      </c>
      <c r="AT241" s="0" t="n">
        <v>2.21</v>
      </c>
      <c r="AU241" s="0" t="n">
        <v>9.2</v>
      </c>
    </row>
    <row r="242" customFormat="false" ht="14.25" hidden="false" customHeight="false" outlineLevel="0" collapsed="false">
      <c r="A242" s="0" t="n">
        <v>12.2</v>
      </c>
      <c r="B242" s="0" t="n">
        <v>3.55</v>
      </c>
      <c r="C242" s="0" t="n">
        <v>6</v>
      </c>
      <c r="D242" s="0" t="n">
        <v>9.63</v>
      </c>
      <c r="E242" s="0" t="n">
        <v>2.14</v>
      </c>
      <c r="F242" s="0" t="n">
        <v>19.14</v>
      </c>
      <c r="H242" s="0" t="n">
        <v>2.88</v>
      </c>
      <c r="I242" s="0" t="n">
        <v>667.89</v>
      </c>
      <c r="J242" s="0" t="n">
        <v>4.63</v>
      </c>
      <c r="K242" s="0" t="n">
        <v>651.38</v>
      </c>
      <c r="L242" s="0" t="n">
        <v>646.08</v>
      </c>
      <c r="M242" s="0" t="n">
        <v>639.63</v>
      </c>
      <c r="N242" s="0" t="n">
        <v>631.63</v>
      </c>
      <c r="O242" s="0" t="n">
        <v>621.58</v>
      </c>
      <c r="P242" s="0" t="n">
        <v>613.4</v>
      </c>
      <c r="R242" s="0" t="n">
        <v>5.31</v>
      </c>
      <c r="S242" s="0" t="n">
        <v>4.85</v>
      </c>
      <c r="T242" s="0" t="n">
        <v>4.77</v>
      </c>
      <c r="U242" s="0" t="n">
        <v>4.5</v>
      </c>
      <c r="V242" s="0" t="n">
        <v>4.7</v>
      </c>
      <c r="W242" s="0" t="n">
        <v>3.94</v>
      </c>
      <c r="X242" s="0" t="n">
        <v>4.02</v>
      </c>
      <c r="Y242" s="0" t="n">
        <v>1.76</v>
      </c>
      <c r="AB242" s="0" t="n">
        <v>3.91</v>
      </c>
      <c r="AC242" s="0" t="n">
        <v>4.91</v>
      </c>
      <c r="AH242" s="0" t="n">
        <v>12.74</v>
      </c>
      <c r="AI242" s="0" t="n">
        <v>14.95</v>
      </c>
      <c r="AJ242" s="0" t="n">
        <v>7.84</v>
      </c>
      <c r="AK242" s="0" t="n">
        <v>7.11</v>
      </c>
      <c r="AL242" s="0" t="n">
        <v>9.39</v>
      </c>
      <c r="AM242" s="0" t="n">
        <v>10.06</v>
      </c>
      <c r="AN242" s="0" t="n">
        <v>10.62</v>
      </c>
      <c r="AP242" s="0" t="n">
        <v>10.7</v>
      </c>
      <c r="AQ242" s="0" t="n">
        <v>6.44</v>
      </c>
      <c r="AR242" s="0" t="n">
        <v>4.94</v>
      </c>
      <c r="AS242" s="0" t="n">
        <v>4.38</v>
      </c>
      <c r="AT242" s="0" t="n">
        <v>2.21</v>
      </c>
      <c r="AU242" s="0" t="n">
        <v>9.22</v>
      </c>
    </row>
    <row r="243" customFormat="false" ht="14.25" hidden="false" customHeight="false" outlineLevel="0" collapsed="false">
      <c r="A243" s="0" t="n">
        <v>12.21</v>
      </c>
      <c r="B243" s="0" t="n">
        <v>3.53</v>
      </c>
      <c r="C243" s="0" t="n">
        <v>5.97</v>
      </c>
      <c r="D243" s="0" t="n">
        <v>9.62</v>
      </c>
      <c r="E243" s="0" t="n">
        <v>2.1</v>
      </c>
      <c r="F243" s="0" t="n">
        <v>19.13</v>
      </c>
      <c r="H243" s="0" t="n">
        <v>2.87</v>
      </c>
      <c r="I243" s="0" t="n">
        <v>667.91</v>
      </c>
      <c r="J243" s="0" t="n">
        <v>4.6</v>
      </c>
      <c r="K243" s="0" t="n">
        <v>651.39</v>
      </c>
      <c r="L243" s="0" t="n">
        <v>646.08</v>
      </c>
      <c r="M243" s="0" t="n">
        <v>639.63</v>
      </c>
      <c r="N243" s="0" t="n">
        <v>631.63</v>
      </c>
      <c r="O243" s="0" t="n">
        <v>621.59</v>
      </c>
      <c r="P243" s="0" t="n">
        <v>613.41</v>
      </c>
      <c r="R243" s="0" t="n">
        <v>5.31</v>
      </c>
      <c r="S243" s="0" t="n">
        <v>4.86</v>
      </c>
      <c r="T243" s="0" t="n">
        <v>4.77</v>
      </c>
      <c r="U243" s="0" t="n">
        <v>4.49</v>
      </c>
      <c r="V243" s="0" t="n">
        <v>4.77</v>
      </c>
      <c r="W243" s="0" t="n">
        <v>3.92</v>
      </c>
      <c r="X243" s="0" t="n">
        <v>4.01</v>
      </c>
      <c r="Y243" s="0" t="n">
        <v>1.77</v>
      </c>
      <c r="AB243" s="0" t="n">
        <v>3.91</v>
      </c>
      <c r="AC243" s="0" t="n">
        <v>4.84</v>
      </c>
      <c r="AH243" s="0" t="n">
        <v>12.74</v>
      </c>
      <c r="AI243" s="0" t="n">
        <v>14.92</v>
      </c>
      <c r="AJ243" s="0" t="n">
        <v>7.84</v>
      </c>
      <c r="AK243" s="0" t="n">
        <v>7.11</v>
      </c>
      <c r="AL243" s="0" t="n">
        <v>9.44</v>
      </c>
      <c r="AM243" s="0" t="n">
        <v>10.02</v>
      </c>
      <c r="AN243" s="0" t="n">
        <v>10.62</v>
      </c>
      <c r="AP243" s="0" t="n">
        <v>10.72</v>
      </c>
      <c r="AQ243" s="0" t="n">
        <v>6.42</v>
      </c>
      <c r="AR243" s="0" t="n">
        <v>4.92</v>
      </c>
      <c r="AS243" s="0" t="n">
        <v>4.41</v>
      </c>
      <c r="AT243" s="0" t="n">
        <v>2.2</v>
      </c>
      <c r="AU243" s="0" t="n">
        <v>9.2</v>
      </c>
    </row>
    <row r="244" customFormat="false" ht="14.25" hidden="false" customHeight="false" outlineLevel="0" collapsed="false">
      <c r="A244" s="0" t="n">
        <v>12.2</v>
      </c>
      <c r="B244" s="0" t="n">
        <v>3.52</v>
      </c>
      <c r="C244" s="0" t="n">
        <v>5.96</v>
      </c>
      <c r="D244" s="0" t="n">
        <v>9.6</v>
      </c>
      <c r="H244" s="0" t="n">
        <v>2.86</v>
      </c>
      <c r="I244" s="0" t="n">
        <v>667.91</v>
      </c>
      <c r="J244" s="0" t="n">
        <v>4.6</v>
      </c>
      <c r="K244" s="0" t="n">
        <v>651.38</v>
      </c>
      <c r="L244" s="0" t="n">
        <v>646.08</v>
      </c>
      <c r="M244" s="0" t="n">
        <v>639.62</v>
      </c>
      <c r="N244" s="0" t="n">
        <v>631.64</v>
      </c>
      <c r="O244" s="0" t="n">
        <v>621.64</v>
      </c>
      <c r="P244" s="0" t="n">
        <v>613.4</v>
      </c>
      <c r="R244" s="0" t="n">
        <v>5.27</v>
      </c>
      <c r="S244" s="0" t="n">
        <v>4.86</v>
      </c>
      <c r="T244" s="0" t="n">
        <v>4.78</v>
      </c>
      <c r="U244" s="0" t="n">
        <v>4.5</v>
      </c>
      <c r="V244" s="0" t="n">
        <v>4.77</v>
      </c>
      <c r="W244" s="0" t="n">
        <v>3.96</v>
      </c>
      <c r="X244" s="0" t="n">
        <v>4.02</v>
      </c>
      <c r="Y244" s="0" t="n">
        <v>1.78</v>
      </c>
      <c r="AB244" s="0" t="n">
        <v>3.91</v>
      </c>
      <c r="AC244" s="0" t="n">
        <v>4.84</v>
      </c>
      <c r="AH244" s="0" t="n">
        <v>12.73</v>
      </c>
      <c r="AI244" s="0" t="n">
        <v>14.9</v>
      </c>
      <c r="AJ244" s="0" t="n">
        <v>7.84</v>
      </c>
      <c r="AK244" s="0" t="n">
        <v>7.14</v>
      </c>
      <c r="AL244" s="0" t="n">
        <v>9.44</v>
      </c>
      <c r="AM244" s="0" t="n">
        <v>10.05</v>
      </c>
      <c r="AN244" s="0" t="n">
        <v>10.6</v>
      </c>
      <c r="AP244" s="0" t="n">
        <v>10.7</v>
      </c>
      <c r="AQ244" s="0" t="n">
        <v>6.46</v>
      </c>
      <c r="AR244" s="0" t="n">
        <v>4.92</v>
      </c>
      <c r="AS244" s="0" t="n">
        <v>4.41</v>
      </c>
      <c r="AT244" s="0" t="n">
        <v>2.2</v>
      </c>
      <c r="AU244" s="0" t="n">
        <v>9.18</v>
      </c>
    </row>
    <row r="245" customFormat="false" ht="14.25" hidden="false" customHeight="false" outlineLevel="0" collapsed="false">
      <c r="A245" s="0" t="n">
        <v>12.2</v>
      </c>
      <c r="B245" s="0" t="n">
        <v>3.5</v>
      </c>
      <c r="C245" s="0" t="n">
        <v>5.95</v>
      </c>
      <c r="D245" s="0" t="n">
        <v>9.61</v>
      </c>
      <c r="H245" s="0" t="n">
        <v>2.84</v>
      </c>
      <c r="I245" s="0" t="n">
        <v>667.9</v>
      </c>
      <c r="J245" s="0" t="n">
        <v>4.6</v>
      </c>
      <c r="K245" s="0" t="n">
        <v>651.39</v>
      </c>
      <c r="L245" s="0" t="n">
        <v>646.08</v>
      </c>
      <c r="M245" s="0" t="n">
        <v>639.63</v>
      </c>
      <c r="N245" s="0" t="n">
        <v>631.65</v>
      </c>
      <c r="O245" s="0" t="n">
        <v>621.59</v>
      </c>
      <c r="P245" s="0" t="n">
        <v>613.39</v>
      </c>
      <c r="R245" s="0" t="n">
        <v>5.3</v>
      </c>
      <c r="S245" s="0" t="n">
        <v>4.84</v>
      </c>
      <c r="T245" s="0" t="n">
        <v>4.77</v>
      </c>
      <c r="U245" s="0" t="n">
        <v>4.49</v>
      </c>
      <c r="V245" s="0" t="n">
        <v>4.79</v>
      </c>
      <c r="W245" s="0" t="n">
        <v>3.87</v>
      </c>
      <c r="X245" s="0" t="n">
        <v>4</v>
      </c>
      <c r="Y245" s="0" t="n">
        <v>1.79</v>
      </c>
      <c r="AB245" s="0" t="n">
        <v>3.92</v>
      </c>
      <c r="AC245" s="0" t="n">
        <v>4.82</v>
      </c>
      <c r="AH245" s="0" t="n">
        <v>12.74</v>
      </c>
      <c r="AI245" s="0" t="n">
        <v>14.96</v>
      </c>
      <c r="AJ245" s="0" t="n">
        <v>7.84</v>
      </c>
      <c r="AK245" s="0" t="n">
        <v>7.15</v>
      </c>
      <c r="AL245" s="0" t="n">
        <v>9.44</v>
      </c>
      <c r="AM245" s="0" t="n">
        <v>10.01</v>
      </c>
      <c r="AN245" s="0" t="n">
        <v>10.62</v>
      </c>
      <c r="AP245" s="0" t="n">
        <v>10.68</v>
      </c>
      <c r="AQ245" s="0" t="n">
        <v>6.45</v>
      </c>
      <c r="AR245" s="0" t="n">
        <v>4.91</v>
      </c>
      <c r="AS245" s="0" t="n">
        <v>4.45</v>
      </c>
      <c r="AT245" s="0" t="n">
        <v>2.21</v>
      </c>
      <c r="AU245" s="0" t="n">
        <v>9.2</v>
      </c>
    </row>
    <row r="246" customFormat="false" ht="14.25" hidden="false" customHeight="false" outlineLevel="0" collapsed="false">
      <c r="A246" s="0" t="n">
        <v>12.21</v>
      </c>
      <c r="B246" s="0" t="n">
        <v>3.49</v>
      </c>
      <c r="C246" s="0" t="n">
        <v>5.94</v>
      </c>
      <c r="D246" s="0" t="n">
        <v>9.6</v>
      </c>
      <c r="H246" s="0" t="n">
        <v>2.86</v>
      </c>
      <c r="I246" s="0" t="n">
        <v>667.87</v>
      </c>
      <c r="J246" s="0" t="n">
        <v>4.61</v>
      </c>
      <c r="K246" s="0" t="n">
        <v>651.39</v>
      </c>
      <c r="L246" s="0" t="n">
        <v>646.08</v>
      </c>
      <c r="M246" s="0" t="n">
        <v>639.63</v>
      </c>
      <c r="N246" s="0" t="n">
        <v>631.63</v>
      </c>
      <c r="O246" s="0" t="n">
        <v>621.58</v>
      </c>
      <c r="P246" s="0" t="n">
        <v>613.4</v>
      </c>
      <c r="R246" s="0" t="n">
        <v>5.3</v>
      </c>
      <c r="S246" s="0" t="n">
        <v>4.78</v>
      </c>
      <c r="T246" s="0" t="n">
        <v>4.77</v>
      </c>
      <c r="U246" s="0" t="n">
        <v>4.34</v>
      </c>
      <c r="V246" s="0" t="n">
        <v>4.79</v>
      </c>
      <c r="W246" s="0" t="n">
        <v>3.92</v>
      </c>
      <c r="X246" s="0" t="n">
        <v>4.01</v>
      </c>
      <c r="Y246" s="0" t="n">
        <v>1.8</v>
      </c>
      <c r="AB246" s="0" t="n">
        <v>3.92</v>
      </c>
      <c r="AC246" s="0" t="n">
        <v>4.84</v>
      </c>
      <c r="AH246" s="0" t="n">
        <v>12.74</v>
      </c>
      <c r="AI246" s="0" t="n">
        <v>14.99</v>
      </c>
      <c r="AJ246" s="0" t="n">
        <v>7.82</v>
      </c>
      <c r="AK246" s="0" t="n">
        <v>7.16</v>
      </c>
      <c r="AL246" s="0" t="n">
        <v>9.45</v>
      </c>
      <c r="AM246" s="0" t="n">
        <v>10.02</v>
      </c>
      <c r="AN246" s="0" t="n">
        <v>10.65</v>
      </c>
      <c r="AP246" s="0" t="n">
        <v>10.68</v>
      </c>
      <c r="AQ246" s="0" t="n">
        <v>6.46</v>
      </c>
      <c r="AR246" s="0" t="n">
        <v>4.93</v>
      </c>
      <c r="AS246" s="0" t="n">
        <v>4.42</v>
      </c>
      <c r="AT246" s="0" t="n">
        <v>2.22</v>
      </c>
      <c r="AU246" s="0" t="n">
        <v>9.17</v>
      </c>
    </row>
    <row r="247" customFormat="false" ht="14.25" hidden="false" customHeight="false" outlineLevel="0" collapsed="false">
      <c r="A247" s="0" t="n">
        <v>12.22</v>
      </c>
      <c r="B247" s="0" t="n">
        <v>3.48</v>
      </c>
      <c r="C247" s="0" t="n">
        <v>5.92</v>
      </c>
      <c r="D247" s="0" t="n">
        <v>9.61</v>
      </c>
      <c r="H247" s="0" t="n">
        <v>2.82</v>
      </c>
      <c r="I247" s="0" t="n">
        <v>667.89</v>
      </c>
      <c r="J247" s="0" t="n">
        <v>4.61</v>
      </c>
      <c r="K247" s="0" t="n">
        <v>651.39</v>
      </c>
      <c r="L247" s="0" t="n">
        <v>646.08</v>
      </c>
      <c r="M247" s="0" t="n">
        <v>639.63</v>
      </c>
      <c r="N247" s="0" t="n">
        <v>631.63</v>
      </c>
      <c r="O247" s="0" t="n">
        <v>621.58</v>
      </c>
      <c r="P247" s="0" t="n">
        <v>613.4</v>
      </c>
      <c r="R247" s="0" t="n">
        <v>5.28</v>
      </c>
      <c r="S247" s="0" t="n">
        <v>4.72</v>
      </c>
      <c r="T247" s="0" t="n">
        <v>4.77</v>
      </c>
      <c r="U247" s="0" t="n">
        <v>4.48</v>
      </c>
      <c r="V247" s="0" t="n">
        <v>4.78</v>
      </c>
      <c r="W247" s="0" t="n">
        <v>3.94</v>
      </c>
      <c r="X247" s="0" t="n">
        <v>4.02</v>
      </c>
      <c r="Y247" s="0" t="n">
        <v>1.81</v>
      </c>
      <c r="AB247" s="0" t="n">
        <v>3.92</v>
      </c>
      <c r="AC247" s="0" t="n">
        <v>4.82</v>
      </c>
      <c r="AH247" s="0" t="n">
        <v>12.73</v>
      </c>
      <c r="AI247" s="0" t="n">
        <v>14.99</v>
      </c>
      <c r="AJ247" s="0" t="n">
        <v>7.84</v>
      </c>
      <c r="AK247" s="0" t="n">
        <v>7.14</v>
      </c>
      <c r="AL247" s="0" t="n">
        <v>9.45</v>
      </c>
      <c r="AM247" s="0" t="n">
        <v>9.99</v>
      </c>
      <c r="AN247" s="0" t="n">
        <v>10.63</v>
      </c>
      <c r="AP247" s="0" t="n">
        <v>10.68</v>
      </c>
      <c r="AQ247" s="0" t="n">
        <v>6.46</v>
      </c>
      <c r="AR247" s="0" t="n">
        <v>4.92</v>
      </c>
      <c r="AS247" s="0" t="n">
        <v>4.39</v>
      </c>
      <c r="AT247" s="0" t="n">
        <v>2.21</v>
      </c>
      <c r="AU247" s="0" t="n">
        <v>9.17</v>
      </c>
    </row>
    <row r="248" customFormat="false" ht="14.25" hidden="false" customHeight="false" outlineLevel="0" collapsed="false">
      <c r="A248" s="0" t="n">
        <v>12.21</v>
      </c>
      <c r="B248" s="0" t="n">
        <v>3.46</v>
      </c>
      <c r="C248" s="0" t="n">
        <v>5.91</v>
      </c>
      <c r="D248" s="0" t="n">
        <v>9.62</v>
      </c>
      <c r="H248" s="0" t="n">
        <v>2.87</v>
      </c>
      <c r="I248" s="0" t="n">
        <v>667.93</v>
      </c>
      <c r="J248" s="0" t="n">
        <v>4.6</v>
      </c>
      <c r="K248" s="0" t="n">
        <v>651.39</v>
      </c>
      <c r="L248" s="0" t="n">
        <v>646.08</v>
      </c>
      <c r="M248" s="0" t="n">
        <v>639.63</v>
      </c>
      <c r="N248" s="0" t="n">
        <v>631.62</v>
      </c>
      <c r="O248" s="0" t="n">
        <v>621.6</v>
      </c>
      <c r="P248" s="0" t="n">
        <v>613.39</v>
      </c>
      <c r="R248" s="0" t="n">
        <v>5.3</v>
      </c>
      <c r="S248" s="0" t="n">
        <v>4.85</v>
      </c>
      <c r="T248" s="0" t="n">
        <v>4.77</v>
      </c>
      <c r="U248" s="0" t="n">
        <v>4.47</v>
      </c>
      <c r="V248" s="0" t="n">
        <v>4.78</v>
      </c>
      <c r="W248" s="0" t="n">
        <v>3.93</v>
      </c>
      <c r="X248" s="0" t="n">
        <v>4.03</v>
      </c>
      <c r="Y248" s="0" t="n">
        <v>1.81</v>
      </c>
      <c r="AB248" s="0" t="n">
        <v>3.93</v>
      </c>
      <c r="AC248" s="0" t="n">
        <v>4.81</v>
      </c>
      <c r="AH248" s="0" t="n">
        <v>12.74</v>
      </c>
      <c r="AI248" s="0" t="n">
        <v>15.01</v>
      </c>
      <c r="AJ248" s="0" t="n">
        <v>7.83</v>
      </c>
      <c r="AK248" s="0" t="n">
        <v>7.2</v>
      </c>
      <c r="AL248" s="0" t="n">
        <v>9.46</v>
      </c>
      <c r="AM248" s="0" t="n">
        <v>9.93</v>
      </c>
      <c r="AN248" s="0" t="n">
        <v>10.66</v>
      </c>
      <c r="AP248" s="0" t="n">
        <v>10.73</v>
      </c>
      <c r="AQ248" s="0" t="n">
        <v>6.45</v>
      </c>
      <c r="AR248" s="0" t="n">
        <v>4.92</v>
      </c>
      <c r="AS248" s="0" t="n">
        <v>4.42</v>
      </c>
      <c r="AT248" s="0" t="n">
        <v>2.23</v>
      </c>
      <c r="AU248" s="0" t="n">
        <v>9.16</v>
      </c>
    </row>
    <row r="249" customFormat="false" ht="14.25" hidden="false" customHeight="false" outlineLevel="0" collapsed="false">
      <c r="A249" s="0" t="n">
        <v>12.2</v>
      </c>
      <c r="B249" s="0" t="n">
        <v>3.46</v>
      </c>
      <c r="C249" s="0" t="n">
        <v>5.9</v>
      </c>
      <c r="D249" s="0" t="n">
        <v>9.6</v>
      </c>
      <c r="H249" s="0" t="n">
        <v>2.88</v>
      </c>
      <c r="I249" s="0" t="n">
        <v>667.92</v>
      </c>
      <c r="J249" s="0" t="n">
        <v>4.61</v>
      </c>
      <c r="K249" s="0" t="n">
        <v>651.39</v>
      </c>
      <c r="L249" s="0" t="n">
        <v>646.08</v>
      </c>
      <c r="M249" s="0" t="n">
        <v>639.63</v>
      </c>
      <c r="N249" s="0" t="n">
        <v>631.62</v>
      </c>
      <c r="O249" s="0" t="n">
        <v>621.57</v>
      </c>
      <c r="P249" s="0" t="n">
        <v>613.39</v>
      </c>
      <c r="R249" s="0" t="n">
        <v>5.3</v>
      </c>
      <c r="S249" s="0" t="n">
        <v>4.85</v>
      </c>
      <c r="T249" s="0" t="n">
        <v>4.77</v>
      </c>
      <c r="U249" s="0" t="n">
        <v>4.47</v>
      </c>
      <c r="V249" s="0" t="n">
        <v>4.77</v>
      </c>
      <c r="W249" s="0" t="n">
        <v>3.93</v>
      </c>
      <c r="X249" s="0" t="n">
        <v>4.04</v>
      </c>
      <c r="Y249" s="0" t="n">
        <v>1.81</v>
      </c>
      <c r="AB249" s="0" t="n">
        <v>3.9</v>
      </c>
      <c r="AC249" s="0" t="n">
        <v>4.82</v>
      </c>
      <c r="AH249" s="0" t="n">
        <v>12.73</v>
      </c>
      <c r="AI249" s="0" t="n">
        <v>14.96</v>
      </c>
      <c r="AJ249" s="0" t="n">
        <v>7.85</v>
      </c>
      <c r="AK249" s="0" t="n">
        <v>7.19</v>
      </c>
      <c r="AL249" s="0" t="n">
        <v>9.47</v>
      </c>
      <c r="AM249" s="0" t="n">
        <v>9.94</v>
      </c>
      <c r="AN249" s="0" t="n">
        <v>10.63</v>
      </c>
      <c r="AP249" s="0" t="n">
        <v>10.72</v>
      </c>
      <c r="AQ249" s="0" t="n">
        <v>6.48</v>
      </c>
      <c r="AR249" s="0" t="n">
        <v>4.93</v>
      </c>
      <c r="AS249" s="0" t="n">
        <v>4.44</v>
      </c>
      <c r="AT249" s="0" t="n">
        <v>2.23</v>
      </c>
      <c r="AU249" s="0" t="n">
        <v>9.14</v>
      </c>
    </row>
    <row r="250" customFormat="false" ht="14.25" hidden="false" customHeight="false" outlineLevel="0" collapsed="false">
      <c r="A250" s="0" t="n">
        <v>12.2</v>
      </c>
      <c r="B250" s="0" t="n">
        <v>3.42</v>
      </c>
      <c r="C250" s="0" t="n">
        <v>5.89</v>
      </c>
      <c r="D250" s="0" t="n">
        <v>9.59</v>
      </c>
      <c r="H250" s="0" t="n">
        <v>2.87</v>
      </c>
      <c r="I250" s="0" t="n">
        <v>667.93</v>
      </c>
      <c r="J250" s="0" t="n">
        <v>4.61</v>
      </c>
      <c r="K250" s="0" t="n">
        <v>651.39</v>
      </c>
      <c r="L250" s="0" t="n">
        <v>646.08</v>
      </c>
      <c r="M250" s="0" t="n">
        <v>639.64</v>
      </c>
      <c r="N250" s="0" t="n">
        <v>631.62</v>
      </c>
      <c r="O250" s="0" t="n">
        <v>621.56</v>
      </c>
      <c r="P250" s="0" t="n">
        <v>613.38</v>
      </c>
      <c r="R250" s="0" t="n">
        <v>5.31</v>
      </c>
      <c r="S250" s="0" t="n">
        <v>4.81</v>
      </c>
      <c r="T250" s="0" t="n">
        <v>4.77</v>
      </c>
      <c r="U250" s="0" t="n">
        <v>4.4</v>
      </c>
      <c r="V250" s="0" t="n">
        <v>4.78</v>
      </c>
      <c r="W250" s="0" t="n">
        <v>3.92</v>
      </c>
      <c r="X250" s="0" t="n">
        <v>3.98</v>
      </c>
      <c r="Y250" s="0" t="n">
        <v>1.81</v>
      </c>
      <c r="AB250" s="0" t="n">
        <v>3.92</v>
      </c>
      <c r="AC250" s="0" t="n">
        <v>4.85</v>
      </c>
      <c r="AH250" s="0" t="n">
        <v>12.72</v>
      </c>
      <c r="AI250" s="0" t="n">
        <v>14.97</v>
      </c>
      <c r="AJ250" s="0" t="n">
        <v>7.84</v>
      </c>
      <c r="AK250" s="0" t="n">
        <v>7.2</v>
      </c>
      <c r="AL250" s="0" t="n">
        <v>9.46</v>
      </c>
      <c r="AM250" s="0" t="n">
        <v>9.95</v>
      </c>
      <c r="AN250" s="0" t="n">
        <v>10.66</v>
      </c>
      <c r="AP250" s="0" t="n">
        <v>10.74</v>
      </c>
      <c r="AQ250" s="0" t="n">
        <v>6.45</v>
      </c>
      <c r="AR250" s="0" t="n">
        <v>4.92</v>
      </c>
      <c r="AS250" s="0" t="n">
        <v>4.4</v>
      </c>
      <c r="AT250" s="0" t="n">
        <v>2.22</v>
      </c>
      <c r="AU250" s="0" t="n">
        <v>9.16</v>
      </c>
    </row>
    <row r="251" customFormat="false" ht="14.25" hidden="false" customHeight="false" outlineLevel="0" collapsed="false">
      <c r="A251" s="0" t="n">
        <v>12.19</v>
      </c>
      <c r="B251" s="0" t="n">
        <v>3.41</v>
      </c>
      <c r="C251" s="0" t="n">
        <v>5.88</v>
      </c>
      <c r="D251" s="0" t="n">
        <v>9.61</v>
      </c>
      <c r="H251" s="0" t="n">
        <v>2.84</v>
      </c>
      <c r="I251" s="0" t="n">
        <v>667.94</v>
      </c>
      <c r="J251" s="0" t="n">
        <v>4.63</v>
      </c>
      <c r="K251" s="0" t="n">
        <v>651.39</v>
      </c>
      <c r="L251" s="0" t="n">
        <v>646.08</v>
      </c>
      <c r="M251" s="0" t="n">
        <v>639.63</v>
      </c>
      <c r="N251" s="0" t="n">
        <v>631.66</v>
      </c>
      <c r="O251" s="0" t="n">
        <v>621.58</v>
      </c>
      <c r="P251" s="0" t="n">
        <v>613.38</v>
      </c>
      <c r="R251" s="0" t="n">
        <v>5.29</v>
      </c>
      <c r="S251" s="0" t="n">
        <v>4.83</v>
      </c>
      <c r="T251" s="0" t="n">
        <v>4.75</v>
      </c>
      <c r="U251" s="0" t="n">
        <v>4.48</v>
      </c>
      <c r="V251" s="0" t="n">
        <v>4.79</v>
      </c>
      <c r="W251" s="0" t="n">
        <v>3.93</v>
      </c>
      <c r="X251" s="0" t="n">
        <v>4.04</v>
      </c>
      <c r="Y251" s="0" t="n">
        <v>1.82</v>
      </c>
      <c r="AB251" s="0" t="n">
        <v>3.94</v>
      </c>
      <c r="AC251" s="0" t="n">
        <v>4.81</v>
      </c>
      <c r="AH251" s="0" t="n">
        <v>12.73</v>
      </c>
      <c r="AI251" s="0" t="n">
        <v>15.04</v>
      </c>
      <c r="AJ251" s="0" t="n">
        <v>7.85</v>
      </c>
      <c r="AK251" s="0" t="n">
        <v>7.2</v>
      </c>
      <c r="AL251" s="0" t="n">
        <v>9.45</v>
      </c>
      <c r="AM251" s="0" t="n">
        <v>9.93</v>
      </c>
      <c r="AN251" s="0" t="n">
        <v>10.67</v>
      </c>
      <c r="AP251" s="0" t="n">
        <v>10.72</v>
      </c>
      <c r="AQ251" s="0" t="n">
        <v>6.49</v>
      </c>
      <c r="AR251" s="0" t="n">
        <v>4.93</v>
      </c>
      <c r="AS251" s="0" t="n">
        <v>4.39</v>
      </c>
      <c r="AT251" s="0" t="n">
        <v>2.23</v>
      </c>
      <c r="AU251" s="0" t="n">
        <v>9.18</v>
      </c>
    </row>
    <row r="252" customFormat="false" ht="14.25" hidden="false" customHeight="false" outlineLevel="0" collapsed="false">
      <c r="A252" s="0" t="n">
        <v>12.19</v>
      </c>
      <c r="B252" s="0" t="n">
        <v>3.39</v>
      </c>
      <c r="C252" s="0" t="n">
        <v>5.86</v>
      </c>
      <c r="D252" s="0" t="n">
        <v>9.57</v>
      </c>
      <c r="H252" s="0" t="n">
        <v>2.86</v>
      </c>
      <c r="I252" s="0" t="n">
        <v>667.94</v>
      </c>
      <c r="J252" s="0" t="n">
        <v>4.63</v>
      </c>
      <c r="K252" s="0" t="n">
        <v>651.39</v>
      </c>
      <c r="L252" s="0" t="n">
        <v>646.1</v>
      </c>
      <c r="M252" s="0" t="n">
        <v>639.63</v>
      </c>
      <c r="N252" s="0" t="n">
        <v>631.69</v>
      </c>
      <c r="O252" s="0" t="n">
        <v>621.59</v>
      </c>
      <c r="P252" s="0" t="n">
        <v>613.4</v>
      </c>
      <c r="R252" s="0" t="n">
        <v>5.28</v>
      </c>
      <c r="S252" s="0" t="n">
        <v>4.89</v>
      </c>
      <c r="T252" s="0" t="n">
        <v>4.76</v>
      </c>
      <c r="U252" s="0" t="n">
        <v>4.47</v>
      </c>
      <c r="V252" s="0" t="n">
        <v>4.75</v>
      </c>
      <c r="W252" s="0" t="n">
        <v>3.93</v>
      </c>
      <c r="X252" s="0" t="n">
        <v>4.04</v>
      </c>
      <c r="Y252" s="0" t="n">
        <v>1.82</v>
      </c>
      <c r="AB252" s="0" t="n">
        <v>3.94</v>
      </c>
      <c r="AC252" s="0" t="n">
        <v>4.83</v>
      </c>
      <c r="AH252" s="0" t="n">
        <v>12.72</v>
      </c>
      <c r="AI252" s="0" t="n">
        <v>15.05</v>
      </c>
      <c r="AJ252" s="0" t="n">
        <v>7.85</v>
      </c>
      <c r="AK252" s="0" t="n">
        <v>7.23</v>
      </c>
      <c r="AL252" s="0" t="n">
        <v>9.49</v>
      </c>
      <c r="AM252" s="0" t="n">
        <v>9.94</v>
      </c>
      <c r="AN252" s="0" t="n">
        <v>10.66</v>
      </c>
      <c r="AP252" s="0" t="n">
        <v>10.7</v>
      </c>
      <c r="AQ252" s="0" t="n">
        <v>6.49</v>
      </c>
      <c r="AR252" s="0" t="n">
        <v>4.94</v>
      </c>
      <c r="AS252" s="0" t="n">
        <v>4.44</v>
      </c>
      <c r="AT252" s="0" t="n">
        <v>2.23</v>
      </c>
      <c r="AU252" s="0" t="n">
        <v>9.14</v>
      </c>
    </row>
    <row r="253" customFormat="false" ht="14.25" hidden="false" customHeight="false" outlineLevel="0" collapsed="false">
      <c r="A253" s="0" t="n">
        <v>12.19</v>
      </c>
      <c r="B253" s="0" t="n">
        <v>3.37</v>
      </c>
      <c r="C253" s="0" t="n">
        <v>5.85</v>
      </c>
      <c r="D253" s="0" t="n">
        <v>9.6</v>
      </c>
      <c r="H253" s="0" t="n">
        <v>2.88</v>
      </c>
      <c r="I253" s="0" t="n">
        <v>667.93</v>
      </c>
      <c r="J253" s="0" t="n">
        <v>4.63</v>
      </c>
      <c r="K253" s="0" t="n">
        <v>651.4</v>
      </c>
      <c r="L253" s="0" t="n">
        <v>646.08</v>
      </c>
      <c r="M253" s="0" t="n">
        <v>639.63</v>
      </c>
      <c r="N253" s="0" t="n">
        <v>631.63</v>
      </c>
      <c r="O253" s="0" t="n">
        <v>621.6</v>
      </c>
      <c r="P253" s="0" t="n">
        <v>613.38</v>
      </c>
      <c r="R253" s="0" t="n">
        <v>5.31</v>
      </c>
      <c r="S253" s="0" t="n">
        <v>4.84</v>
      </c>
      <c r="T253" s="0" t="n">
        <v>4.76</v>
      </c>
      <c r="U253" s="0" t="n">
        <v>4.48</v>
      </c>
      <c r="V253" s="0" t="n">
        <v>4.76</v>
      </c>
      <c r="W253" s="0" t="n">
        <v>3.93</v>
      </c>
      <c r="X253" s="0" t="n">
        <v>4.05</v>
      </c>
      <c r="Y253" s="0" t="n">
        <v>1.83</v>
      </c>
      <c r="AB253" s="0" t="n">
        <v>3.92</v>
      </c>
      <c r="AC253" s="0" t="n">
        <v>4.83</v>
      </c>
      <c r="AH253" s="0" t="n">
        <v>12.72</v>
      </c>
      <c r="AI253" s="0" t="n">
        <v>15.01</v>
      </c>
      <c r="AJ253" s="0" t="n">
        <v>7.87</v>
      </c>
      <c r="AK253" s="0" t="n">
        <v>7.22</v>
      </c>
      <c r="AL253" s="0" t="n">
        <v>9.48</v>
      </c>
      <c r="AM253" s="0" t="n">
        <v>9.96</v>
      </c>
      <c r="AN253" s="0" t="n">
        <v>10.65</v>
      </c>
      <c r="AP253" s="0" t="n">
        <v>10.72</v>
      </c>
      <c r="AQ253" s="0" t="n">
        <v>6.49</v>
      </c>
      <c r="AR253" s="0" t="n">
        <v>4.93</v>
      </c>
      <c r="AS253" s="0" t="n">
        <v>4.43</v>
      </c>
      <c r="AT253" s="0" t="n">
        <v>2.23</v>
      </c>
      <c r="AU253" s="0" t="n">
        <v>9.16</v>
      </c>
    </row>
    <row r="254" customFormat="false" ht="14.25" hidden="false" customHeight="false" outlineLevel="0" collapsed="false">
      <c r="A254" s="0" t="n">
        <v>12.19</v>
      </c>
      <c r="B254" s="0" t="n">
        <v>3.35</v>
      </c>
      <c r="C254" s="0" t="n">
        <v>5.84</v>
      </c>
      <c r="D254" s="0" t="n">
        <v>9.59</v>
      </c>
      <c r="H254" s="0" t="n">
        <v>2.85</v>
      </c>
      <c r="I254" s="0" t="n">
        <v>667.93</v>
      </c>
      <c r="J254" s="0" t="n">
        <v>4.63</v>
      </c>
      <c r="K254" s="0" t="n">
        <v>651.4</v>
      </c>
      <c r="L254" s="0" t="n">
        <v>646.09</v>
      </c>
      <c r="M254" s="0" t="n">
        <v>639.63</v>
      </c>
      <c r="N254" s="0" t="n">
        <v>631.63</v>
      </c>
      <c r="O254" s="0" t="n">
        <v>621.62</v>
      </c>
      <c r="P254" s="0" t="n">
        <v>613.37</v>
      </c>
      <c r="R254" s="0" t="n">
        <v>5.26</v>
      </c>
      <c r="S254" s="0" t="n">
        <v>4.86</v>
      </c>
      <c r="T254" s="0" t="n">
        <v>4.76</v>
      </c>
      <c r="U254" s="0" t="n">
        <v>4.47</v>
      </c>
      <c r="V254" s="0" t="n">
        <v>4.76</v>
      </c>
      <c r="W254" s="0" t="n">
        <v>3.95</v>
      </c>
      <c r="X254" s="0" t="n">
        <v>4.04</v>
      </c>
      <c r="Y254" s="0" t="n">
        <v>1.84</v>
      </c>
      <c r="AB254" s="0" t="n">
        <v>3.93</v>
      </c>
      <c r="AC254" s="0" t="n">
        <v>4.83</v>
      </c>
      <c r="AH254" s="0" t="n">
        <v>12.72</v>
      </c>
      <c r="AI254" s="0" t="n">
        <v>15</v>
      </c>
      <c r="AJ254" s="0" t="n">
        <v>7.86</v>
      </c>
      <c r="AK254" s="0" t="n">
        <v>7.22</v>
      </c>
      <c r="AL254" s="0" t="n">
        <v>9.47</v>
      </c>
      <c r="AM254" s="0" t="n">
        <v>9.89</v>
      </c>
      <c r="AN254" s="0" t="n">
        <v>10.63</v>
      </c>
      <c r="AP254" s="0" t="n">
        <v>10.69</v>
      </c>
      <c r="AQ254" s="0" t="n">
        <v>6.49</v>
      </c>
      <c r="AR254" s="0" t="n">
        <v>4.93</v>
      </c>
      <c r="AS254" s="0" t="n">
        <v>4.46</v>
      </c>
      <c r="AT254" s="0" t="n">
        <v>2.24</v>
      </c>
      <c r="AU254" s="0" t="n">
        <v>9.14</v>
      </c>
    </row>
    <row r="255" customFormat="false" ht="14.25" hidden="false" customHeight="false" outlineLevel="0" collapsed="false">
      <c r="A255" s="0" t="n">
        <v>12.2</v>
      </c>
      <c r="B255" s="0" t="n">
        <v>3.33</v>
      </c>
      <c r="C255" s="0" t="n">
        <v>5.83</v>
      </c>
      <c r="D255" s="0" t="n">
        <v>9.55</v>
      </c>
      <c r="H255" s="0" t="n">
        <v>2.83</v>
      </c>
      <c r="I255" s="0" t="n">
        <v>667.94</v>
      </c>
      <c r="J255" s="0" t="n">
        <v>4.63</v>
      </c>
      <c r="K255" s="0" t="n">
        <v>651.4</v>
      </c>
      <c r="L255" s="0" t="n">
        <v>646.09</v>
      </c>
      <c r="M255" s="0" t="n">
        <v>639.63</v>
      </c>
      <c r="N255" s="0" t="n">
        <v>631.63</v>
      </c>
      <c r="O255" s="0" t="n">
        <v>621.62</v>
      </c>
      <c r="P255" s="0" t="n">
        <v>613.37</v>
      </c>
      <c r="R255" s="0" t="n">
        <v>5.3</v>
      </c>
      <c r="S255" s="0" t="n">
        <v>4.92</v>
      </c>
      <c r="T255" s="0" t="n">
        <v>4.76</v>
      </c>
      <c r="U255" s="0" t="n">
        <v>4.47</v>
      </c>
      <c r="V255" s="0" t="n">
        <v>4.76</v>
      </c>
      <c r="W255" s="0" t="n">
        <v>3.94</v>
      </c>
      <c r="X255" s="0" t="n">
        <v>4.05</v>
      </c>
      <c r="Y255" s="0" t="n">
        <v>1.83</v>
      </c>
      <c r="AB255" s="0" t="n">
        <v>3.94</v>
      </c>
      <c r="AC255" s="0" t="n">
        <v>4.79</v>
      </c>
      <c r="AH255" s="0" t="n">
        <v>12.72</v>
      </c>
      <c r="AI255" s="0" t="n">
        <v>14.99</v>
      </c>
      <c r="AJ255" s="0" t="n">
        <v>7.86</v>
      </c>
      <c r="AK255" s="0" t="n">
        <v>7.23</v>
      </c>
      <c r="AL255" s="0" t="n">
        <v>9.5</v>
      </c>
      <c r="AM255" s="0" t="n">
        <v>9.89</v>
      </c>
      <c r="AN255" s="0" t="n">
        <v>10.64</v>
      </c>
      <c r="AP255" s="0" t="n">
        <v>10.7</v>
      </c>
      <c r="AQ255" s="0" t="n">
        <v>6.49</v>
      </c>
      <c r="AR255" s="0" t="n">
        <v>4.93</v>
      </c>
      <c r="AS255" s="0" t="n">
        <v>4.43</v>
      </c>
      <c r="AT255" s="0" t="n">
        <v>2.24</v>
      </c>
      <c r="AU255" s="0" t="n">
        <v>9.14</v>
      </c>
    </row>
    <row r="256" customFormat="false" ht="14.25" hidden="false" customHeight="false" outlineLevel="0" collapsed="false">
      <c r="A256" s="0" t="n">
        <v>12.19</v>
      </c>
      <c r="B256" s="0" t="n">
        <v>3.31</v>
      </c>
      <c r="C256" s="0" t="n">
        <v>5.8</v>
      </c>
      <c r="D256" s="0" t="n">
        <v>9.56</v>
      </c>
      <c r="H256" s="0" t="n">
        <v>2.85</v>
      </c>
      <c r="I256" s="0" t="n">
        <v>667.96</v>
      </c>
      <c r="J256" s="0" t="n">
        <v>4.63</v>
      </c>
      <c r="K256" s="0" t="n">
        <v>651.4</v>
      </c>
      <c r="L256" s="0" t="n">
        <v>646.09</v>
      </c>
      <c r="M256" s="0" t="n">
        <v>639.63</v>
      </c>
      <c r="N256" s="0" t="n">
        <v>631.63</v>
      </c>
      <c r="O256" s="0" t="n">
        <v>621.6</v>
      </c>
      <c r="P256" s="0" t="n">
        <v>613.38</v>
      </c>
      <c r="R256" s="0" t="n">
        <v>5.28</v>
      </c>
      <c r="S256" s="0" t="n">
        <v>4.87</v>
      </c>
      <c r="T256" s="0" t="n">
        <v>4.76</v>
      </c>
      <c r="U256" s="0" t="n">
        <v>4.49</v>
      </c>
      <c r="V256" s="0" t="n">
        <v>4.76</v>
      </c>
      <c r="W256" s="0" t="n">
        <v>3.95</v>
      </c>
      <c r="X256" s="0" t="n">
        <v>4.06</v>
      </c>
      <c r="Y256" s="0" t="n">
        <v>1.83</v>
      </c>
      <c r="AB256" s="0" t="n">
        <v>3.91</v>
      </c>
      <c r="AC256" s="0" t="n">
        <v>4.84</v>
      </c>
      <c r="AH256" s="0" t="n">
        <v>12.71</v>
      </c>
      <c r="AI256" s="0" t="n">
        <v>14.97</v>
      </c>
      <c r="AJ256" s="0" t="n">
        <v>7.87</v>
      </c>
      <c r="AK256" s="0" t="n">
        <v>7.27</v>
      </c>
      <c r="AL256" s="0" t="n">
        <v>9.47</v>
      </c>
      <c r="AM256" s="0" t="n">
        <v>9.94</v>
      </c>
      <c r="AN256" s="0" t="n">
        <v>10.61</v>
      </c>
      <c r="AP256" s="0" t="n">
        <v>10.68</v>
      </c>
      <c r="AQ256" s="0" t="n">
        <v>6.49</v>
      </c>
      <c r="AR256" s="0" t="n">
        <v>4.93</v>
      </c>
      <c r="AS256" s="0" t="n">
        <v>4.39</v>
      </c>
      <c r="AT256" s="0" t="n">
        <v>2.24</v>
      </c>
      <c r="AU256" s="0" t="n">
        <v>9.16</v>
      </c>
    </row>
    <row r="257" customFormat="false" ht="14.25" hidden="false" customHeight="false" outlineLevel="0" collapsed="false">
      <c r="A257" s="0" t="n">
        <v>12.19</v>
      </c>
      <c r="B257" s="0" t="n">
        <v>3.29</v>
      </c>
      <c r="C257" s="0" t="n">
        <v>5.8</v>
      </c>
      <c r="D257" s="0" t="n">
        <v>9.58</v>
      </c>
      <c r="H257" s="0" t="n">
        <v>2.84</v>
      </c>
      <c r="I257" s="0" t="n">
        <v>667.93</v>
      </c>
      <c r="J257" s="0" t="n">
        <v>4.63</v>
      </c>
      <c r="K257" s="0" t="n">
        <v>651.38</v>
      </c>
      <c r="L257" s="0" t="n">
        <v>646.09</v>
      </c>
      <c r="M257" s="0" t="n">
        <v>639.63</v>
      </c>
      <c r="N257" s="0" t="n">
        <v>631.63</v>
      </c>
      <c r="O257" s="0" t="n">
        <v>621.6</v>
      </c>
      <c r="P257" s="0" t="n">
        <v>613.38</v>
      </c>
      <c r="R257" s="0" t="n">
        <v>5.35</v>
      </c>
      <c r="S257" s="0" t="n">
        <v>4.85</v>
      </c>
      <c r="T257" s="0" t="n">
        <v>4.78</v>
      </c>
      <c r="U257" s="0" t="n">
        <v>4.41</v>
      </c>
      <c r="V257" s="0" t="n">
        <v>4.77</v>
      </c>
      <c r="W257" s="0" t="n">
        <v>3.94</v>
      </c>
      <c r="X257" s="0" t="n">
        <v>4.08</v>
      </c>
      <c r="Y257" s="0" t="n">
        <v>1.83</v>
      </c>
      <c r="AB257" s="0" t="n">
        <v>3.93</v>
      </c>
      <c r="AC257" s="0" t="n">
        <v>4.85</v>
      </c>
      <c r="AH257" s="0" t="n">
        <v>12.71</v>
      </c>
      <c r="AI257" s="0" t="n">
        <v>14.98</v>
      </c>
      <c r="AJ257" s="0" t="n">
        <v>7.87</v>
      </c>
      <c r="AK257" s="0" t="n">
        <v>7.29</v>
      </c>
      <c r="AL257" s="0" t="n">
        <v>9.48</v>
      </c>
      <c r="AM257" s="0" t="n">
        <v>9.96</v>
      </c>
      <c r="AN257" s="0" t="n">
        <v>10.6</v>
      </c>
      <c r="AP257" s="0" t="n">
        <v>10.69</v>
      </c>
      <c r="AQ257" s="0" t="n">
        <v>6.5</v>
      </c>
      <c r="AR257" s="0" t="n">
        <v>4.93</v>
      </c>
      <c r="AS257" s="0" t="n">
        <v>4.47</v>
      </c>
      <c r="AT257" s="0" t="n">
        <v>2.24</v>
      </c>
      <c r="AU257" s="0" t="n">
        <v>9.15</v>
      </c>
    </row>
    <row r="258" customFormat="false" ht="14.25" hidden="false" customHeight="false" outlineLevel="0" collapsed="false">
      <c r="A258" s="0" t="n">
        <v>12.19</v>
      </c>
      <c r="B258" s="0" t="n">
        <v>3.28</v>
      </c>
      <c r="C258" s="0" t="n">
        <v>5.8</v>
      </c>
      <c r="D258" s="0" t="n">
        <v>9.59</v>
      </c>
      <c r="H258" s="0" t="n">
        <v>2.88</v>
      </c>
      <c r="I258" s="0" t="n">
        <v>667.94</v>
      </c>
      <c r="J258" s="0" t="n">
        <v>4.63</v>
      </c>
      <c r="K258" s="0" t="n">
        <v>651.42</v>
      </c>
      <c r="L258" s="0" t="n">
        <v>646.08</v>
      </c>
      <c r="M258" s="0" t="n">
        <v>639.63</v>
      </c>
      <c r="N258" s="0" t="n">
        <v>631.62</v>
      </c>
      <c r="O258" s="0" t="n">
        <v>621.6</v>
      </c>
      <c r="P258" s="0" t="n">
        <v>613.39</v>
      </c>
      <c r="R258" s="0" t="n">
        <v>5.42</v>
      </c>
      <c r="S258" s="0" t="n">
        <v>4.85</v>
      </c>
      <c r="T258" s="0" t="n">
        <v>4.77</v>
      </c>
      <c r="U258" s="0" t="n">
        <v>4.48</v>
      </c>
      <c r="V258" s="0" t="n">
        <v>4.76</v>
      </c>
      <c r="W258" s="0" t="n">
        <v>3.95</v>
      </c>
      <c r="X258" s="0" t="n">
        <v>4.02</v>
      </c>
      <c r="Y258" s="0" t="n">
        <v>1.84</v>
      </c>
      <c r="AB258" s="0" t="n">
        <v>3.93</v>
      </c>
      <c r="AC258" s="0" t="n">
        <v>4.83</v>
      </c>
      <c r="AH258" s="0" t="n">
        <v>12.7</v>
      </c>
      <c r="AI258" s="0" t="n">
        <v>15.03</v>
      </c>
      <c r="AJ258" s="0" t="n">
        <v>7.87</v>
      </c>
      <c r="AK258" s="0" t="n">
        <v>7.28</v>
      </c>
      <c r="AL258" s="0" t="n">
        <v>9.49</v>
      </c>
      <c r="AM258" s="0" t="n">
        <v>9.92</v>
      </c>
      <c r="AN258" s="0" t="n">
        <v>10.62</v>
      </c>
      <c r="AP258" s="0" t="n">
        <v>10.69</v>
      </c>
      <c r="AQ258" s="0" t="n">
        <v>6.5</v>
      </c>
      <c r="AR258" s="0" t="n">
        <v>4.93</v>
      </c>
      <c r="AS258" s="0" t="n">
        <v>4.43</v>
      </c>
      <c r="AT258" s="0" t="n">
        <v>2.25</v>
      </c>
      <c r="AU258" s="0" t="n">
        <v>9.14</v>
      </c>
    </row>
    <row r="259" customFormat="false" ht="14.25" hidden="false" customHeight="false" outlineLevel="0" collapsed="false">
      <c r="A259" s="0" t="n">
        <v>12.18</v>
      </c>
      <c r="B259" s="0" t="n">
        <v>3.26</v>
      </c>
      <c r="C259" s="0" t="n">
        <v>5.79</v>
      </c>
      <c r="D259" s="0" t="n">
        <v>9.55</v>
      </c>
      <c r="H259" s="0" t="n">
        <v>2.88</v>
      </c>
      <c r="I259" s="0" t="n">
        <v>667.94</v>
      </c>
      <c r="J259" s="0" t="n">
        <v>4.63</v>
      </c>
      <c r="K259" s="0" t="n">
        <v>651.4</v>
      </c>
      <c r="L259" s="0" t="n">
        <v>646.1</v>
      </c>
      <c r="M259" s="0" t="n">
        <v>639.63</v>
      </c>
      <c r="N259" s="0" t="n">
        <v>631.62</v>
      </c>
      <c r="O259" s="0" t="n">
        <v>621.59</v>
      </c>
      <c r="P259" s="0" t="n">
        <v>613.39</v>
      </c>
      <c r="R259" s="0" t="n">
        <v>5.4</v>
      </c>
      <c r="S259" s="0" t="n">
        <v>4.84</v>
      </c>
      <c r="T259" s="0" t="n">
        <v>4.78</v>
      </c>
      <c r="U259" s="0" t="n">
        <v>4.43</v>
      </c>
      <c r="V259" s="0" t="n">
        <v>4.77</v>
      </c>
      <c r="W259" s="0" t="n">
        <v>3.95</v>
      </c>
      <c r="X259" s="0" t="n">
        <v>4.02</v>
      </c>
      <c r="Y259" s="0" t="n">
        <v>1.83</v>
      </c>
      <c r="AB259" s="0" t="n">
        <v>3.93</v>
      </c>
      <c r="AC259" s="0" t="n">
        <v>4.85</v>
      </c>
      <c r="AH259" s="0" t="n">
        <v>12.71</v>
      </c>
      <c r="AI259" s="0" t="n">
        <v>15.03</v>
      </c>
      <c r="AJ259" s="0" t="n">
        <v>7.88</v>
      </c>
      <c r="AK259" s="0" t="n">
        <v>7.29</v>
      </c>
      <c r="AL259" s="0" t="n">
        <v>9.48</v>
      </c>
      <c r="AM259" s="0" t="n">
        <v>9.9</v>
      </c>
      <c r="AN259" s="0" t="n">
        <v>10.58</v>
      </c>
      <c r="AP259" s="0" t="n">
        <v>10.69</v>
      </c>
      <c r="AQ259" s="0" t="n">
        <v>6.49</v>
      </c>
      <c r="AR259" s="0" t="n">
        <v>4.95</v>
      </c>
      <c r="AS259" s="0" t="n">
        <v>4.49</v>
      </c>
      <c r="AT259" s="0" t="n">
        <v>2.25</v>
      </c>
      <c r="AU259" s="0" t="n">
        <v>9.17</v>
      </c>
    </row>
    <row r="260" customFormat="false" ht="14.25" hidden="false" customHeight="false" outlineLevel="0" collapsed="false">
      <c r="A260" s="0" t="n">
        <v>12.18</v>
      </c>
      <c r="B260" s="0" t="n">
        <v>3.21</v>
      </c>
      <c r="C260" s="0" t="n">
        <v>5.79</v>
      </c>
      <c r="D260" s="0" t="n">
        <v>9.54</v>
      </c>
      <c r="H260" s="0" t="n">
        <v>2.85</v>
      </c>
      <c r="I260" s="0" t="n">
        <v>667.91</v>
      </c>
      <c r="J260" s="0" t="n">
        <v>4.63</v>
      </c>
      <c r="K260" s="0" t="n">
        <v>651.39</v>
      </c>
      <c r="L260" s="0" t="n">
        <v>646.08</v>
      </c>
      <c r="M260" s="0" t="n">
        <v>639.63</v>
      </c>
      <c r="N260" s="0" t="n">
        <v>631.63</v>
      </c>
      <c r="O260" s="0" t="n">
        <v>621.59</v>
      </c>
      <c r="P260" s="0" t="n">
        <v>613.39</v>
      </c>
      <c r="R260" s="0" t="n">
        <v>5.28</v>
      </c>
      <c r="S260" s="0" t="n">
        <v>4.84</v>
      </c>
      <c r="T260" s="0" t="n">
        <v>4.78</v>
      </c>
      <c r="U260" s="0" t="n">
        <v>4.48</v>
      </c>
      <c r="V260" s="0" t="n">
        <v>4.77</v>
      </c>
      <c r="W260" s="0" t="n">
        <v>3.95</v>
      </c>
      <c r="X260" s="0" t="n">
        <v>4.03</v>
      </c>
      <c r="Y260" s="0" t="n">
        <v>1.83</v>
      </c>
      <c r="AB260" s="0" t="n">
        <v>3.93</v>
      </c>
      <c r="AC260" s="0" t="n">
        <v>4.67</v>
      </c>
      <c r="AH260" s="0" t="n">
        <v>12.7</v>
      </c>
      <c r="AI260" s="0" t="n">
        <v>15.06</v>
      </c>
      <c r="AJ260" s="0" t="n">
        <v>7.89</v>
      </c>
      <c r="AK260" s="0" t="n">
        <v>7.3</v>
      </c>
      <c r="AL260" s="0" t="n">
        <v>9.48</v>
      </c>
      <c r="AM260" s="0" t="n">
        <v>9.96</v>
      </c>
      <c r="AN260" s="0" t="n">
        <v>10.61</v>
      </c>
      <c r="AP260" s="0" t="n">
        <v>10.69</v>
      </c>
      <c r="AQ260" s="0" t="n">
        <v>6.48</v>
      </c>
      <c r="AR260" s="0" t="n">
        <v>4.94</v>
      </c>
      <c r="AS260" s="0" t="n">
        <v>4.51</v>
      </c>
      <c r="AT260" s="0" t="n">
        <v>2.27</v>
      </c>
      <c r="AU260" s="0" t="n">
        <v>9.16</v>
      </c>
    </row>
    <row r="261" customFormat="false" ht="14.25" hidden="false" customHeight="false" outlineLevel="0" collapsed="false">
      <c r="A261" s="0" t="n">
        <v>12.17</v>
      </c>
      <c r="B261" s="0" t="n">
        <v>3.19</v>
      </c>
      <c r="C261" s="0" t="n">
        <v>5.77</v>
      </c>
      <c r="D261" s="0" t="n">
        <v>9.53</v>
      </c>
      <c r="H261" s="0" t="n">
        <v>2.83</v>
      </c>
      <c r="I261" s="0" t="n">
        <v>667.92</v>
      </c>
      <c r="J261" s="0" t="n">
        <v>4.63</v>
      </c>
      <c r="K261" s="0" t="n">
        <v>651.35</v>
      </c>
      <c r="L261" s="0" t="n">
        <v>646.07</v>
      </c>
      <c r="M261" s="0" t="n">
        <v>639.63</v>
      </c>
      <c r="N261" s="0" t="n">
        <v>631.67</v>
      </c>
      <c r="O261" s="0" t="n">
        <v>621.6</v>
      </c>
      <c r="P261" s="0" t="n">
        <v>613.38</v>
      </c>
      <c r="R261" s="0" t="n">
        <v>5.3</v>
      </c>
      <c r="S261" s="0" t="n">
        <v>4.85</v>
      </c>
      <c r="T261" s="0" t="n">
        <v>4.77</v>
      </c>
      <c r="U261" s="0" t="n">
        <v>4.48</v>
      </c>
      <c r="V261" s="0" t="n">
        <v>4.77</v>
      </c>
      <c r="W261" s="0" t="n">
        <v>3.94</v>
      </c>
      <c r="X261" s="0" t="n">
        <v>4.04</v>
      </c>
      <c r="Y261" s="0" t="n">
        <v>1.83</v>
      </c>
      <c r="AB261" s="0" t="n">
        <v>3.94</v>
      </c>
      <c r="AC261" s="0" t="n">
        <v>4.85</v>
      </c>
      <c r="AH261" s="0" t="n">
        <v>12.69</v>
      </c>
      <c r="AI261" s="0" t="n">
        <v>15.01</v>
      </c>
      <c r="AJ261" s="0" t="n">
        <v>7.88</v>
      </c>
      <c r="AK261" s="0" t="n">
        <v>7.33</v>
      </c>
      <c r="AL261" s="0" t="n">
        <v>9.5</v>
      </c>
      <c r="AM261" s="0" t="n">
        <v>9.85</v>
      </c>
      <c r="AN261" s="0" t="n">
        <v>10.57</v>
      </c>
      <c r="AP261" s="0" t="n">
        <v>10.68</v>
      </c>
      <c r="AQ261" s="0" t="n">
        <v>6.46</v>
      </c>
      <c r="AR261" s="0" t="n">
        <v>4.96</v>
      </c>
      <c r="AS261" s="0" t="n">
        <v>4.52</v>
      </c>
      <c r="AT261" s="0" t="n">
        <v>2.25</v>
      </c>
      <c r="AU261" s="0" t="n">
        <v>9.16</v>
      </c>
    </row>
    <row r="262" customFormat="false" ht="14.25" hidden="false" customHeight="false" outlineLevel="0" collapsed="false">
      <c r="A262" s="0" t="n">
        <v>12.17</v>
      </c>
      <c r="B262" s="0" t="n">
        <v>3.18</v>
      </c>
      <c r="C262" s="0" t="n">
        <v>5.76</v>
      </c>
      <c r="D262" s="0" t="n">
        <v>9.55</v>
      </c>
      <c r="H262" s="0" t="n">
        <v>2.83</v>
      </c>
      <c r="I262" s="0" t="n">
        <v>667.92</v>
      </c>
      <c r="J262" s="0" t="n">
        <v>4.63</v>
      </c>
      <c r="K262" s="0" t="n">
        <v>651.46</v>
      </c>
      <c r="L262" s="0" t="n">
        <v>646.08</v>
      </c>
      <c r="M262" s="0" t="n">
        <v>639.66</v>
      </c>
      <c r="N262" s="0" t="n">
        <v>631.63</v>
      </c>
      <c r="O262" s="0" t="n">
        <v>621.6</v>
      </c>
      <c r="P262" s="0" t="n">
        <v>613.38</v>
      </c>
      <c r="R262" s="0" t="n">
        <v>5.28</v>
      </c>
      <c r="S262" s="0" t="n">
        <v>4.84</v>
      </c>
      <c r="T262" s="0" t="n">
        <v>4.79</v>
      </c>
      <c r="U262" s="0" t="n">
        <v>4.62</v>
      </c>
      <c r="V262" s="0" t="n">
        <v>4.78</v>
      </c>
      <c r="W262" s="0" t="n">
        <v>3.96</v>
      </c>
      <c r="X262" s="0" t="n">
        <v>4.03</v>
      </c>
      <c r="Y262" s="0" t="n">
        <v>1.84</v>
      </c>
      <c r="AB262" s="0" t="n">
        <v>3.93</v>
      </c>
      <c r="AC262" s="0" t="n">
        <v>4.89</v>
      </c>
      <c r="AH262" s="0" t="n">
        <v>12.7</v>
      </c>
      <c r="AI262" s="0" t="n">
        <v>15</v>
      </c>
      <c r="AJ262" s="0" t="n">
        <v>7.88</v>
      </c>
      <c r="AK262" s="0" t="n">
        <v>7.33</v>
      </c>
      <c r="AL262" s="0" t="n">
        <v>9.51</v>
      </c>
      <c r="AM262" s="0" t="n">
        <v>9.87</v>
      </c>
      <c r="AN262" s="0" t="n">
        <v>10.59</v>
      </c>
      <c r="AP262" s="0" t="n">
        <v>10.7</v>
      </c>
      <c r="AQ262" s="0" t="n">
        <v>6.47</v>
      </c>
      <c r="AR262" s="0" t="n">
        <v>4.94</v>
      </c>
      <c r="AS262" s="0" t="n">
        <v>4.49</v>
      </c>
      <c r="AT262" s="0" t="n">
        <v>2.27</v>
      </c>
      <c r="AU262" s="0" t="n">
        <v>9.16</v>
      </c>
    </row>
    <row r="263" customFormat="false" ht="14.25" hidden="false" customHeight="false" outlineLevel="0" collapsed="false">
      <c r="A263" s="0" t="n">
        <v>12.16</v>
      </c>
      <c r="B263" s="0" t="n">
        <v>3.17</v>
      </c>
      <c r="C263" s="0" t="n">
        <v>5.75</v>
      </c>
      <c r="D263" s="0" t="n">
        <v>9.52</v>
      </c>
      <c r="H263" s="0" t="n">
        <v>2.88</v>
      </c>
      <c r="I263" s="0" t="n">
        <v>667.94</v>
      </c>
      <c r="J263" s="0" t="n">
        <v>4.65</v>
      </c>
      <c r="K263" s="0" t="n">
        <v>651.43</v>
      </c>
      <c r="L263" s="0" t="n">
        <v>646.09</v>
      </c>
      <c r="M263" s="0" t="n">
        <v>639.58</v>
      </c>
      <c r="N263" s="0" t="n">
        <v>631.63</v>
      </c>
      <c r="O263" s="0" t="n">
        <v>621.6</v>
      </c>
      <c r="P263" s="0" t="n">
        <v>613.38</v>
      </c>
      <c r="R263" s="0" t="n">
        <v>5.28</v>
      </c>
      <c r="S263" s="0" t="n">
        <v>4.84</v>
      </c>
      <c r="T263" s="0" t="n">
        <v>4.79</v>
      </c>
      <c r="U263" s="0" t="n">
        <v>4.41</v>
      </c>
      <c r="V263" s="0" t="n">
        <v>4.77</v>
      </c>
      <c r="W263" s="0" t="n">
        <v>3.93</v>
      </c>
      <c r="X263" s="0" t="n">
        <v>4.03</v>
      </c>
      <c r="Y263" s="0" t="n">
        <v>1.84</v>
      </c>
      <c r="AB263" s="0" t="n">
        <v>3.93</v>
      </c>
      <c r="AC263" s="0" t="n">
        <v>4.87</v>
      </c>
      <c r="AH263" s="0" t="n">
        <v>12.69</v>
      </c>
      <c r="AI263" s="0" t="n">
        <v>15.01</v>
      </c>
      <c r="AJ263" s="0" t="n">
        <v>7.83</v>
      </c>
      <c r="AK263" s="0" t="n">
        <v>7.33</v>
      </c>
      <c r="AL263" s="0" t="n">
        <v>9.5</v>
      </c>
      <c r="AM263" s="0" t="n">
        <v>9.92</v>
      </c>
      <c r="AN263" s="0" t="n">
        <v>10.59</v>
      </c>
      <c r="AP263" s="0" t="n">
        <v>10.67</v>
      </c>
      <c r="AQ263" s="0" t="n">
        <v>6.48</v>
      </c>
      <c r="AR263" s="0" t="n">
        <v>4.92</v>
      </c>
      <c r="AS263" s="0" t="n">
        <v>4.47</v>
      </c>
      <c r="AT263" s="0" t="n">
        <v>2.27</v>
      </c>
      <c r="AU263" s="0" t="n">
        <v>9.16</v>
      </c>
    </row>
    <row r="264" customFormat="false" ht="14.25" hidden="false" customHeight="false" outlineLevel="0" collapsed="false">
      <c r="A264" s="0" t="n">
        <v>12.18</v>
      </c>
      <c r="B264" s="0" t="n">
        <v>3.16</v>
      </c>
      <c r="C264" s="0" t="n">
        <v>5.74</v>
      </c>
      <c r="D264" s="0" t="n">
        <v>9.52</v>
      </c>
      <c r="H264" s="0" t="n">
        <v>2.86</v>
      </c>
      <c r="I264" s="0" t="n">
        <v>667.94</v>
      </c>
      <c r="J264" s="0" t="n">
        <v>4.64</v>
      </c>
      <c r="K264" s="0" t="n">
        <v>651.42</v>
      </c>
      <c r="L264" s="0" t="n">
        <v>646.09</v>
      </c>
      <c r="M264" s="0" t="n">
        <v>639.63</v>
      </c>
      <c r="N264" s="0" t="n">
        <v>631.63</v>
      </c>
      <c r="O264" s="0" t="n">
        <v>621.6</v>
      </c>
      <c r="P264" s="0" t="n">
        <v>613.38</v>
      </c>
      <c r="R264" s="0" t="n">
        <v>5.27</v>
      </c>
      <c r="S264" s="0" t="n">
        <v>4.84</v>
      </c>
      <c r="T264" s="0" t="n">
        <v>4.78</v>
      </c>
      <c r="U264" s="0" t="n">
        <v>4.46</v>
      </c>
      <c r="V264" s="0" t="n">
        <v>4.79</v>
      </c>
      <c r="W264" s="0" t="n">
        <v>3.93</v>
      </c>
      <c r="X264" s="0" t="n">
        <v>4.03</v>
      </c>
      <c r="Y264" s="0" t="n">
        <v>1.84</v>
      </c>
      <c r="AB264" s="0" t="n">
        <v>3.9</v>
      </c>
      <c r="AC264" s="0" t="n">
        <v>4.86</v>
      </c>
      <c r="AH264" s="0" t="n">
        <v>12.69</v>
      </c>
      <c r="AI264" s="0" t="n">
        <v>15.06</v>
      </c>
      <c r="AJ264" s="0" t="n">
        <v>7.86</v>
      </c>
      <c r="AK264" s="0" t="n">
        <v>7.36</v>
      </c>
      <c r="AL264" s="0" t="n">
        <v>9.51</v>
      </c>
      <c r="AM264" s="0" t="n">
        <v>9.88</v>
      </c>
      <c r="AN264" s="0" t="n">
        <v>10.53</v>
      </c>
      <c r="AP264" s="0" t="n">
        <v>10.66</v>
      </c>
      <c r="AQ264" s="0" t="n">
        <v>6.43</v>
      </c>
      <c r="AR264" s="0" t="n">
        <v>4.94</v>
      </c>
      <c r="AS264" s="0" t="n">
        <v>4.54</v>
      </c>
      <c r="AT264" s="0" t="n">
        <v>2.27</v>
      </c>
      <c r="AU264" s="0" t="n">
        <v>9.16</v>
      </c>
    </row>
    <row r="265" customFormat="false" ht="14.25" hidden="false" customHeight="false" outlineLevel="0" collapsed="false">
      <c r="A265" s="0" t="n">
        <v>12.18</v>
      </c>
      <c r="B265" s="0" t="n">
        <v>3.14</v>
      </c>
      <c r="C265" s="0" t="n">
        <v>5.73</v>
      </c>
      <c r="D265" s="0" t="n">
        <v>9.52</v>
      </c>
      <c r="H265" s="0" t="n">
        <v>2.83</v>
      </c>
      <c r="I265" s="0" t="n">
        <v>667.94</v>
      </c>
      <c r="J265" s="0" t="n">
        <v>4.65</v>
      </c>
      <c r="K265" s="0" t="n">
        <v>651.41</v>
      </c>
      <c r="L265" s="0" t="n">
        <v>646.09</v>
      </c>
      <c r="M265" s="0" t="n">
        <v>639.63</v>
      </c>
      <c r="N265" s="0" t="n">
        <v>631.64</v>
      </c>
      <c r="O265" s="0" t="n">
        <v>621.62</v>
      </c>
      <c r="P265" s="0" t="n">
        <v>613.38</v>
      </c>
      <c r="R265" s="0" t="n">
        <v>5.28</v>
      </c>
      <c r="S265" s="0" t="n">
        <v>4.85</v>
      </c>
      <c r="T265" s="0" t="n">
        <v>4.78</v>
      </c>
      <c r="U265" s="0" t="n">
        <v>4.45</v>
      </c>
      <c r="V265" s="0" t="n">
        <v>4.77</v>
      </c>
      <c r="W265" s="0" t="n">
        <v>3.96</v>
      </c>
      <c r="X265" s="0" t="n">
        <v>4.04</v>
      </c>
      <c r="Y265" s="0" t="n">
        <v>1.84</v>
      </c>
      <c r="AB265" s="0" t="n">
        <v>3.92</v>
      </c>
      <c r="AC265" s="0" t="n">
        <v>4.83</v>
      </c>
      <c r="AH265" s="0" t="n">
        <v>12.69</v>
      </c>
      <c r="AI265" s="0" t="n">
        <v>15.04</v>
      </c>
      <c r="AJ265" s="0" t="n">
        <v>7.84</v>
      </c>
      <c r="AK265" s="0" t="n">
        <v>7.37</v>
      </c>
      <c r="AL265" s="0" t="n">
        <v>9.52</v>
      </c>
      <c r="AM265" s="0" t="n">
        <v>9.91</v>
      </c>
      <c r="AN265" s="0" t="n">
        <v>10.51</v>
      </c>
      <c r="AP265" s="0" t="n">
        <v>10.69</v>
      </c>
      <c r="AQ265" s="0" t="n">
        <v>6.43</v>
      </c>
      <c r="AR265" s="0" t="n">
        <v>4.92</v>
      </c>
      <c r="AS265" s="0" t="n">
        <v>4.54</v>
      </c>
      <c r="AT265" s="0" t="n">
        <v>2.28</v>
      </c>
      <c r="AU265" s="0" t="n">
        <v>9.16</v>
      </c>
    </row>
    <row r="266" customFormat="false" ht="14.25" hidden="false" customHeight="false" outlineLevel="0" collapsed="false">
      <c r="A266" s="0" t="n">
        <v>12.2</v>
      </c>
      <c r="B266" s="0" t="n">
        <v>3.14</v>
      </c>
      <c r="C266" s="0" t="n">
        <v>5.72</v>
      </c>
      <c r="D266" s="0" t="n">
        <v>9.49</v>
      </c>
      <c r="H266" s="0" t="n">
        <v>2.85</v>
      </c>
      <c r="I266" s="0" t="n">
        <v>667.94</v>
      </c>
      <c r="J266" s="0" t="n">
        <v>4.64</v>
      </c>
      <c r="K266" s="0" t="n">
        <v>651.4</v>
      </c>
      <c r="L266" s="0" t="n">
        <v>646.09</v>
      </c>
      <c r="M266" s="0" t="n">
        <v>639.66</v>
      </c>
      <c r="N266" s="0" t="n">
        <v>631.65</v>
      </c>
      <c r="O266" s="0" t="n">
        <v>621.6</v>
      </c>
      <c r="P266" s="0" t="n">
        <v>613.41</v>
      </c>
      <c r="R266" s="0" t="n">
        <v>5.28</v>
      </c>
      <c r="S266" s="0" t="n">
        <v>4.83</v>
      </c>
      <c r="T266" s="0" t="n">
        <v>4.73</v>
      </c>
      <c r="U266" s="0" t="n">
        <v>4.54</v>
      </c>
      <c r="V266" s="0" t="n">
        <v>4.77</v>
      </c>
      <c r="W266" s="0" t="n">
        <v>3.93</v>
      </c>
      <c r="X266" s="0" t="n">
        <v>4.04</v>
      </c>
      <c r="Y266" s="0" t="n">
        <v>1.85</v>
      </c>
      <c r="AB266" s="0" t="n">
        <v>3.91</v>
      </c>
      <c r="AC266" s="0" t="n">
        <v>4.85</v>
      </c>
      <c r="AH266" s="0" t="n">
        <v>12.68</v>
      </c>
      <c r="AI266" s="0" t="n">
        <v>15.04</v>
      </c>
      <c r="AJ266" s="0" t="n">
        <v>7.83</v>
      </c>
      <c r="AK266" s="0" t="n">
        <v>7.36</v>
      </c>
      <c r="AL266" s="0" t="n">
        <v>9.52</v>
      </c>
      <c r="AM266" s="0" t="n">
        <v>9.91</v>
      </c>
      <c r="AN266" s="0" t="n">
        <v>10.51</v>
      </c>
      <c r="AP266" s="0" t="n">
        <v>10.7</v>
      </c>
      <c r="AQ266" s="0" t="n">
        <v>6.42</v>
      </c>
      <c r="AR266" s="0" t="n">
        <v>4.93</v>
      </c>
      <c r="AS266" s="0" t="n">
        <v>4.54</v>
      </c>
      <c r="AT266" s="0" t="n">
        <v>2.29</v>
      </c>
      <c r="AU266" s="0" t="n">
        <v>9.16</v>
      </c>
    </row>
    <row r="267" customFormat="false" ht="14.25" hidden="false" customHeight="false" outlineLevel="0" collapsed="false">
      <c r="A267" s="0" t="n">
        <v>12.22</v>
      </c>
      <c r="B267" s="0" t="n">
        <v>3.12</v>
      </c>
      <c r="C267" s="0" t="n">
        <v>5.71</v>
      </c>
      <c r="D267" s="0" t="n">
        <v>9.5</v>
      </c>
      <c r="H267" s="0" t="n">
        <v>2.86</v>
      </c>
      <c r="I267" s="0" t="n">
        <v>667.9</v>
      </c>
      <c r="J267" s="0" t="n">
        <v>4.65</v>
      </c>
      <c r="K267" s="0" t="n">
        <v>651.4</v>
      </c>
      <c r="L267" s="0" t="n">
        <v>646.09</v>
      </c>
      <c r="M267" s="0" t="n">
        <v>639.66</v>
      </c>
      <c r="N267" s="0" t="n">
        <v>631.7</v>
      </c>
      <c r="O267" s="0" t="n">
        <v>621.6</v>
      </c>
      <c r="P267" s="0" t="n">
        <v>613.38</v>
      </c>
      <c r="R267" s="0" t="n">
        <v>5.26</v>
      </c>
      <c r="S267" s="0" t="n">
        <v>4.84</v>
      </c>
      <c r="T267" s="0" t="n">
        <v>4.8</v>
      </c>
      <c r="U267" s="0" t="n">
        <v>4.47</v>
      </c>
      <c r="V267" s="0" t="n">
        <v>4.77</v>
      </c>
      <c r="W267" s="0" t="n">
        <v>3.95</v>
      </c>
      <c r="X267" s="0" t="n">
        <v>4.04</v>
      </c>
      <c r="Y267" s="0" t="n">
        <v>1.86</v>
      </c>
      <c r="AB267" s="0" t="n">
        <v>3.93</v>
      </c>
      <c r="AC267" s="0" t="n">
        <v>4.84</v>
      </c>
      <c r="AH267" s="0" t="n">
        <v>12.68</v>
      </c>
      <c r="AI267" s="0" t="n">
        <v>15.09</v>
      </c>
      <c r="AJ267" s="0" t="n">
        <v>7.86</v>
      </c>
      <c r="AK267" s="0" t="n">
        <v>7.37</v>
      </c>
      <c r="AL267" s="0" t="n">
        <v>9.5</v>
      </c>
      <c r="AM267" s="0" t="n">
        <v>9.92</v>
      </c>
      <c r="AN267" s="0" t="n">
        <v>10.47</v>
      </c>
      <c r="AP267" s="0" t="n">
        <v>10.7</v>
      </c>
      <c r="AQ267" s="0" t="n">
        <v>6.39</v>
      </c>
      <c r="AR267" s="0" t="n">
        <v>4.92</v>
      </c>
      <c r="AS267" s="0" t="n">
        <v>4.53</v>
      </c>
      <c r="AT267" s="0" t="n">
        <v>2.28</v>
      </c>
      <c r="AU267" s="0" t="n">
        <v>9.16</v>
      </c>
    </row>
    <row r="268" customFormat="false" ht="14.25" hidden="false" customHeight="false" outlineLevel="0" collapsed="false">
      <c r="A268" s="0" t="n">
        <v>12.21</v>
      </c>
      <c r="B268" s="0" t="n">
        <v>3.1</v>
      </c>
      <c r="C268" s="0" t="n">
        <v>5.69</v>
      </c>
      <c r="D268" s="0" t="n">
        <v>9.51</v>
      </c>
      <c r="H268" s="0" t="n">
        <v>2.83</v>
      </c>
      <c r="I268" s="0" t="n">
        <v>667.91</v>
      </c>
      <c r="J268" s="0" t="n">
        <v>4.64</v>
      </c>
      <c r="K268" s="0" t="n">
        <v>651.44</v>
      </c>
      <c r="L268" s="0" t="n">
        <v>646.1</v>
      </c>
      <c r="M268" s="0" t="n">
        <v>639.63</v>
      </c>
      <c r="N268" s="0" t="n">
        <v>631.64</v>
      </c>
      <c r="O268" s="0" t="n">
        <v>621.6</v>
      </c>
      <c r="P268" s="0" t="n">
        <v>613.37</v>
      </c>
      <c r="R268" s="0" t="n">
        <v>5.31</v>
      </c>
      <c r="S268" s="0" t="n">
        <v>4.86</v>
      </c>
      <c r="T268" s="0" t="n">
        <v>4.79</v>
      </c>
      <c r="U268" s="0" t="n">
        <v>4.44</v>
      </c>
      <c r="V268" s="0" t="n">
        <v>4.77</v>
      </c>
      <c r="W268" s="0" t="n">
        <v>3.94</v>
      </c>
      <c r="X268" s="0" t="n">
        <v>4.04</v>
      </c>
      <c r="Y268" s="0" t="n">
        <v>1.84</v>
      </c>
      <c r="AB268" s="0" t="n">
        <v>3.95</v>
      </c>
      <c r="AC268" s="0" t="n">
        <v>4.83</v>
      </c>
      <c r="AH268" s="0" t="n">
        <v>12.68</v>
      </c>
      <c r="AI268" s="0" t="n">
        <v>15.06</v>
      </c>
      <c r="AJ268" s="0" t="n">
        <v>7.89</v>
      </c>
      <c r="AK268" s="0" t="n">
        <v>7.41</v>
      </c>
      <c r="AL268" s="0" t="n">
        <v>9.52</v>
      </c>
      <c r="AM268" s="0" t="n">
        <v>9.93</v>
      </c>
      <c r="AN268" s="0" t="n">
        <v>10.44</v>
      </c>
      <c r="AP268" s="0" t="n">
        <v>10.65</v>
      </c>
      <c r="AQ268" s="0" t="n">
        <v>6.43</v>
      </c>
      <c r="AR268" s="0" t="n">
        <v>4.93</v>
      </c>
      <c r="AS268" s="0" t="n">
        <v>4.53</v>
      </c>
      <c r="AT268" s="0" t="n">
        <v>2.28</v>
      </c>
      <c r="AU268" s="0" t="n">
        <v>9.16</v>
      </c>
    </row>
    <row r="269" customFormat="false" ht="14.25" hidden="false" customHeight="false" outlineLevel="0" collapsed="false">
      <c r="A269" s="0" t="n">
        <v>12.21</v>
      </c>
      <c r="B269" s="0" t="n">
        <v>3.08</v>
      </c>
      <c r="C269" s="0" t="n">
        <v>5.7</v>
      </c>
      <c r="D269" s="0" t="n">
        <v>9.49</v>
      </c>
      <c r="H269" s="0" t="n">
        <v>2.85</v>
      </c>
      <c r="I269" s="0" t="n">
        <v>667.92</v>
      </c>
      <c r="J269" s="0" t="n">
        <v>4.63</v>
      </c>
      <c r="K269" s="0" t="n">
        <v>651.41</v>
      </c>
      <c r="L269" s="0" t="n">
        <v>646.09</v>
      </c>
      <c r="M269" s="0" t="n">
        <v>639.62</v>
      </c>
      <c r="N269" s="0" t="n">
        <v>631.65</v>
      </c>
      <c r="O269" s="0" t="n">
        <v>621.62</v>
      </c>
      <c r="P269" s="0" t="n">
        <v>613.37</v>
      </c>
      <c r="R269" s="0" t="n">
        <v>5.28</v>
      </c>
      <c r="S269" s="0" t="n">
        <v>4.84</v>
      </c>
      <c r="T269" s="0" t="n">
        <v>4.8</v>
      </c>
      <c r="U269" s="0" t="n">
        <v>4.43</v>
      </c>
      <c r="V269" s="0" t="n">
        <v>4.77</v>
      </c>
      <c r="W269" s="0" t="n">
        <v>3.93</v>
      </c>
      <c r="X269" s="0" t="n">
        <v>4.04</v>
      </c>
      <c r="Y269" s="0" t="n">
        <v>1.86</v>
      </c>
      <c r="AB269" s="0" t="n">
        <v>3.91</v>
      </c>
      <c r="AC269" s="0" t="n">
        <v>4.84</v>
      </c>
      <c r="AH269" s="0" t="n">
        <v>12.67</v>
      </c>
      <c r="AI269" s="0" t="n">
        <v>15.1</v>
      </c>
      <c r="AJ269" s="0" t="n">
        <v>7.9</v>
      </c>
      <c r="AK269" s="0" t="n">
        <v>7.42</v>
      </c>
      <c r="AL269" s="0" t="n">
        <v>9.48</v>
      </c>
      <c r="AM269" s="0" t="n">
        <v>9.88</v>
      </c>
      <c r="AN269" s="0" t="n">
        <v>10.43</v>
      </c>
      <c r="AP269" s="0" t="n">
        <v>10.69</v>
      </c>
      <c r="AQ269" s="0" t="n">
        <v>6.45</v>
      </c>
      <c r="AR269" s="0" t="n">
        <v>4.91</v>
      </c>
      <c r="AS269" s="0" t="n">
        <v>4.49</v>
      </c>
      <c r="AT269" s="0" t="n">
        <v>2.3</v>
      </c>
      <c r="AU269" s="0" t="n">
        <v>9.18</v>
      </c>
    </row>
    <row r="270" customFormat="false" ht="14.25" hidden="false" customHeight="false" outlineLevel="0" collapsed="false">
      <c r="A270" s="0" t="n">
        <v>12.21</v>
      </c>
      <c r="B270" s="0" t="n">
        <v>3.07</v>
      </c>
      <c r="C270" s="0" t="n">
        <v>5.69</v>
      </c>
      <c r="D270" s="0" t="n">
        <v>9.5</v>
      </c>
      <c r="H270" s="0" t="n">
        <v>2.85</v>
      </c>
      <c r="I270" s="0" t="n">
        <v>667.93</v>
      </c>
      <c r="J270" s="0" t="n">
        <v>4.65</v>
      </c>
      <c r="K270" s="0" t="n">
        <v>651.41</v>
      </c>
      <c r="L270" s="0" t="n">
        <v>646.11</v>
      </c>
      <c r="M270" s="0" t="n">
        <v>639.63</v>
      </c>
      <c r="N270" s="0" t="n">
        <v>631.64</v>
      </c>
      <c r="O270" s="0" t="n">
        <v>621.6</v>
      </c>
      <c r="P270" s="0" t="n">
        <v>613.37</v>
      </c>
      <c r="R270" s="0" t="n">
        <v>5.28</v>
      </c>
      <c r="S270" s="0" t="n">
        <v>4.84</v>
      </c>
      <c r="T270" s="0" t="n">
        <v>4.8</v>
      </c>
      <c r="U270" s="0" t="n">
        <v>4.47</v>
      </c>
      <c r="V270" s="0" t="n">
        <v>4.77</v>
      </c>
      <c r="W270" s="0" t="n">
        <v>3.95</v>
      </c>
      <c r="X270" s="0" t="n">
        <v>4.05</v>
      </c>
      <c r="Y270" s="0" t="n">
        <v>1.85</v>
      </c>
      <c r="AB270" s="0" t="n">
        <v>3.94</v>
      </c>
      <c r="AC270" s="0" t="n">
        <v>4.86</v>
      </c>
      <c r="AH270" s="0" t="n">
        <v>12.65</v>
      </c>
      <c r="AI270" s="0" t="n">
        <v>15.1</v>
      </c>
      <c r="AJ270" s="0" t="n">
        <v>7.9</v>
      </c>
      <c r="AK270" s="0" t="n">
        <v>7.42</v>
      </c>
      <c r="AL270" s="0" t="n">
        <v>9.51</v>
      </c>
      <c r="AM270" s="0" t="n">
        <v>9.85</v>
      </c>
      <c r="AN270" s="0" t="n">
        <v>10.47</v>
      </c>
      <c r="AP270" s="0" t="n">
        <v>10.69</v>
      </c>
      <c r="AQ270" s="0" t="n">
        <v>6.46</v>
      </c>
      <c r="AR270" s="0" t="n">
        <v>4.92</v>
      </c>
      <c r="AS270" s="0" t="n">
        <v>4.46</v>
      </c>
      <c r="AT270" s="0" t="n">
        <v>2.3</v>
      </c>
      <c r="AU270" s="0" t="n">
        <v>9.16</v>
      </c>
    </row>
    <row r="271" customFormat="false" ht="14.25" hidden="false" customHeight="false" outlineLevel="0" collapsed="false">
      <c r="A271" s="0" t="n">
        <v>12.22</v>
      </c>
      <c r="B271" s="0" t="n">
        <v>3.04</v>
      </c>
      <c r="C271" s="0" t="n">
        <v>5.69</v>
      </c>
      <c r="D271" s="0" t="n">
        <v>9.49</v>
      </c>
      <c r="H271" s="0" t="n">
        <v>2.84</v>
      </c>
      <c r="I271" s="0" t="n">
        <v>667.92</v>
      </c>
      <c r="J271" s="0" t="n">
        <v>4.64</v>
      </c>
      <c r="K271" s="0" t="n">
        <v>651.42</v>
      </c>
      <c r="L271" s="0" t="n">
        <v>646.09</v>
      </c>
      <c r="M271" s="0" t="n">
        <v>639.63</v>
      </c>
      <c r="N271" s="0" t="n">
        <v>631.64</v>
      </c>
      <c r="O271" s="0" t="n">
        <v>621.61</v>
      </c>
      <c r="P271" s="0" t="n">
        <v>613.38</v>
      </c>
      <c r="R271" s="0" t="n">
        <v>5.28</v>
      </c>
      <c r="S271" s="0" t="n">
        <v>4.84</v>
      </c>
      <c r="T271" s="0" t="n">
        <v>4.79</v>
      </c>
      <c r="U271" s="0" t="n">
        <v>4.47</v>
      </c>
      <c r="V271" s="0" t="n">
        <v>4.78</v>
      </c>
      <c r="W271" s="0" t="n">
        <v>3.94</v>
      </c>
      <c r="X271" s="0" t="n">
        <v>4.05</v>
      </c>
      <c r="Y271" s="0" t="n">
        <v>1.85</v>
      </c>
      <c r="AB271" s="0" t="n">
        <v>3.94</v>
      </c>
      <c r="AC271" s="0" t="n">
        <v>4.81</v>
      </c>
      <c r="AH271" s="0" t="n">
        <v>12.67</v>
      </c>
      <c r="AI271" s="0" t="n">
        <v>15.11</v>
      </c>
      <c r="AJ271" s="0" t="n">
        <v>7.91</v>
      </c>
      <c r="AK271" s="0" t="n">
        <v>7.41</v>
      </c>
      <c r="AL271" s="0" t="n">
        <v>9.5</v>
      </c>
      <c r="AM271" s="0" t="n">
        <v>9.8</v>
      </c>
      <c r="AN271" s="0" t="n">
        <v>10.53</v>
      </c>
      <c r="AP271" s="0" t="n">
        <v>10.69</v>
      </c>
      <c r="AQ271" s="0" t="n">
        <v>6.44</v>
      </c>
      <c r="AR271" s="0" t="n">
        <v>4.91</v>
      </c>
      <c r="AS271" s="0" t="n">
        <v>4.52</v>
      </c>
      <c r="AT271" s="0" t="n">
        <v>2.3</v>
      </c>
      <c r="AU271" s="0" t="n">
        <v>9.15</v>
      </c>
    </row>
    <row r="272" customFormat="false" ht="14.25" hidden="false" customHeight="false" outlineLevel="0" collapsed="false">
      <c r="A272" s="0" t="n">
        <v>12.21</v>
      </c>
      <c r="B272" s="0" t="n">
        <v>3.01</v>
      </c>
      <c r="C272" s="0" t="n">
        <v>5.69</v>
      </c>
      <c r="D272" s="0" t="n">
        <v>9.5</v>
      </c>
      <c r="H272" s="0" t="n">
        <v>2.84</v>
      </c>
      <c r="I272" s="0" t="n">
        <v>667.91</v>
      </c>
      <c r="J272" s="0" t="n">
        <v>4.64</v>
      </c>
      <c r="K272" s="0" t="n">
        <v>651.41</v>
      </c>
      <c r="L272" s="0" t="n">
        <v>646.1</v>
      </c>
      <c r="M272" s="0" t="n">
        <v>639.68</v>
      </c>
      <c r="N272" s="0" t="n">
        <v>631.63</v>
      </c>
      <c r="O272" s="0" t="n">
        <v>621.61</v>
      </c>
      <c r="P272" s="0" t="n">
        <v>613.38</v>
      </c>
      <c r="R272" s="0" t="n">
        <v>5.29</v>
      </c>
      <c r="S272" s="0" t="n">
        <v>4.85</v>
      </c>
      <c r="T272" s="0" t="n">
        <v>4.79</v>
      </c>
      <c r="U272" s="0" t="n">
        <v>4.46</v>
      </c>
      <c r="V272" s="0" t="n">
        <v>4.78</v>
      </c>
      <c r="W272" s="0" t="n">
        <v>3.94</v>
      </c>
      <c r="X272" s="0" t="n">
        <v>4.05</v>
      </c>
      <c r="Y272" s="0" t="n">
        <v>1.85</v>
      </c>
      <c r="AB272" s="0" t="n">
        <v>3.94</v>
      </c>
      <c r="AC272" s="0" t="n">
        <v>4.84</v>
      </c>
      <c r="AH272" s="0" t="n">
        <v>12.67</v>
      </c>
      <c r="AI272" s="0" t="n">
        <v>15.15</v>
      </c>
      <c r="AJ272" s="0" t="n">
        <v>7.91</v>
      </c>
      <c r="AK272" s="0" t="n">
        <v>7.45</v>
      </c>
      <c r="AL272" s="0" t="n">
        <v>9.52</v>
      </c>
      <c r="AM272" s="0" t="n">
        <v>9.84</v>
      </c>
      <c r="AN272" s="0" t="n">
        <v>10.47</v>
      </c>
      <c r="AP272" s="0" t="n">
        <v>10.7</v>
      </c>
      <c r="AQ272" s="0" t="n">
        <v>6.48</v>
      </c>
      <c r="AR272" s="0" t="n">
        <v>4.9</v>
      </c>
      <c r="AS272" s="0" t="n">
        <v>4.55</v>
      </c>
      <c r="AT272" s="0" t="n">
        <v>2.31</v>
      </c>
      <c r="AU272" s="0" t="n">
        <v>9.18</v>
      </c>
    </row>
    <row r="273" customFormat="false" ht="14.25" hidden="false" customHeight="false" outlineLevel="0" collapsed="false">
      <c r="A273" s="0" t="n">
        <v>12.21</v>
      </c>
      <c r="B273" s="0" t="n">
        <v>3</v>
      </c>
      <c r="C273" s="0" t="n">
        <v>5.69</v>
      </c>
      <c r="D273" s="0" t="n">
        <v>9.49</v>
      </c>
      <c r="H273" s="0" t="n">
        <v>2.86</v>
      </c>
      <c r="I273" s="0" t="n">
        <v>667.9</v>
      </c>
      <c r="J273" s="0" t="n">
        <v>4.65</v>
      </c>
      <c r="K273" s="0" t="n">
        <v>651.42</v>
      </c>
      <c r="L273" s="0" t="n">
        <v>646.05</v>
      </c>
      <c r="M273" s="0" t="n">
        <v>639.63</v>
      </c>
      <c r="N273" s="0" t="n">
        <v>631.63</v>
      </c>
      <c r="O273" s="0" t="n">
        <v>621.62</v>
      </c>
      <c r="P273" s="0" t="n">
        <v>613.37</v>
      </c>
      <c r="R273" s="0" t="n">
        <v>5.29</v>
      </c>
      <c r="S273" s="0" t="n">
        <v>4.82</v>
      </c>
      <c r="T273" s="0" t="n">
        <v>4.85</v>
      </c>
      <c r="U273" s="0" t="n">
        <v>4.47</v>
      </c>
      <c r="V273" s="0" t="n">
        <v>4.79</v>
      </c>
      <c r="W273" s="0" t="n">
        <v>3.94</v>
      </c>
      <c r="X273" s="0" t="n">
        <v>4.06</v>
      </c>
      <c r="Y273" s="0" t="n">
        <v>1.86</v>
      </c>
      <c r="AB273" s="0" t="n">
        <v>3.95</v>
      </c>
      <c r="AC273" s="0" t="n">
        <v>4.82</v>
      </c>
      <c r="AH273" s="0" t="n">
        <v>12.66</v>
      </c>
      <c r="AI273" s="0" t="n">
        <v>15.15</v>
      </c>
      <c r="AJ273" s="0" t="n">
        <v>7.9</v>
      </c>
      <c r="AK273" s="0" t="n">
        <v>7.46</v>
      </c>
      <c r="AL273" s="0" t="n">
        <v>9.51</v>
      </c>
      <c r="AM273" s="0" t="n">
        <v>9.82</v>
      </c>
      <c r="AN273" s="0" t="n">
        <v>10.5</v>
      </c>
      <c r="AP273" s="0" t="n">
        <v>10.69</v>
      </c>
      <c r="AQ273" s="0" t="n">
        <v>6.49</v>
      </c>
      <c r="AR273" s="0" t="n">
        <v>4.91</v>
      </c>
      <c r="AS273" s="0" t="n">
        <v>4.56</v>
      </c>
      <c r="AT273" s="0" t="n">
        <v>2.31</v>
      </c>
      <c r="AU273" s="0" t="n">
        <v>9.16</v>
      </c>
    </row>
    <row r="274" customFormat="false" ht="14.25" hidden="false" customHeight="false" outlineLevel="0" collapsed="false">
      <c r="A274" s="0" t="n">
        <v>12.21</v>
      </c>
      <c r="B274" s="0" t="n">
        <v>3</v>
      </c>
      <c r="C274" s="0" t="n">
        <v>5.68</v>
      </c>
      <c r="D274" s="0" t="n">
        <v>9.47</v>
      </c>
      <c r="H274" s="0" t="n">
        <v>2.85</v>
      </c>
      <c r="I274" s="0" t="n">
        <v>667.9</v>
      </c>
      <c r="J274" s="0" t="n">
        <v>4.65</v>
      </c>
      <c r="K274" s="0" t="n">
        <v>651.41</v>
      </c>
      <c r="L274" s="0" t="n">
        <v>646.14</v>
      </c>
      <c r="M274" s="0" t="n">
        <v>639.62</v>
      </c>
      <c r="N274" s="0" t="n">
        <v>631.64</v>
      </c>
      <c r="O274" s="0" t="n">
        <v>621.65</v>
      </c>
      <c r="P274" s="0" t="n">
        <v>613.4</v>
      </c>
      <c r="R274" s="0" t="n">
        <v>5.28</v>
      </c>
      <c r="S274" s="0" t="n">
        <v>4.83</v>
      </c>
      <c r="T274" s="0" t="n">
        <v>4.79</v>
      </c>
      <c r="U274" s="0" t="n">
        <v>4.45</v>
      </c>
      <c r="V274" s="0" t="n">
        <v>4.78</v>
      </c>
      <c r="W274" s="0" t="n">
        <v>3.93</v>
      </c>
      <c r="X274" s="0" t="n">
        <v>4.06</v>
      </c>
      <c r="Y274" s="0" t="n">
        <v>1.87</v>
      </c>
      <c r="AB274" s="0" t="n">
        <v>3.96</v>
      </c>
      <c r="AC274" s="0" t="n">
        <v>4.83</v>
      </c>
      <c r="AH274" s="0" t="n">
        <v>12.67</v>
      </c>
      <c r="AI274" s="0" t="n">
        <v>15.17</v>
      </c>
      <c r="AJ274" s="0" t="n">
        <v>7.88</v>
      </c>
      <c r="AK274" s="0" t="n">
        <v>7.46</v>
      </c>
      <c r="AL274" s="0" t="n">
        <v>9.51</v>
      </c>
      <c r="AM274" s="0" t="n">
        <v>9.81</v>
      </c>
      <c r="AN274" s="0" t="n">
        <v>10.53</v>
      </c>
      <c r="AP274" s="0" t="n">
        <v>10.69</v>
      </c>
      <c r="AQ274" s="0" t="n">
        <v>6.49</v>
      </c>
      <c r="AR274" s="0" t="n">
        <v>4.91</v>
      </c>
      <c r="AS274" s="0" t="n">
        <v>4.55</v>
      </c>
      <c r="AT274" s="0" t="n">
        <v>2.31</v>
      </c>
      <c r="AU274" s="0" t="n">
        <v>9.15</v>
      </c>
    </row>
    <row r="275" customFormat="false" ht="14.25" hidden="false" customHeight="false" outlineLevel="0" collapsed="false">
      <c r="A275" s="0" t="n">
        <v>12.19</v>
      </c>
      <c r="B275" s="0" t="n">
        <v>3</v>
      </c>
      <c r="C275" s="0" t="n">
        <v>5.68</v>
      </c>
      <c r="D275" s="0" t="n">
        <v>9.47</v>
      </c>
      <c r="H275" s="0" t="n">
        <v>2.85</v>
      </c>
      <c r="I275" s="0" t="n">
        <v>667.89</v>
      </c>
      <c r="J275" s="0" t="n">
        <v>4.65</v>
      </c>
      <c r="K275" s="0" t="n">
        <v>651.42</v>
      </c>
      <c r="L275" s="0" t="n">
        <v>646.08</v>
      </c>
      <c r="M275" s="0" t="n">
        <v>639.62</v>
      </c>
      <c r="N275" s="0" t="n">
        <v>631.63</v>
      </c>
      <c r="O275" s="0" t="n">
        <v>621.61</v>
      </c>
      <c r="P275" s="0" t="n">
        <v>613.38</v>
      </c>
      <c r="R275" s="0" t="n">
        <v>5.29</v>
      </c>
      <c r="S275" s="0" t="n">
        <v>4.84</v>
      </c>
      <c r="T275" s="0" t="n">
        <v>4.78</v>
      </c>
      <c r="U275" s="0" t="n">
        <v>4.46</v>
      </c>
      <c r="V275" s="0" t="n">
        <v>4.8</v>
      </c>
      <c r="W275" s="0" t="n">
        <v>3.93</v>
      </c>
      <c r="X275" s="0" t="n">
        <v>4.06</v>
      </c>
      <c r="Y275" s="0" t="n">
        <v>1.89</v>
      </c>
      <c r="AB275" s="0" t="n">
        <v>3.93</v>
      </c>
      <c r="AC275" s="0" t="n">
        <v>4.81</v>
      </c>
      <c r="AH275" s="0" t="n">
        <v>12.65</v>
      </c>
      <c r="AI275" s="0" t="n">
        <v>15.18</v>
      </c>
      <c r="AJ275" s="0" t="n">
        <v>7.91</v>
      </c>
      <c r="AK275" s="0" t="n">
        <v>7.45</v>
      </c>
      <c r="AL275" s="0" t="n">
        <v>9.51</v>
      </c>
      <c r="AM275" s="0" t="n">
        <v>9.82</v>
      </c>
      <c r="AN275" s="0" t="n">
        <v>10.52</v>
      </c>
      <c r="AP275" s="0" t="n">
        <v>10.69</v>
      </c>
      <c r="AQ275" s="0" t="n">
        <v>6.49</v>
      </c>
      <c r="AR275" s="0" t="n">
        <v>4.91</v>
      </c>
      <c r="AS275" s="0" t="n">
        <v>4.49</v>
      </c>
      <c r="AT275" s="0" t="n">
        <v>2.32</v>
      </c>
      <c r="AU275" s="0" t="n">
        <v>9.18</v>
      </c>
    </row>
    <row r="276" customFormat="false" ht="14.25" hidden="false" customHeight="false" outlineLevel="0" collapsed="false">
      <c r="A276" s="0" t="n">
        <v>12.21</v>
      </c>
      <c r="B276" s="0" t="n">
        <v>2.99</v>
      </c>
      <c r="C276" s="0" t="n">
        <v>5.65</v>
      </c>
      <c r="D276" s="0" t="n">
        <v>9.48</v>
      </c>
      <c r="H276" s="0" t="n">
        <v>2.88</v>
      </c>
      <c r="I276" s="0" t="n">
        <v>667.9</v>
      </c>
      <c r="J276" s="0" t="n">
        <v>4.65</v>
      </c>
      <c r="K276" s="0" t="n">
        <v>651.45</v>
      </c>
      <c r="L276" s="0" t="n">
        <v>646.08</v>
      </c>
      <c r="M276" s="0" t="n">
        <v>639.63</v>
      </c>
      <c r="N276" s="0" t="n">
        <v>631.65</v>
      </c>
      <c r="O276" s="0" t="n">
        <v>621.62</v>
      </c>
      <c r="P276" s="0" t="n">
        <v>613.38</v>
      </c>
      <c r="R276" s="0" t="n">
        <v>5.29</v>
      </c>
      <c r="S276" s="0" t="n">
        <v>4.77</v>
      </c>
      <c r="T276" s="0" t="n">
        <v>4.78</v>
      </c>
      <c r="U276" s="0" t="n">
        <v>4.45</v>
      </c>
      <c r="V276" s="0" t="n">
        <v>4.79</v>
      </c>
      <c r="W276" s="0" t="n">
        <v>3.95</v>
      </c>
      <c r="X276" s="0" t="n">
        <v>4.08</v>
      </c>
      <c r="Y276" s="0" t="n">
        <v>1.92</v>
      </c>
      <c r="AB276" s="0" t="n">
        <v>3.95</v>
      </c>
      <c r="AC276" s="0" t="n">
        <v>4.82</v>
      </c>
      <c r="AH276" s="0" t="n">
        <v>12.66</v>
      </c>
      <c r="AI276" s="0" t="n">
        <v>15.18</v>
      </c>
      <c r="AJ276" s="0" t="n">
        <v>7.93</v>
      </c>
      <c r="AK276" s="0" t="n">
        <v>7.47</v>
      </c>
      <c r="AL276" s="0" t="n">
        <v>9.49</v>
      </c>
      <c r="AM276" s="0" t="n">
        <v>9.8</v>
      </c>
      <c r="AN276" s="0" t="n">
        <v>10.49</v>
      </c>
      <c r="AP276" s="0" t="n">
        <v>10.69</v>
      </c>
      <c r="AQ276" s="0" t="n">
        <v>6.49</v>
      </c>
      <c r="AR276" s="0" t="n">
        <v>4.92</v>
      </c>
      <c r="AS276" s="0" t="n">
        <v>4.52</v>
      </c>
      <c r="AT276" s="0" t="n">
        <v>2.32</v>
      </c>
      <c r="AU276" s="0" t="n">
        <v>9.18</v>
      </c>
    </row>
    <row r="277" customFormat="false" ht="14.25" hidden="false" customHeight="false" outlineLevel="0" collapsed="false">
      <c r="A277" s="0" t="n">
        <v>12.21</v>
      </c>
      <c r="B277" s="0" t="n">
        <v>2.99</v>
      </c>
      <c r="C277" s="0" t="n">
        <v>5.65</v>
      </c>
      <c r="D277" s="0" t="n">
        <v>9.47</v>
      </c>
      <c r="H277" s="0" t="n">
        <v>2.85</v>
      </c>
      <c r="I277" s="0" t="n">
        <v>667.91</v>
      </c>
      <c r="J277" s="0" t="n">
        <v>4.67</v>
      </c>
      <c r="K277" s="0" t="n">
        <v>651.42</v>
      </c>
      <c r="L277" s="0" t="n">
        <v>646.09</v>
      </c>
      <c r="M277" s="0" t="n">
        <v>639.63</v>
      </c>
      <c r="N277" s="0" t="n">
        <v>631.66</v>
      </c>
      <c r="O277" s="0" t="n">
        <v>621.62</v>
      </c>
      <c r="P277" s="0" t="n">
        <v>613.37</v>
      </c>
      <c r="R277" s="0" t="n">
        <v>5.28</v>
      </c>
      <c r="S277" s="0" t="n">
        <v>4.85</v>
      </c>
      <c r="T277" s="0" t="n">
        <v>4.78</v>
      </c>
      <c r="U277" s="0" t="n">
        <v>4.42</v>
      </c>
      <c r="V277" s="0" t="n">
        <v>4.78</v>
      </c>
      <c r="W277" s="0" t="n">
        <v>3.95</v>
      </c>
      <c r="X277" s="0" t="n">
        <v>4.06</v>
      </c>
      <c r="Y277" s="0" t="n">
        <v>1.91</v>
      </c>
      <c r="AB277" s="0" t="n">
        <v>3.94</v>
      </c>
      <c r="AC277" s="0" t="n">
        <v>4.81</v>
      </c>
      <c r="AH277" s="0" t="n">
        <v>12.66</v>
      </c>
      <c r="AI277" s="0" t="n">
        <v>15.14</v>
      </c>
      <c r="AJ277" s="0" t="n">
        <v>7.92</v>
      </c>
      <c r="AK277" s="0" t="n">
        <v>7.49</v>
      </c>
      <c r="AL277" s="0" t="n">
        <v>9.5</v>
      </c>
      <c r="AM277" s="0" t="n">
        <v>9.66</v>
      </c>
      <c r="AN277" s="0" t="n">
        <v>10.47</v>
      </c>
      <c r="AP277" s="0" t="n">
        <v>10.68</v>
      </c>
      <c r="AQ277" s="0" t="n">
        <v>6.49</v>
      </c>
      <c r="AR277" s="0" t="n">
        <v>4.91</v>
      </c>
      <c r="AS277" s="0" t="n">
        <v>4.49</v>
      </c>
      <c r="AT277" s="0" t="n">
        <v>2.33</v>
      </c>
      <c r="AU277" s="0" t="n">
        <v>9.18</v>
      </c>
    </row>
    <row r="278" customFormat="false" ht="14.25" hidden="false" customHeight="false" outlineLevel="0" collapsed="false">
      <c r="A278" s="0" t="n">
        <v>12.22</v>
      </c>
      <c r="B278" s="0" t="n">
        <v>2.98</v>
      </c>
      <c r="C278" s="0" t="n">
        <v>5.67</v>
      </c>
      <c r="D278" s="0" t="n">
        <v>9.48</v>
      </c>
      <c r="H278" s="0" t="n">
        <v>2.84</v>
      </c>
      <c r="I278" s="0" t="n">
        <v>667.93</v>
      </c>
      <c r="J278" s="0" t="n">
        <v>4.65</v>
      </c>
      <c r="K278" s="0" t="n">
        <v>651.43</v>
      </c>
      <c r="L278" s="0" t="n">
        <v>646.08</v>
      </c>
      <c r="M278" s="0" t="n">
        <v>639.63</v>
      </c>
      <c r="N278" s="0" t="n">
        <v>631.67</v>
      </c>
      <c r="O278" s="0" t="n">
        <v>621.62</v>
      </c>
      <c r="P278" s="0" t="n">
        <v>613.39</v>
      </c>
      <c r="R278" s="0" t="n">
        <v>5.29</v>
      </c>
      <c r="S278" s="0" t="n">
        <v>4.84</v>
      </c>
      <c r="T278" s="0" t="n">
        <v>4.78</v>
      </c>
      <c r="U278" s="0" t="n">
        <v>4.58</v>
      </c>
      <c r="V278" s="0" t="n">
        <v>4.8</v>
      </c>
      <c r="W278" s="0" t="n">
        <v>3.96</v>
      </c>
      <c r="X278" s="0" t="n">
        <v>4.09</v>
      </c>
      <c r="Y278" s="0" t="n">
        <v>1.91</v>
      </c>
      <c r="AB278" s="0" t="n">
        <v>3.94</v>
      </c>
      <c r="AC278" s="0" t="n">
        <v>4.81</v>
      </c>
      <c r="AH278" s="0" t="n">
        <v>12.66</v>
      </c>
      <c r="AI278" s="0" t="n">
        <v>15.19</v>
      </c>
      <c r="AJ278" s="0" t="n">
        <v>7.93</v>
      </c>
      <c r="AK278" s="0" t="n">
        <v>7.5</v>
      </c>
      <c r="AL278" s="0" t="n">
        <v>9.52</v>
      </c>
      <c r="AM278" s="0" t="n">
        <v>9.65</v>
      </c>
      <c r="AN278" s="0" t="n">
        <v>10.51</v>
      </c>
      <c r="AP278" s="0" t="n">
        <v>10.66</v>
      </c>
      <c r="AQ278" s="0" t="n">
        <v>6.48</v>
      </c>
      <c r="AR278" s="0" t="n">
        <v>4.92</v>
      </c>
      <c r="AS278" s="0" t="n">
        <v>4.46</v>
      </c>
      <c r="AT278" s="0" t="n">
        <v>2.33</v>
      </c>
      <c r="AU278" s="0" t="n">
        <v>9.18</v>
      </c>
    </row>
    <row r="279" customFormat="false" ht="14.25" hidden="false" customHeight="false" outlineLevel="0" collapsed="false">
      <c r="A279" s="0" t="n">
        <v>12.21</v>
      </c>
      <c r="B279" s="0" t="n">
        <v>2.97</v>
      </c>
      <c r="C279" s="0" t="n">
        <v>5.67</v>
      </c>
      <c r="D279" s="0" t="n">
        <v>9.46</v>
      </c>
      <c r="H279" s="0" t="n">
        <v>2.89</v>
      </c>
      <c r="I279" s="0" t="n">
        <v>667.94</v>
      </c>
      <c r="J279" s="0" t="n">
        <v>4.66</v>
      </c>
      <c r="K279" s="0" t="n">
        <v>651.43</v>
      </c>
      <c r="L279" s="0" t="n">
        <v>646.1</v>
      </c>
      <c r="M279" s="0" t="n">
        <v>639.62</v>
      </c>
      <c r="N279" s="0" t="n">
        <v>631.66</v>
      </c>
      <c r="O279" s="0" t="n">
        <v>621.63</v>
      </c>
      <c r="P279" s="0" t="n">
        <v>613.38</v>
      </c>
      <c r="R279" s="0" t="n">
        <v>5.27</v>
      </c>
      <c r="S279" s="0" t="n">
        <v>4.82</v>
      </c>
      <c r="T279" s="0" t="n">
        <v>4.78</v>
      </c>
      <c r="U279" s="0" t="n">
        <v>4.44</v>
      </c>
      <c r="V279" s="0" t="n">
        <v>4.81</v>
      </c>
      <c r="W279" s="0" t="n">
        <v>4</v>
      </c>
      <c r="X279" s="0" t="n">
        <v>4.1</v>
      </c>
      <c r="Y279" s="0" t="n">
        <v>1.91</v>
      </c>
      <c r="AB279" s="0" t="n">
        <v>3.93</v>
      </c>
      <c r="AC279" s="0" t="n">
        <v>4.81</v>
      </c>
      <c r="AH279" s="0" t="n">
        <v>12.66</v>
      </c>
      <c r="AI279" s="0" t="n">
        <v>15.22</v>
      </c>
      <c r="AJ279" s="0" t="n">
        <v>7.93</v>
      </c>
      <c r="AK279" s="0" t="n">
        <v>7.48</v>
      </c>
      <c r="AL279" s="0" t="n">
        <v>9.47</v>
      </c>
      <c r="AM279" s="0" t="n">
        <v>9.6</v>
      </c>
      <c r="AN279" s="0" t="n">
        <v>10.45</v>
      </c>
      <c r="AP279" s="0" t="n">
        <v>10.69</v>
      </c>
      <c r="AQ279" s="0" t="n">
        <v>6.45</v>
      </c>
      <c r="AR279" s="0" t="n">
        <v>4.93</v>
      </c>
      <c r="AS279" s="0" t="n">
        <v>4.47</v>
      </c>
      <c r="AT279" s="0" t="n">
        <v>2.34</v>
      </c>
      <c r="AU279" s="0" t="n">
        <v>9.15</v>
      </c>
    </row>
    <row r="280" customFormat="false" ht="14.25" hidden="false" customHeight="false" outlineLevel="0" collapsed="false">
      <c r="A280" s="0" t="n">
        <v>12.19</v>
      </c>
      <c r="B280" s="0" t="n">
        <v>2.96</v>
      </c>
      <c r="C280" s="0" t="n">
        <v>5.67</v>
      </c>
      <c r="D280" s="0" t="n">
        <v>9.45</v>
      </c>
      <c r="H280" s="0" t="n">
        <v>2.87</v>
      </c>
      <c r="I280" s="0" t="n">
        <v>667.92</v>
      </c>
      <c r="J280" s="0" t="n">
        <v>4.66</v>
      </c>
      <c r="K280" s="0" t="n">
        <v>651.44</v>
      </c>
      <c r="L280" s="0" t="n">
        <v>646.06</v>
      </c>
      <c r="M280" s="0" t="n">
        <v>639.62</v>
      </c>
      <c r="N280" s="0" t="n">
        <v>631.66</v>
      </c>
      <c r="O280" s="0" t="n">
        <v>621.64</v>
      </c>
      <c r="P280" s="0" t="n">
        <v>613.38</v>
      </c>
      <c r="R280" s="0" t="n">
        <v>5.29</v>
      </c>
      <c r="S280" s="0" t="n">
        <v>4.85</v>
      </c>
      <c r="T280" s="0" t="n">
        <v>4.77</v>
      </c>
      <c r="U280" s="0" t="n">
        <v>4.43</v>
      </c>
      <c r="V280" s="0" t="n">
        <v>4.79</v>
      </c>
      <c r="W280" s="0" t="n">
        <v>4.01</v>
      </c>
      <c r="X280" s="0" t="n">
        <v>4.13</v>
      </c>
      <c r="Y280" s="0" t="n">
        <v>1.9</v>
      </c>
      <c r="AB280" s="0" t="n">
        <v>3.95</v>
      </c>
      <c r="AC280" s="0" t="n">
        <v>4.82</v>
      </c>
      <c r="AH280" s="0" t="n">
        <v>12.65</v>
      </c>
      <c r="AI280" s="0" t="n">
        <v>15.21</v>
      </c>
      <c r="AJ280" s="0" t="n">
        <v>7.92</v>
      </c>
      <c r="AK280" s="0" t="n">
        <v>7.52</v>
      </c>
      <c r="AL280" s="0" t="n">
        <v>9.48</v>
      </c>
      <c r="AM280" s="0" t="n">
        <v>9.57</v>
      </c>
      <c r="AN280" s="0" t="n">
        <v>10.46</v>
      </c>
      <c r="AP280" s="0" t="n">
        <v>10.69</v>
      </c>
      <c r="AQ280" s="0" t="n">
        <v>6.45</v>
      </c>
      <c r="AR280" s="0" t="n">
        <v>4.92</v>
      </c>
      <c r="AS280" s="0" t="n">
        <v>4.44</v>
      </c>
      <c r="AT280" s="0" t="n">
        <v>2.34</v>
      </c>
      <c r="AU280" s="0" t="n">
        <v>9.19</v>
      </c>
    </row>
    <row r="281" customFormat="false" ht="14.25" hidden="false" customHeight="false" outlineLevel="0" collapsed="false">
      <c r="A281" s="0" t="n">
        <v>12.18</v>
      </c>
      <c r="B281" s="0" t="n">
        <v>2.93</v>
      </c>
      <c r="C281" s="0" t="n">
        <v>5.66</v>
      </c>
      <c r="D281" s="0" t="n">
        <v>9.47</v>
      </c>
      <c r="H281" s="0" t="n">
        <v>2.86</v>
      </c>
      <c r="I281" s="0" t="n">
        <v>667.92</v>
      </c>
      <c r="J281" s="0" t="n">
        <v>4.66</v>
      </c>
      <c r="K281" s="0" t="n">
        <v>651.44</v>
      </c>
      <c r="L281" s="0" t="n">
        <v>646.15</v>
      </c>
      <c r="M281" s="0" t="n">
        <v>639.63</v>
      </c>
      <c r="N281" s="0" t="n">
        <v>631.66</v>
      </c>
      <c r="O281" s="0" t="n">
        <v>621.63</v>
      </c>
      <c r="P281" s="0" t="n">
        <v>613.37</v>
      </c>
      <c r="R281" s="0" t="n">
        <v>5.29</v>
      </c>
      <c r="S281" s="0" t="n">
        <v>4.85</v>
      </c>
      <c r="T281" s="0" t="n">
        <v>4.77</v>
      </c>
      <c r="U281" s="0" t="n">
        <v>4.43</v>
      </c>
      <c r="V281" s="0" t="n">
        <v>4.79</v>
      </c>
      <c r="W281" s="0" t="n">
        <v>4.1</v>
      </c>
      <c r="X281" s="0" t="n">
        <v>4.12</v>
      </c>
      <c r="Y281" s="0" t="n">
        <v>1.9</v>
      </c>
      <c r="AB281" s="0" t="n">
        <v>3.95</v>
      </c>
      <c r="AC281" s="0" t="n">
        <v>4.83</v>
      </c>
      <c r="AH281" s="0" t="n">
        <v>12.63</v>
      </c>
      <c r="AI281" s="0" t="n">
        <v>15.23</v>
      </c>
      <c r="AJ281" s="0" t="n">
        <v>7.92</v>
      </c>
      <c r="AK281" s="0" t="n">
        <v>7.54</v>
      </c>
      <c r="AL281" s="0" t="n">
        <v>9.47</v>
      </c>
      <c r="AM281" s="0" t="n">
        <v>9.53</v>
      </c>
      <c r="AN281" s="0" t="n">
        <v>10.5</v>
      </c>
      <c r="AP281" s="0" t="n">
        <v>10.68</v>
      </c>
      <c r="AQ281" s="0" t="n">
        <v>6.44</v>
      </c>
      <c r="AR281" s="0" t="n">
        <v>4.9</v>
      </c>
      <c r="AS281" s="0" t="n">
        <v>4.43</v>
      </c>
      <c r="AT281" s="0" t="n">
        <v>2.35</v>
      </c>
      <c r="AU281" s="0" t="n">
        <v>9.18</v>
      </c>
    </row>
    <row r="282" customFormat="false" ht="14.25" hidden="false" customHeight="false" outlineLevel="0" collapsed="false">
      <c r="A282" s="0" t="n">
        <v>12.19</v>
      </c>
      <c r="B282" s="0" t="n">
        <v>2.94</v>
      </c>
      <c r="C282" s="0" t="n">
        <v>5.66</v>
      </c>
      <c r="D282" s="0" t="n">
        <v>9.46</v>
      </c>
      <c r="H282" s="0" t="n">
        <v>2.88</v>
      </c>
      <c r="I282" s="0" t="n">
        <v>667.91</v>
      </c>
      <c r="J282" s="0" t="n">
        <v>4.66</v>
      </c>
      <c r="K282" s="0" t="n">
        <v>651.44</v>
      </c>
      <c r="L282" s="0" t="n">
        <v>646.1</v>
      </c>
      <c r="M282" s="0" t="n">
        <v>639.61</v>
      </c>
      <c r="N282" s="0" t="n">
        <v>631.66</v>
      </c>
      <c r="O282" s="0" t="n">
        <v>621.62</v>
      </c>
      <c r="P282" s="0" t="n">
        <v>613.35</v>
      </c>
      <c r="R282" s="0" t="n">
        <v>5.28</v>
      </c>
      <c r="S282" s="0" t="n">
        <v>4.86</v>
      </c>
      <c r="T282" s="0" t="n">
        <v>4.76</v>
      </c>
      <c r="U282" s="0" t="n">
        <v>4.43</v>
      </c>
      <c r="V282" s="0" t="n">
        <v>4.8</v>
      </c>
      <c r="W282" s="0" t="n">
        <v>4.08</v>
      </c>
      <c r="X282" s="0" t="n">
        <v>4.14</v>
      </c>
      <c r="Y282" s="0" t="n">
        <v>1.89</v>
      </c>
      <c r="AB282" s="0" t="n">
        <v>3.94</v>
      </c>
      <c r="AC282" s="0" t="n">
        <v>4.82</v>
      </c>
      <c r="AH282" s="0" t="n">
        <v>12.63</v>
      </c>
      <c r="AI282" s="0" t="n">
        <v>15.24</v>
      </c>
      <c r="AJ282" s="0" t="n">
        <v>7.92</v>
      </c>
      <c r="AK282" s="0" t="n">
        <v>7.52</v>
      </c>
      <c r="AL282" s="0" t="n">
        <v>9.47</v>
      </c>
      <c r="AM282" s="0" t="n">
        <v>9.66</v>
      </c>
      <c r="AN282" s="0" t="n">
        <v>10.45</v>
      </c>
      <c r="AP282" s="0" t="n">
        <v>10.68</v>
      </c>
      <c r="AQ282" s="0" t="n">
        <v>6.46</v>
      </c>
      <c r="AR282" s="0" t="n">
        <v>4.9</v>
      </c>
      <c r="AS282" s="0" t="n">
        <v>4.43</v>
      </c>
      <c r="AT282" s="0" t="n">
        <v>2.37</v>
      </c>
      <c r="AU282" s="0" t="n">
        <v>9.19</v>
      </c>
    </row>
    <row r="283" customFormat="false" ht="14.25" hidden="false" customHeight="false" outlineLevel="0" collapsed="false">
      <c r="A283" s="0" t="n">
        <v>12.2</v>
      </c>
      <c r="B283" s="0" t="n">
        <v>2.93</v>
      </c>
      <c r="C283" s="0" t="n">
        <v>5.67</v>
      </c>
      <c r="D283" s="0" t="n">
        <v>9.44</v>
      </c>
      <c r="H283" s="0" t="n">
        <v>2.86</v>
      </c>
      <c r="I283" s="0" t="n">
        <v>667.91</v>
      </c>
      <c r="J283" s="0" t="n">
        <v>4.66</v>
      </c>
      <c r="K283" s="0" t="n">
        <v>651.43</v>
      </c>
      <c r="L283" s="0" t="n">
        <v>646.09</v>
      </c>
      <c r="M283" s="0" t="n">
        <v>639.63</v>
      </c>
      <c r="N283" s="0" t="n">
        <v>631.67</v>
      </c>
      <c r="O283" s="0" t="n">
        <v>621.62</v>
      </c>
      <c r="P283" s="0" t="n">
        <v>613.34</v>
      </c>
      <c r="R283" s="0" t="n">
        <v>5.29</v>
      </c>
      <c r="S283" s="0" t="n">
        <v>4.86</v>
      </c>
      <c r="T283" s="0" t="n">
        <v>4.76</v>
      </c>
      <c r="U283" s="0" t="n">
        <v>4.42</v>
      </c>
      <c r="V283" s="0" t="n">
        <v>4.8</v>
      </c>
      <c r="W283" s="0" t="n">
        <v>4.01</v>
      </c>
      <c r="X283" s="0" t="n">
        <v>4.15</v>
      </c>
      <c r="Y283" s="0" t="n">
        <v>1.88</v>
      </c>
      <c r="AB283" s="0" t="n">
        <v>3.89</v>
      </c>
      <c r="AC283" s="0" t="n">
        <v>4.81</v>
      </c>
      <c r="AH283" s="0" t="n">
        <v>12.63</v>
      </c>
      <c r="AI283" s="0" t="n">
        <v>15.23</v>
      </c>
      <c r="AJ283" s="0" t="n">
        <v>7.92</v>
      </c>
      <c r="AK283" s="0" t="n">
        <v>7.53</v>
      </c>
      <c r="AL283" s="0" t="n">
        <v>9.45</v>
      </c>
      <c r="AM283" s="0" t="n">
        <v>9.47</v>
      </c>
      <c r="AN283" s="0" t="n">
        <v>10.35</v>
      </c>
      <c r="AP283" s="0" t="n">
        <v>10.67</v>
      </c>
      <c r="AQ283" s="0" t="n">
        <v>6.45</v>
      </c>
      <c r="AR283" s="0" t="n">
        <v>4.9</v>
      </c>
      <c r="AS283" s="0" t="n">
        <v>4.44</v>
      </c>
      <c r="AT283" s="0" t="n">
        <v>2.36</v>
      </c>
      <c r="AU283" s="0" t="n">
        <v>9.2</v>
      </c>
    </row>
    <row r="284" customFormat="false" ht="14.25" hidden="false" customHeight="false" outlineLevel="0" collapsed="false">
      <c r="A284" s="0" t="n">
        <v>12.21</v>
      </c>
      <c r="B284" s="0" t="n">
        <v>2.94</v>
      </c>
      <c r="C284" s="0" t="n">
        <v>5.67</v>
      </c>
      <c r="D284" s="0" t="n">
        <v>9.45</v>
      </c>
      <c r="H284" s="0" t="n">
        <v>2.88</v>
      </c>
      <c r="I284" s="0" t="n">
        <v>667.93</v>
      </c>
      <c r="J284" s="0" t="n">
        <v>4.66</v>
      </c>
      <c r="K284" s="0" t="n">
        <v>651.43</v>
      </c>
      <c r="L284" s="0" t="n">
        <v>646.08</v>
      </c>
      <c r="M284" s="0" t="n">
        <v>639.63</v>
      </c>
      <c r="N284" s="0" t="n">
        <v>631.68</v>
      </c>
      <c r="O284" s="0" t="n">
        <v>621.63</v>
      </c>
      <c r="P284" s="0" t="n">
        <v>613.36</v>
      </c>
      <c r="R284" s="0" t="n">
        <v>5.29</v>
      </c>
      <c r="S284" s="0" t="n">
        <v>4.85</v>
      </c>
      <c r="T284" s="0" t="n">
        <v>4.76</v>
      </c>
      <c r="U284" s="0" t="n">
        <v>4.42</v>
      </c>
      <c r="V284" s="0" t="n">
        <v>4.79</v>
      </c>
      <c r="W284" s="0" t="n">
        <v>3.96</v>
      </c>
      <c r="X284" s="0" t="n">
        <v>4.18</v>
      </c>
      <c r="Y284" s="0" t="n">
        <v>1.88</v>
      </c>
      <c r="AB284" s="0" t="n">
        <v>3.87</v>
      </c>
      <c r="AC284" s="0" t="n">
        <v>4.89</v>
      </c>
      <c r="AH284" s="0" t="n">
        <v>12.63</v>
      </c>
      <c r="AI284" s="0" t="n">
        <v>15.24</v>
      </c>
      <c r="AJ284" s="0" t="n">
        <v>7.93</v>
      </c>
      <c r="AK284" s="0" t="n">
        <v>7.54</v>
      </c>
      <c r="AM284" s="0" t="n">
        <v>9.31</v>
      </c>
      <c r="AN284" s="0" t="n">
        <v>10.53</v>
      </c>
      <c r="AP284" s="0" t="n">
        <v>10.68</v>
      </c>
      <c r="AQ284" s="0" t="n">
        <v>6.44</v>
      </c>
      <c r="AR284" s="0" t="n">
        <v>4.9</v>
      </c>
      <c r="AS284" s="0" t="n">
        <v>4.43</v>
      </c>
      <c r="AT284" s="0" t="n">
        <v>2.37</v>
      </c>
      <c r="AU284" s="0" t="n">
        <v>9.18</v>
      </c>
    </row>
    <row r="285" customFormat="false" ht="14.25" hidden="false" customHeight="false" outlineLevel="0" collapsed="false">
      <c r="A285" s="0" t="n">
        <v>12.21</v>
      </c>
      <c r="B285" s="0" t="n">
        <v>2.93</v>
      </c>
      <c r="C285" s="0" t="n">
        <v>5.67</v>
      </c>
      <c r="D285" s="0" t="n">
        <v>9.44</v>
      </c>
      <c r="H285" s="0" t="n">
        <v>2.85</v>
      </c>
      <c r="I285" s="0" t="n">
        <v>667.92</v>
      </c>
      <c r="J285" s="0" t="n">
        <v>4.66</v>
      </c>
      <c r="K285" s="0" t="n">
        <v>651.44</v>
      </c>
      <c r="L285" s="0" t="n">
        <v>646.08</v>
      </c>
      <c r="M285" s="0" t="n">
        <v>639.63</v>
      </c>
      <c r="N285" s="0" t="n">
        <v>631.7</v>
      </c>
      <c r="O285" s="0" t="n">
        <v>621.63</v>
      </c>
      <c r="P285" s="0" t="n">
        <v>613.32</v>
      </c>
      <c r="R285" s="0" t="n">
        <v>5.29</v>
      </c>
      <c r="S285" s="0" t="n">
        <v>4.84</v>
      </c>
      <c r="T285" s="0" t="n">
        <v>4.76</v>
      </c>
      <c r="U285" s="0" t="n">
        <v>4.4</v>
      </c>
      <c r="V285" s="0" t="n">
        <v>4.79</v>
      </c>
      <c r="W285" s="0" t="n">
        <v>4.02</v>
      </c>
      <c r="X285" s="0" t="n">
        <v>4.23</v>
      </c>
      <c r="Y285" s="0" t="n">
        <v>1.88</v>
      </c>
      <c r="AB285" s="0" t="n">
        <v>3.95</v>
      </c>
      <c r="AC285" s="0" t="n">
        <v>4.88</v>
      </c>
      <c r="AH285" s="0" t="n">
        <v>12.6</v>
      </c>
      <c r="AI285" s="0" t="n">
        <v>15.24</v>
      </c>
      <c r="AJ285" s="0" t="n">
        <v>7.94</v>
      </c>
      <c r="AK285" s="0" t="n">
        <v>7.53</v>
      </c>
      <c r="AM285" s="0" t="n">
        <v>9.43</v>
      </c>
      <c r="AN285" s="0" t="n">
        <v>10.52</v>
      </c>
      <c r="AP285" s="0" t="n">
        <v>10.69</v>
      </c>
      <c r="AQ285" s="0" t="n">
        <v>6.51</v>
      </c>
      <c r="AR285" s="0" t="n">
        <v>4.92</v>
      </c>
      <c r="AS285" s="0" t="n">
        <v>4.45</v>
      </c>
      <c r="AT285" s="0" t="n">
        <v>2.37</v>
      </c>
      <c r="AU285" s="0" t="n">
        <v>9.2</v>
      </c>
    </row>
    <row r="286" customFormat="false" ht="14.25" hidden="false" customHeight="false" outlineLevel="0" collapsed="false">
      <c r="A286" s="0" t="n">
        <v>12.22</v>
      </c>
      <c r="B286" s="0" t="n">
        <v>2.93</v>
      </c>
      <c r="C286" s="0" t="n">
        <v>5.68</v>
      </c>
      <c r="D286" s="0" t="n">
        <v>9.44</v>
      </c>
      <c r="H286" s="0" t="n">
        <v>2.86</v>
      </c>
      <c r="I286" s="0" t="n">
        <v>667.92</v>
      </c>
      <c r="J286" s="0" t="n">
        <v>4.67</v>
      </c>
      <c r="K286" s="0" t="n">
        <v>651.43</v>
      </c>
      <c r="L286" s="0" t="n">
        <v>646.08</v>
      </c>
      <c r="M286" s="0" t="n">
        <v>639.63</v>
      </c>
      <c r="N286" s="0" t="n">
        <v>631.73</v>
      </c>
      <c r="O286" s="0" t="n">
        <v>621.64</v>
      </c>
      <c r="P286" s="0" t="n">
        <v>613.37</v>
      </c>
      <c r="R286" s="0" t="n">
        <v>5.29</v>
      </c>
      <c r="S286" s="0" t="n">
        <v>4.87</v>
      </c>
      <c r="T286" s="0" t="n">
        <v>4.76</v>
      </c>
      <c r="U286" s="0" t="n">
        <v>4.41</v>
      </c>
      <c r="V286" s="0" t="n">
        <v>4.79</v>
      </c>
      <c r="W286" s="0" t="n">
        <v>4.05</v>
      </c>
      <c r="X286" s="0" t="n">
        <v>4.22</v>
      </c>
      <c r="Y286" s="0" t="n">
        <v>1.87</v>
      </c>
      <c r="AB286" s="0" t="n">
        <v>3.97</v>
      </c>
      <c r="AC286" s="0" t="n">
        <v>4.88</v>
      </c>
      <c r="AH286" s="0" t="n">
        <v>12.59</v>
      </c>
      <c r="AI286" s="0" t="n">
        <v>15.22</v>
      </c>
      <c r="AJ286" s="0" t="n">
        <v>7.95</v>
      </c>
      <c r="AK286" s="0" t="n">
        <v>7.54</v>
      </c>
      <c r="AM286" s="0" t="n">
        <v>9.52</v>
      </c>
      <c r="AN286" s="0" t="n">
        <v>10.48</v>
      </c>
      <c r="AP286" s="0" t="n">
        <v>10.67</v>
      </c>
      <c r="AQ286" s="0" t="n">
        <v>6.5</v>
      </c>
      <c r="AR286" s="0" t="n">
        <v>4.91</v>
      </c>
      <c r="AS286" s="0" t="n">
        <v>4.46</v>
      </c>
      <c r="AT286" s="0" t="n">
        <v>2.37</v>
      </c>
      <c r="AU286" s="0" t="n">
        <v>9.21</v>
      </c>
    </row>
    <row r="287" customFormat="false" ht="14.25" hidden="false" customHeight="false" outlineLevel="0" collapsed="false">
      <c r="A287" s="0" t="n">
        <v>12.22</v>
      </c>
      <c r="B287" s="0" t="n">
        <v>2.93</v>
      </c>
      <c r="C287" s="0" t="n">
        <v>5.67</v>
      </c>
      <c r="D287" s="0" t="n">
        <v>9.43</v>
      </c>
      <c r="H287" s="0" t="n">
        <v>2.9</v>
      </c>
      <c r="I287" s="0" t="n">
        <v>667.94</v>
      </c>
      <c r="J287" s="0" t="n">
        <v>4.7</v>
      </c>
      <c r="K287" s="0" t="n">
        <v>651.46</v>
      </c>
      <c r="L287" s="0" t="n">
        <v>646.07</v>
      </c>
      <c r="M287" s="0" t="n">
        <v>639.63</v>
      </c>
      <c r="N287" s="0" t="n">
        <v>631.7</v>
      </c>
      <c r="O287" s="0" t="n">
        <v>621.65</v>
      </c>
      <c r="P287" s="0" t="n">
        <v>613.37</v>
      </c>
      <c r="R287" s="0" t="n">
        <v>5.29</v>
      </c>
      <c r="S287" s="0" t="n">
        <v>4.89</v>
      </c>
      <c r="T287" s="0" t="n">
        <v>4.76</v>
      </c>
      <c r="U287" s="0" t="n">
        <v>4.41</v>
      </c>
      <c r="V287" s="0" t="n">
        <v>4.79</v>
      </c>
      <c r="W287" s="0" t="n">
        <v>3.98</v>
      </c>
      <c r="X287" s="0" t="n">
        <v>4.23</v>
      </c>
      <c r="Y287" s="0" t="n">
        <v>1.86</v>
      </c>
      <c r="AB287" s="0" t="n">
        <v>3.96</v>
      </c>
      <c r="AC287" s="0" t="n">
        <v>4.92</v>
      </c>
      <c r="AH287" s="0" t="n">
        <v>12.6</v>
      </c>
      <c r="AI287" s="0" t="n">
        <v>15.22</v>
      </c>
      <c r="AJ287" s="0" t="n">
        <v>7.95</v>
      </c>
      <c r="AK287" s="0" t="n">
        <v>7.55</v>
      </c>
      <c r="AM287" s="0" t="n">
        <v>9.52</v>
      </c>
      <c r="AN287" s="0" t="n">
        <v>10.49</v>
      </c>
      <c r="AP287" s="0" t="n">
        <v>10.67</v>
      </c>
      <c r="AQ287" s="0" t="n">
        <v>6.51</v>
      </c>
      <c r="AR287" s="0" t="n">
        <v>4.92</v>
      </c>
      <c r="AS287" s="0" t="n">
        <v>4.47</v>
      </c>
      <c r="AT287" s="0" t="n">
        <v>2.38</v>
      </c>
      <c r="AU287" s="0" t="n">
        <v>9.21</v>
      </c>
    </row>
    <row r="288" customFormat="false" ht="14.25" hidden="false" customHeight="false" outlineLevel="0" collapsed="false">
      <c r="A288" s="0" t="n">
        <v>12.21</v>
      </c>
      <c r="B288" s="0" t="n">
        <v>2.93</v>
      </c>
      <c r="C288" s="0" t="n">
        <v>5.67</v>
      </c>
      <c r="D288" s="0" t="n">
        <v>9.44</v>
      </c>
      <c r="H288" s="0" t="n">
        <v>2.88</v>
      </c>
      <c r="I288" s="0" t="n">
        <v>667.96</v>
      </c>
      <c r="J288" s="0" t="n">
        <v>4.73</v>
      </c>
      <c r="L288" s="0" t="n">
        <v>646.08</v>
      </c>
      <c r="M288" s="0" t="n">
        <v>639.64</v>
      </c>
      <c r="N288" s="0" t="n">
        <v>631.7</v>
      </c>
      <c r="O288" s="0" t="n">
        <v>621.68</v>
      </c>
      <c r="P288" s="0" t="n">
        <v>613.39</v>
      </c>
      <c r="R288" s="0" t="n">
        <v>5.3</v>
      </c>
      <c r="S288" s="0" t="n">
        <v>4.88</v>
      </c>
      <c r="T288" s="0" t="n">
        <v>4.76</v>
      </c>
      <c r="U288" s="0" t="n">
        <v>4.39</v>
      </c>
      <c r="V288" s="0" t="n">
        <v>4.79</v>
      </c>
      <c r="W288" s="0" t="n">
        <v>3.99</v>
      </c>
      <c r="X288" s="0" t="n">
        <v>4.23</v>
      </c>
      <c r="Y288" s="0" t="n">
        <v>1.85</v>
      </c>
      <c r="AB288" s="0" t="n">
        <v>3.93</v>
      </c>
      <c r="AC288" s="0" t="n">
        <v>4.87</v>
      </c>
      <c r="AH288" s="0" t="n">
        <v>12.6</v>
      </c>
      <c r="AI288" s="0" t="n">
        <v>15.18</v>
      </c>
      <c r="AJ288" s="0" t="n">
        <v>7.95</v>
      </c>
      <c r="AM288" s="0" t="n">
        <v>9.38</v>
      </c>
      <c r="AN288" s="0" t="n">
        <v>10.5</v>
      </c>
      <c r="AQ288" s="0" t="n">
        <v>6.51</v>
      </c>
      <c r="AR288" s="0" t="n">
        <v>4.9</v>
      </c>
      <c r="AS288" s="0" t="n">
        <v>4.53</v>
      </c>
      <c r="AT288" s="0" t="n">
        <v>2.38</v>
      </c>
      <c r="AU288" s="0" t="n">
        <v>9.22</v>
      </c>
    </row>
    <row r="289" customFormat="false" ht="14.25" hidden="false" customHeight="false" outlineLevel="0" collapsed="false">
      <c r="A289" s="0" t="n">
        <v>12.21</v>
      </c>
      <c r="B289" s="0" t="n">
        <v>2.93</v>
      </c>
      <c r="C289" s="0" t="n">
        <v>5.67</v>
      </c>
      <c r="D289" s="0" t="n">
        <v>9.43</v>
      </c>
      <c r="H289" s="0" t="n">
        <v>2.91</v>
      </c>
      <c r="I289" s="0" t="n">
        <v>667.94</v>
      </c>
      <c r="J289" s="0" t="n">
        <v>4.72</v>
      </c>
      <c r="L289" s="0" t="n">
        <v>646.08</v>
      </c>
      <c r="M289" s="0" t="n">
        <v>639.64</v>
      </c>
      <c r="N289" s="0" t="n">
        <v>631.7</v>
      </c>
      <c r="O289" s="0" t="n">
        <v>621.69</v>
      </c>
      <c r="P289" s="0" t="n">
        <v>613.41</v>
      </c>
      <c r="R289" s="0" t="n">
        <v>5.29</v>
      </c>
      <c r="S289" s="0" t="n">
        <v>4.88</v>
      </c>
      <c r="T289" s="0" t="n">
        <v>4.75</v>
      </c>
      <c r="U289" s="0" t="n">
        <v>4.4</v>
      </c>
      <c r="V289" s="0" t="n">
        <v>4.79</v>
      </c>
      <c r="W289" s="0" t="n">
        <v>3.97</v>
      </c>
      <c r="X289" s="0" t="n">
        <v>4.23</v>
      </c>
      <c r="Y289" s="0" t="n">
        <v>1.85</v>
      </c>
      <c r="AB289" s="0" t="n">
        <v>3.95</v>
      </c>
      <c r="AC289" s="0" t="n">
        <v>4.88</v>
      </c>
      <c r="AH289" s="0" t="n">
        <v>12.58</v>
      </c>
      <c r="AI289" s="0" t="n">
        <v>15.15</v>
      </c>
      <c r="AJ289" s="0" t="n">
        <v>7.96</v>
      </c>
      <c r="AM289" s="0" t="n">
        <v>9.25</v>
      </c>
      <c r="AN289" s="0" t="n">
        <v>10.51</v>
      </c>
      <c r="AQ289" s="0" t="n">
        <v>6.5</v>
      </c>
      <c r="AR289" s="0" t="n">
        <v>4.9</v>
      </c>
      <c r="AS289" s="0" t="n">
        <v>4.5</v>
      </c>
      <c r="AT289" s="0" t="n">
        <v>2.39</v>
      </c>
      <c r="AU289" s="0" t="n">
        <v>9.21</v>
      </c>
    </row>
    <row r="290" customFormat="false" ht="14.25" hidden="false" customHeight="false" outlineLevel="0" collapsed="false">
      <c r="A290" s="0" t="n">
        <v>12.21</v>
      </c>
      <c r="B290" s="0" t="n">
        <v>2.94</v>
      </c>
      <c r="C290" s="0" t="n">
        <v>5.67</v>
      </c>
      <c r="D290" s="0" t="n">
        <v>9.42</v>
      </c>
      <c r="H290" s="0" t="n">
        <v>2.85</v>
      </c>
      <c r="I290" s="0" t="n">
        <v>667.94</v>
      </c>
      <c r="J290" s="0" t="n">
        <v>4.74</v>
      </c>
      <c r="L290" s="0" t="n">
        <v>646.1</v>
      </c>
      <c r="M290" s="0" t="n">
        <v>639.65</v>
      </c>
      <c r="N290" s="0" t="n">
        <v>631.7</v>
      </c>
      <c r="O290" s="0" t="n">
        <v>621.68</v>
      </c>
      <c r="P290" s="0" t="n">
        <v>613.4</v>
      </c>
      <c r="R290" s="0" t="n">
        <v>5.29</v>
      </c>
      <c r="S290" s="0" t="n">
        <v>4.87</v>
      </c>
      <c r="T290" s="0" t="n">
        <v>4.75</v>
      </c>
      <c r="U290" s="0" t="n">
        <v>4.4</v>
      </c>
      <c r="V290" s="0" t="n">
        <v>4.8</v>
      </c>
      <c r="W290" s="0" t="n">
        <v>3.98</v>
      </c>
      <c r="X290" s="0" t="n">
        <v>4.23</v>
      </c>
      <c r="Y290" s="0" t="n">
        <v>1.85</v>
      </c>
      <c r="AB290" s="0" t="n">
        <v>3.97</v>
      </c>
      <c r="AC290" s="0" t="n">
        <v>4.91</v>
      </c>
      <c r="AH290" s="0" t="n">
        <v>12.57</v>
      </c>
      <c r="AI290" s="0" t="n">
        <v>15.05</v>
      </c>
      <c r="AJ290" s="0" t="n">
        <v>7.97</v>
      </c>
      <c r="AR290" s="0" t="n">
        <v>4.9</v>
      </c>
      <c r="AS290" s="0" t="n">
        <v>4.54</v>
      </c>
      <c r="AT290" s="0" t="n">
        <v>2.4</v>
      </c>
      <c r="AU290" s="0" t="n">
        <v>9.24</v>
      </c>
    </row>
    <row r="291" customFormat="false" ht="14.25" hidden="false" customHeight="false" outlineLevel="0" collapsed="false">
      <c r="A291" s="0" t="n">
        <v>12.24</v>
      </c>
      <c r="B291" s="0" t="n">
        <v>2.93</v>
      </c>
      <c r="C291" s="0" t="n">
        <v>5.67</v>
      </c>
      <c r="D291" s="0" t="n">
        <v>9.42</v>
      </c>
      <c r="H291" s="0" t="n">
        <v>2.84</v>
      </c>
      <c r="I291" s="0" t="n">
        <v>667.94</v>
      </c>
      <c r="R291" s="0" t="n">
        <v>5.29</v>
      </c>
      <c r="S291" s="0" t="n">
        <v>4.88</v>
      </c>
      <c r="T291" s="0" t="n">
        <v>4.76</v>
      </c>
      <c r="U291" s="0" t="n">
        <v>4.39</v>
      </c>
      <c r="V291" s="0" t="n">
        <v>4.8</v>
      </c>
      <c r="W291" s="0" t="n">
        <v>4.03</v>
      </c>
      <c r="X291" s="0" t="n">
        <v>4.23</v>
      </c>
      <c r="Y291" s="0" t="n">
        <v>1.85</v>
      </c>
      <c r="AB291" s="0" t="n">
        <v>3.97</v>
      </c>
      <c r="AC291" s="0" t="n">
        <v>4.91</v>
      </c>
      <c r="AH291" s="0" t="n">
        <v>12.56</v>
      </c>
      <c r="AI291" s="0" t="n">
        <v>15.02</v>
      </c>
      <c r="AJ291" s="0" t="n">
        <v>7.97</v>
      </c>
      <c r="AR291" s="0" t="n">
        <v>4.89</v>
      </c>
      <c r="AS291" s="0" t="n">
        <v>4.56</v>
      </c>
      <c r="AT291" s="0" t="n">
        <v>2.42</v>
      </c>
      <c r="AU291" s="0" t="n">
        <v>9.23</v>
      </c>
    </row>
    <row r="292" customFormat="false" ht="14.25" hidden="false" customHeight="false" outlineLevel="0" collapsed="false">
      <c r="A292" s="0" t="n">
        <v>12.23</v>
      </c>
      <c r="B292" s="0" t="n">
        <v>2.92</v>
      </c>
      <c r="C292" s="0" t="n">
        <v>5.67</v>
      </c>
      <c r="D292" s="0" t="n">
        <v>9.42</v>
      </c>
      <c r="H292" s="0" t="n">
        <v>2.84</v>
      </c>
      <c r="I292" s="0" t="n">
        <v>667.96</v>
      </c>
      <c r="R292" s="0" t="n">
        <v>5.29</v>
      </c>
      <c r="S292" s="0" t="n">
        <v>4.87</v>
      </c>
      <c r="T292" s="0" t="n">
        <v>4.75</v>
      </c>
      <c r="U292" s="0" t="n">
        <v>4.39</v>
      </c>
      <c r="V292" s="0" t="n">
        <v>4.8</v>
      </c>
      <c r="W292" s="0" t="n">
        <v>4.04</v>
      </c>
      <c r="X292" s="0" t="n">
        <v>4.23</v>
      </c>
      <c r="Y292" s="0" t="n">
        <v>1.84</v>
      </c>
      <c r="AB292" s="0" t="n">
        <v>3.99</v>
      </c>
      <c r="AC292" s="0" t="n">
        <v>4.82</v>
      </c>
      <c r="AH292" s="0" t="n">
        <v>12.56</v>
      </c>
      <c r="AI292" s="0" t="n">
        <v>15</v>
      </c>
      <c r="AJ292" s="0" t="n">
        <v>7.99</v>
      </c>
      <c r="AR292" s="0" t="n">
        <v>4.92</v>
      </c>
      <c r="AS292" s="0" t="n">
        <v>4.55</v>
      </c>
      <c r="AT292" s="0" t="n">
        <v>2.42</v>
      </c>
      <c r="AU292" s="0" t="n">
        <v>9.26</v>
      </c>
    </row>
    <row r="293" customFormat="false" ht="14.25" hidden="false" customHeight="false" outlineLevel="0" collapsed="false">
      <c r="A293" s="0" t="n">
        <v>12.2</v>
      </c>
      <c r="B293" s="0" t="n">
        <v>2.92</v>
      </c>
      <c r="C293" s="0" t="n">
        <v>5.67</v>
      </c>
      <c r="D293" s="0" t="n">
        <v>9.43</v>
      </c>
      <c r="H293" s="0" t="n">
        <v>2.84</v>
      </c>
      <c r="I293" s="0" t="n">
        <v>667.96</v>
      </c>
      <c r="R293" s="0" t="n">
        <v>5.28</v>
      </c>
      <c r="S293" s="0" t="n">
        <v>4.89</v>
      </c>
      <c r="T293" s="0" t="n">
        <v>4.75</v>
      </c>
      <c r="U293" s="0" t="n">
        <v>4.39</v>
      </c>
      <c r="V293" s="0" t="n">
        <v>4.8</v>
      </c>
      <c r="W293" s="0" t="n">
        <v>4.05</v>
      </c>
      <c r="X293" s="0" t="n">
        <v>4.23</v>
      </c>
      <c r="Y293" s="0" t="n">
        <v>1.84</v>
      </c>
      <c r="AB293" s="0" t="n">
        <v>3.96</v>
      </c>
      <c r="AC293" s="0" t="n">
        <v>4.83</v>
      </c>
      <c r="AH293" s="0" t="n">
        <v>12.54</v>
      </c>
      <c r="AI293" s="0" t="n">
        <v>14.97</v>
      </c>
      <c r="AJ293" s="0" t="n">
        <v>7.99</v>
      </c>
      <c r="AR293" s="0" t="n">
        <v>4.91</v>
      </c>
      <c r="AS293" s="0" t="n">
        <v>4.6</v>
      </c>
      <c r="AT293" s="0" t="n">
        <v>2.43</v>
      </c>
      <c r="AU293" s="0" t="n">
        <v>9.26</v>
      </c>
    </row>
    <row r="294" customFormat="false" ht="14.25" hidden="false" customHeight="false" outlineLevel="0" collapsed="false">
      <c r="A294" s="0" t="n">
        <v>12.2</v>
      </c>
      <c r="B294" s="0" t="n">
        <v>2.93</v>
      </c>
      <c r="C294" s="0" t="n">
        <v>5.67</v>
      </c>
      <c r="D294" s="0" t="n">
        <v>9.42</v>
      </c>
      <c r="H294" s="0" t="n">
        <v>2.85</v>
      </c>
      <c r="I294" s="0" t="n">
        <v>667.96</v>
      </c>
      <c r="R294" s="0" t="n">
        <v>5.29</v>
      </c>
      <c r="S294" s="0" t="n">
        <v>4.88</v>
      </c>
      <c r="T294" s="0" t="n">
        <v>4.75</v>
      </c>
      <c r="U294" s="0" t="n">
        <v>4.38</v>
      </c>
      <c r="V294" s="0" t="n">
        <v>4.8</v>
      </c>
      <c r="W294" s="0" t="n">
        <v>4.05</v>
      </c>
      <c r="X294" s="0" t="n">
        <v>4.23</v>
      </c>
      <c r="Y294" s="0" t="n">
        <v>1.83</v>
      </c>
      <c r="AB294" s="0" t="n">
        <v>3.94</v>
      </c>
      <c r="AC294" s="0" t="n">
        <v>4.83</v>
      </c>
      <c r="AH294" s="0" t="n">
        <v>12.56</v>
      </c>
      <c r="AI294" s="0" t="n">
        <v>14.94</v>
      </c>
      <c r="AJ294" s="0" t="n">
        <v>8</v>
      </c>
      <c r="AR294" s="0" t="n">
        <v>4.91</v>
      </c>
      <c r="AS294" s="0" t="n">
        <v>4.57</v>
      </c>
      <c r="AT294" s="0" t="n">
        <v>2.43</v>
      </c>
      <c r="AU294" s="0" t="n">
        <v>9.27</v>
      </c>
    </row>
    <row r="295" customFormat="false" ht="14.25" hidden="false" customHeight="false" outlineLevel="0" collapsed="false">
      <c r="A295" s="0" t="n">
        <v>12.19</v>
      </c>
      <c r="B295" s="0" t="n">
        <v>2.92</v>
      </c>
      <c r="C295" s="0" t="n">
        <v>5.67</v>
      </c>
      <c r="D295" s="0" t="n">
        <v>9.42</v>
      </c>
      <c r="H295" s="0" t="n">
        <v>2.86</v>
      </c>
      <c r="I295" s="0" t="n">
        <v>667.96</v>
      </c>
      <c r="R295" s="0" t="n">
        <v>5.29</v>
      </c>
      <c r="S295" s="0" t="n">
        <v>4.88</v>
      </c>
      <c r="T295" s="0" t="n">
        <v>4.75</v>
      </c>
      <c r="U295" s="0" t="n">
        <v>4.38</v>
      </c>
      <c r="V295" s="0" t="n">
        <v>4.81</v>
      </c>
      <c r="W295" s="0" t="n">
        <v>4.08</v>
      </c>
      <c r="X295" s="0" t="n">
        <v>4.23</v>
      </c>
      <c r="Y295" s="0" t="n">
        <v>1.83</v>
      </c>
      <c r="AB295" s="0" t="n">
        <v>3.91</v>
      </c>
      <c r="AC295" s="0" t="n">
        <v>4.81</v>
      </c>
      <c r="AH295" s="0" t="n">
        <v>12.54</v>
      </c>
      <c r="AI295" s="0" t="n">
        <v>14.95</v>
      </c>
      <c r="AJ295" s="0" t="n">
        <v>7.95</v>
      </c>
      <c r="AR295" s="0" t="n">
        <v>4.93</v>
      </c>
      <c r="AS295" s="0" t="n">
        <v>4.53</v>
      </c>
      <c r="AT295" s="0" t="n">
        <v>2.44</v>
      </c>
      <c r="AU295" s="0" t="n">
        <v>9.26</v>
      </c>
    </row>
    <row r="296" customFormat="false" ht="14.25" hidden="false" customHeight="false" outlineLevel="0" collapsed="false">
      <c r="A296" s="0" t="n">
        <v>12.19</v>
      </c>
      <c r="B296" s="0" t="n">
        <v>2.92</v>
      </c>
      <c r="C296" s="0" t="n">
        <v>5.67</v>
      </c>
      <c r="D296" s="0" t="n">
        <v>9.45</v>
      </c>
      <c r="H296" s="0" t="n">
        <v>2.88</v>
      </c>
      <c r="I296" s="0" t="n">
        <v>667.97</v>
      </c>
      <c r="R296" s="0" t="n">
        <v>5.29</v>
      </c>
      <c r="S296" s="0" t="n">
        <v>4.89</v>
      </c>
      <c r="T296" s="0" t="n">
        <v>4.75</v>
      </c>
      <c r="U296" s="0" t="n">
        <v>4.38</v>
      </c>
      <c r="V296" s="0" t="n">
        <v>4.81</v>
      </c>
      <c r="W296" s="0" t="n">
        <v>4.05</v>
      </c>
      <c r="X296" s="0" t="n">
        <v>4.23</v>
      </c>
      <c r="Y296" s="0" t="n">
        <v>1.81</v>
      </c>
      <c r="AB296" s="0" t="n">
        <v>3.92</v>
      </c>
      <c r="AC296" s="0" t="n">
        <v>4.81</v>
      </c>
      <c r="AH296" s="0" t="n">
        <v>12.52</v>
      </c>
      <c r="AI296" s="0" t="n">
        <v>14.94</v>
      </c>
      <c r="AJ296" s="0" t="n">
        <v>8.01</v>
      </c>
      <c r="AR296" s="0" t="n">
        <v>4.91</v>
      </c>
      <c r="AS296" s="0" t="n">
        <v>4.58</v>
      </c>
      <c r="AT296" s="0" t="n">
        <v>2.44</v>
      </c>
      <c r="AU296" s="0" t="n">
        <v>9.29</v>
      </c>
    </row>
    <row r="297" customFormat="false" ht="14.25" hidden="false" customHeight="false" outlineLevel="0" collapsed="false">
      <c r="A297" s="0" t="n">
        <v>12.19</v>
      </c>
      <c r="B297" s="0" t="n">
        <v>2.92</v>
      </c>
      <c r="C297" s="0" t="n">
        <v>5.67</v>
      </c>
      <c r="D297" s="0" t="n">
        <v>9.45</v>
      </c>
      <c r="H297" s="0" t="n">
        <v>2.9</v>
      </c>
      <c r="I297" s="0" t="n">
        <v>667.98</v>
      </c>
      <c r="R297" s="0" t="n">
        <v>5.29</v>
      </c>
      <c r="S297" s="0" t="n">
        <v>4.88</v>
      </c>
      <c r="T297" s="0" t="n">
        <v>4.75</v>
      </c>
      <c r="U297" s="0" t="n">
        <v>4.38</v>
      </c>
      <c r="V297" s="0" t="n">
        <v>4.81</v>
      </c>
      <c r="W297" s="0" t="n">
        <v>4.09</v>
      </c>
      <c r="X297" s="0" t="n">
        <v>4.23</v>
      </c>
      <c r="Y297" s="0" t="n">
        <v>1.81</v>
      </c>
      <c r="AB297" s="0" t="n">
        <v>3.94</v>
      </c>
      <c r="AC297" s="0" t="n">
        <v>4.83</v>
      </c>
      <c r="AH297" s="0" t="n">
        <v>12.54</v>
      </c>
      <c r="AI297" s="0" t="n">
        <v>14.95</v>
      </c>
      <c r="AJ297" s="0" t="n">
        <v>8.03</v>
      </c>
      <c r="AR297" s="0" t="n">
        <v>4.92</v>
      </c>
      <c r="AS297" s="0" t="n">
        <v>4.6</v>
      </c>
      <c r="AT297" s="0" t="n">
        <v>2.46</v>
      </c>
      <c r="AU297" s="0" t="n">
        <v>9.29</v>
      </c>
    </row>
    <row r="298" customFormat="false" ht="14.25" hidden="false" customHeight="false" outlineLevel="0" collapsed="false">
      <c r="A298" s="0" t="n">
        <v>12.2</v>
      </c>
      <c r="B298" s="0" t="n">
        <v>2.92</v>
      </c>
      <c r="C298" s="0" t="n">
        <v>5.67</v>
      </c>
      <c r="D298" s="0" t="n">
        <v>9.43</v>
      </c>
      <c r="H298" s="0" t="n">
        <v>2.85</v>
      </c>
      <c r="I298" s="0" t="n">
        <v>667.98</v>
      </c>
      <c r="R298" s="0" t="n">
        <v>5.29</v>
      </c>
      <c r="S298" s="0" t="n">
        <v>4.87</v>
      </c>
      <c r="T298" s="0" t="n">
        <v>4.76</v>
      </c>
      <c r="U298" s="0" t="n">
        <v>4.37</v>
      </c>
      <c r="V298" s="0" t="n">
        <v>4.81</v>
      </c>
      <c r="W298" s="0" t="n">
        <v>4.05</v>
      </c>
      <c r="X298" s="0" t="n">
        <v>4.23</v>
      </c>
      <c r="Y298" s="0" t="n">
        <v>1.81</v>
      </c>
      <c r="AB298" s="0" t="n">
        <v>3.93</v>
      </c>
      <c r="AC298" s="0" t="n">
        <v>4.82</v>
      </c>
      <c r="AH298" s="0" t="n">
        <v>12.53</v>
      </c>
      <c r="AI298" s="0" t="n">
        <v>14.95</v>
      </c>
      <c r="AJ298" s="0" t="n">
        <v>8.04</v>
      </c>
      <c r="AR298" s="0" t="n">
        <v>4.91</v>
      </c>
      <c r="AS298" s="0" t="n">
        <v>4.61</v>
      </c>
      <c r="AT298" s="0" t="n">
        <v>2.46</v>
      </c>
      <c r="AU298" s="0" t="n">
        <v>9.3</v>
      </c>
    </row>
    <row r="299" customFormat="false" ht="14.25" hidden="false" customHeight="false" outlineLevel="0" collapsed="false">
      <c r="A299" s="0" t="n">
        <v>12.2</v>
      </c>
      <c r="B299" s="0" t="n">
        <v>2.92</v>
      </c>
      <c r="C299" s="0" t="n">
        <v>5.67</v>
      </c>
      <c r="D299" s="0" t="n">
        <v>9.44</v>
      </c>
      <c r="H299" s="0" t="n">
        <v>2.87</v>
      </c>
      <c r="I299" s="0" t="n">
        <v>667.98</v>
      </c>
      <c r="R299" s="0" t="n">
        <v>5.29</v>
      </c>
      <c r="S299" s="0" t="n">
        <v>4.87</v>
      </c>
      <c r="T299" s="0" t="n">
        <v>4.75</v>
      </c>
      <c r="U299" s="0" t="n">
        <v>4.36</v>
      </c>
      <c r="V299" s="0" t="n">
        <v>4.82</v>
      </c>
      <c r="W299" s="0" t="n">
        <v>4.05</v>
      </c>
      <c r="X299" s="0" t="n">
        <v>4.23</v>
      </c>
      <c r="Y299" s="0" t="n">
        <v>1.8</v>
      </c>
      <c r="AB299" s="0" t="n">
        <v>3.92</v>
      </c>
      <c r="AC299" s="0" t="n">
        <v>4.83</v>
      </c>
      <c r="AH299" s="0" t="n">
        <v>12.54</v>
      </c>
      <c r="AI299" s="0" t="n">
        <v>14.95</v>
      </c>
      <c r="AJ299" s="0" t="n">
        <v>8.05</v>
      </c>
      <c r="AR299" s="0" t="n">
        <v>4.92</v>
      </c>
      <c r="AS299" s="0" t="n">
        <v>4.55</v>
      </c>
      <c r="AT299" s="0" t="n">
        <v>2.48</v>
      </c>
      <c r="AU299" s="0" t="n">
        <v>9.3</v>
      </c>
    </row>
    <row r="300" customFormat="false" ht="14.25" hidden="false" customHeight="false" outlineLevel="0" collapsed="false">
      <c r="A300" s="0" t="n">
        <v>12.21</v>
      </c>
      <c r="B300" s="0" t="n">
        <v>2.92</v>
      </c>
      <c r="C300" s="0" t="n">
        <v>5.67</v>
      </c>
      <c r="D300" s="0" t="n">
        <v>9.43</v>
      </c>
      <c r="H300" s="0" t="n">
        <v>2.86</v>
      </c>
      <c r="I300" s="0" t="n">
        <v>667.98</v>
      </c>
      <c r="R300" s="0" t="n">
        <v>5.29</v>
      </c>
      <c r="S300" s="0" t="n">
        <v>4.86</v>
      </c>
      <c r="T300" s="0" t="n">
        <v>4.75</v>
      </c>
      <c r="U300" s="0" t="n">
        <v>4.37</v>
      </c>
      <c r="V300" s="0" t="n">
        <v>4.82</v>
      </c>
      <c r="W300" s="0" t="n">
        <v>4.05</v>
      </c>
      <c r="X300" s="0" t="n">
        <v>4.23</v>
      </c>
      <c r="Y300" s="0" t="n">
        <v>1.8</v>
      </c>
      <c r="AB300" s="0" t="n">
        <v>3.93</v>
      </c>
      <c r="AC300" s="0" t="n">
        <v>4.82</v>
      </c>
      <c r="AH300" s="0" t="n">
        <v>12.53</v>
      </c>
      <c r="AI300" s="0" t="n">
        <v>14.95</v>
      </c>
      <c r="AJ300" s="0" t="n">
        <v>8.05</v>
      </c>
      <c r="AR300" s="0" t="n">
        <v>4.92</v>
      </c>
      <c r="AS300" s="0" t="n">
        <v>4.62</v>
      </c>
      <c r="AT300" s="0" t="n">
        <v>2.48</v>
      </c>
      <c r="AU300" s="0" t="n">
        <v>9.33</v>
      </c>
    </row>
    <row r="301" customFormat="false" ht="14.25" hidden="false" customHeight="false" outlineLevel="0" collapsed="false">
      <c r="A301" s="0" t="n">
        <v>12.21</v>
      </c>
      <c r="B301" s="0" t="n">
        <v>2.91</v>
      </c>
      <c r="C301" s="0" t="n">
        <v>5.66</v>
      </c>
      <c r="D301" s="0" t="n">
        <v>9.44</v>
      </c>
      <c r="H301" s="0" t="n">
        <v>2.86</v>
      </c>
      <c r="I301" s="0" t="n">
        <v>667.99</v>
      </c>
      <c r="R301" s="0" t="n">
        <v>5.29</v>
      </c>
      <c r="S301" s="0" t="n">
        <v>4.86</v>
      </c>
      <c r="T301" s="0" t="n">
        <v>4.74</v>
      </c>
      <c r="U301" s="0" t="n">
        <v>4.37</v>
      </c>
      <c r="V301" s="0" t="n">
        <v>4.83</v>
      </c>
      <c r="W301" s="0" t="n">
        <v>4.05</v>
      </c>
      <c r="X301" s="0" t="n">
        <v>4.23</v>
      </c>
      <c r="Y301" s="0" t="n">
        <v>1.79</v>
      </c>
      <c r="AB301" s="0" t="n">
        <v>3.92</v>
      </c>
      <c r="AC301" s="0" t="n">
        <v>4.83</v>
      </c>
      <c r="AH301" s="0" t="n">
        <v>12.52</v>
      </c>
      <c r="AI301" s="0" t="n">
        <v>14.95</v>
      </c>
      <c r="AJ301" s="0" t="n">
        <v>8.07</v>
      </c>
      <c r="AR301" s="0" t="n">
        <v>4.93</v>
      </c>
      <c r="AS301" s="0" t="n">
        <v>4.61</v>
      </c>
      <c r="AT301" s="0" t="n">
        <v>2.46</v>
      </c>
      <c r="AU301" s="0" t="n">
        <v>9.33</v>
      </c>
    </row>
    <row r="302" customFormat="false" ht="14.25" hidden="false" customHeight="false" outlineLevel="0" collapsed="false">
      <c r="A302" s="0" t="n">
        <v>12.21</v>
      </c>
      <c r="B302" s="0" t="n">
        <v>2.92</v>
      </c>
      <c r="C302" s="0" t="n">
        <v>5.66</v>
      </c>
      <c r="D302" s="0" t="n">
        <v>9.42</v>
      </c>
      <c r="H302" s="0" t="n">
        <v>2.86</v>
      </c>
      <c r="I302" s="0" t="n">
        <v>667.99</v>
      </c>
      <c r="R302" s="0" t="n">
        <v>5.3</v>
      </c>
      <c r="S302" s="0" t="n">
        <v>4.88</v>
      </c>
      <c r="T302" s="0" t="n">
        <v>4.76</v>
      </c>
      <c r="U302" s="0" t="n">
        <v>4.37</v>
      </c>
      <c r="V302" s="0" t="n">
        <v>4.83</v>
      </c>
      <c r="W302" s="0" t="n">
        <v>4.09</v>
      </c>
      <c r="X302" s="0" t="n">
        <v>4.23</v>
      </c>
      <c r="Y302" s="0" t="n">
        <v>1.79</v>
      </c>
      <c r="AB302" s="0" t="n">
        <v>3.92</v>
      </c>
      <c r="AC302" s="0" t="n">
        <v>4.81</v>
      </c>
      <c r="AH302" s="0" t="n">
        <v>12.52</v>
      </c>
      <c r="AI302" s="0" t="n">
        <v>14.96</v>
      </c>
      <c r="AJ302" s="0" t="n">
        <v>8.07</v>
      </c>
      <c r="AR302" s="0" t="n">
        <v>4.92</v>
      </c>
      <c r="AS302" s="0" t="n">
        <v>4.61</v>
      </c>
      <c r="AT302" s="0" t="n">
        <v>2.49</v>
      </c>
      <c r="AU302" s="0" t="n">
        <v>9.36</v>
      </c>
    </row>
    <row r="303" customFormat="false" ht="14.25" hidden="false" customHeight="false" outlineLevel="0" collapsed="false">
      <c r="A303" s="0" t="n">
        <v>12.21</v>
      </c>
      <c r="B303" s="0" t="n">
        <v>2.92</v>
      </c>
      <c r="C303" s="0" t="n">
        <v>5.66</v>
      </c>
      <c r="D303" s="0" t="n">
        <v>9.45</v>
      </c>
      <c r="H303" s="0" t="n">
        <v>2.84</v>
      </c>
      <c r="I303" s="0" t="n">
        <v>667.99</v>
      </c>
      <c r="R303" s="0" t="n">
        <v>5.29</v>
      </c>
      <c r="S303" s="0" t="n">
        <v>4.87</v>
      </c>
      <c r="T303" s="0" t="n">
        <v>4.75</v>
      </c>
      <c r="U303" s="0" t="n">
        <v>4.36</v>
      </c>
      <c r="V303" s="0" t="n">
        <v>4.84</v>
      </c>
      <c r="W303" s="0" t="n">
        <v>4.02</v>
      </c>
      <c r="X303" s="0" t="n">
        <v>4.23</v>
      </c>
      <c r="Y303" s="0" t="n">
        <v>1.78</v>
      </c>
      <c r="AB303" s="0" t="n">
        <v>3.91</v>
      </c>
      <c r="AC303" s="0" t="n">
        <v>4.81</v>
      </c>
      <c r="AH303" s="0" t="n">
        <v>12.52</v>
      </c>
      <c r="AI303" s="0" t="n">
        <v>14.94</v>
      </c>
      <c r="AJ303" s="0" t="n">
        <v>8.08</v>
      </c>
      <c r="AR303" s="0" t="n">
        <v>4.93</v>
      </c>
      <c r="AS303" s="0" t="n">
        <v>4.6</v>
      </c>
      <c r="AT303" s="0" t="n">
        <v>2.5</v>
      </c>
      <c r="AU303" s="0" t="n">
        <v>9.35</v>
      </c>
    </row>
    <row r="304" customFormat="false" ht="14.25" hidden="false" customHeight="false" outlineLevel="0" collapsed="false">
      <c r="A304" s="0" t="n">
        <v>12.21</v>
      </c>
      <c r="B304" s="0" t="n">
        <v>2.91</v>
      </c>
      <c r="C304" s="0" t="n">
        <v>5.66</v>
      </c>
      <c r="D304" s="0" t="n">
        <v>9.45</v>
      </c>
      <c r="H304" s="0" t="n">
        <v>2.86</v>
      </c>
      <c r="I304" s="0" t="n">
        <v>668.01</v>
      </c>
      <c r="R304" s="0" t="n">
        <v>5.29</v>
      </c>
      <c r="S304" s="0" t="n">
        <v>4.87</v>
      </c>
      <c r="T304" s="0" t="n">
        <v>4.76</v>
      </c>
      <c r="U304" s="0" t="n">
        <v>4.36</v>
      </c>
      <c r="V304" s="0" t="n">
        <v>4.84</v>
      </c>
      <c r="W304" s="0" t="n">
        <v>4.06</v>
      </c>
      <c r="X304" s="0" t="n">
        <v>4.24</v>
      </c>
      <c r="Y304" s="0" t="n">
        <v>1.78</v>
      </c>
      <c r="AB304" s="0" t="n">
        <v>3.91</v>
      </c>
      <c r="AC304" s="0" t="n">
        <v>4.81</v>
      </c>
      <c r="AH304" s="0" t="n">
        <v>12.53</v>
      </c>
      <c r="AI304" s="0" t="n">
        <v>14.95</v>
      </c>
      <c r="AJ304" s="0" t="n">
        <v>8.09</v>
      </c>
      <c r="AR304" s="0" t="n">
        <v>4.92</v>
      </c>
      <c r="AS304" s="0" t="n">
        <v>4.61</v>
      </c>
      <c r="AT304" s="0" t="n">
        <v>2.51</v>
      </c>
      <c r="AU304" s="0" t="n">
        <v>9.36</v>
      </c>
    </row>
    <row r="305" customFormat="false" ht="14.25" hidden="false" customHeight="false" outlineLevel="0" collapsed="false">
      <c r="A305" s="0" t="n">
        <v>12.21</v>
      </c>
      <c r="B305" s="0" t="n">
        <v>2.91</v>
      </c>
      <c r="C305" s="0" t="n">
        <v>5.66</v>
      </c>
      <c r="D305" s="0" t="n">
        <v>9.45</v>
      </c>
      <c r="H305" s="0" t="n">
        <v>2.86</v>
      </c>
      <c r="I305" s="0" t="n">
        <v>668</v>
      </c>
      <c r="R305" s="0" t="n">
        <v>5.29</v>
      </c>
      <c r="S305" s="0" t="n">
        <v>4.86</v>
      </c>
      <c r="T305" s="0" t="n">
        <v>4.77</v>
      </c>
      <c r="U305" s="0" t="n">
        <v>4.36</v>
      </c>
      <c r="V305" s="0" t="n">
        <v>4.84</v>
      </c>
      <c r="W305" s="0" t="n">
        <v>4.06</v>
      </c>
      <c r="X305" s="0" t="n">
        <v>4.24</v>
      </c>
      <c r="Y305" s="0" t="n">
        <v>1.78</v>
      </c>
      <c r="AB305" s="0" t="n">
        <v>3.9</v>
      </c>
      <c r="AC305" s="0" t="n">
        <v>4.84</v>
      </c>
      <c r="AH305" s="0" t="n">
        <v>12.52</v>
      </c>
      <c r="AI305" s="0" t="n">
        <v>14.96</v>
      </c>
      <c r="AJ305" s="0" t="n">
        <v>8.1</v>
      </c>
      <c r="AR305" s="0" t="n">
        <v>4.93</v>
      </c>
      <c r="AS305" s="0" t="n">
        <v>4.62</v>
      </c>
      <c r="AT305" s="0" t="n">
        <v>2.5</v>
      </c>
      <c r="AU305" s="0" t="n">
        <v>9.35</v>
      </c>
    </row>
    <row r="306" customFormat="false" ht="14.25" hidden="false" customHeight="false" outlineLevel="0" collapsed="false">
      <c r="A306" s="0" t="n">
        <v>12.21</v>
      </c>
      <c r="B306" s="0" t="n">
        <v>2.91</v>
      </c>
      <c r="C306" s="0" t="n">
        <v>5.66</v>
      </c>
      <c r="D306" s="0" t="n">
        <v>9.44</v>
      </c>
      <c r="H306" s="0" t="n">
        <v>2.85</v>
      </c>
      <c r="I306" s="0" t="n">
        <v>667.98</v>
      </c>
      <c r="R306" s="0" t="n">
        <v>5.29</v>
      </c>
      <c r="S306" s="0" t="n">
        <v>4.87</v>
      </c>
      <c r="T306" s="0" t="n">
        <v>4.76</v>
      </c>
      <c r="U306" s="0" t="n">
        <v>4.35</v>
      </c>
      <c r="V306" s="0" t="n">
        <v>4.85</v>
      </c>
      <c r="W306" s="0" t="n">
        <v>4.06</v>
      </c>
      <c r="X306" s="0" t="n">
        <v>4.24</v>
      </c>
      <c r="Y306" s="0" t="n">
        <v>1.77</v>
      </c>
      <c r="AB306" s="0" t="n">
        <v>3.91</v>
      </c>
      <c r="AC306" s="0" t="n">
        <v>4.86</v>
      </c>
      <c r="AH306" s="0" t="n">
        <v>12.52</v>
      </c>
      <c r="AI306" s="0" t="n">
        <v>14.96</v>
      </c>
      <c r="AJ306" s="0" t="n">
        <v>8.12</v>
      </c>
      <c r="AR306" s="0" t="n">
        <v>4.93</v>
      </c>
      <c r="AS306" s="0" t="n">
        <v>4.62</v>
      </c>
      <c r="AT306" s="0" t="n">
        <v>2.52</v>
      </c>
      <c r="AU306" s="0" t="n">
        <v>9.37</v>
      </c>
    </row>
    <row r="307" customFormat="false" ht="14.25" hidden="false" customHeight="false" outlineLevel="0" collapsed="false">
      <c r="A307" s="0" t="n">
        <v>12.2</v>
      </c>
      <c r="B307" s="0" t="n">
        <v>2.9</v>
      </c>
      <c r="C307" s="0" t="n">
        <v>5.66</v>
      </c>
      <c r="D307" s="0" t="n">
        <v>9.43</v>
      </c>
      <c r="H307" s="0" t="n">
        <v>2.87</v>
      </c>
      <c r="I307" s="0" t="n">
        <v>667.98</v>
      </c>
      <c r="R307" s="0" t="n">
        <v>5.3</v>
      </c>
      <c r="S307" s="0" t="n">
        <v>4.86</v>
      </c>
      <c r="T307" s="0" t="n">
        <v>4.74</v>
      </c>
      <c r="U307" s="0" t="n">
        <v>4.33</v>
      </c>
      <c r="V307" s="0" t="n">
        <v>4.85</v>
      </c>
      <c r="W307" s="0" t="n">
        <v>4.06</v>
      </c>
      <c r="X307" s="0" t="n">
        <v>4.24</v>
      </c>
      <c r="Y307" s="0" t="n">
        <v>1.77</v>
      </c>
      <c r="AB307" s="0" t="n">
        <v>3.9</v>
      </c>
      <c r="AC307" s="0" t="n">
        <v>4.89</v>
      </c>
      <c r="AH307" s="0" t="n">
        <v>12.51</v>
      </c>
      <c r="AI307" s="0" t="n">
        <v>14.95</v>
      </c>
      <c r="AJ307" s="0" t="n">
        <v>8.13</v>
      </c>
      <c r="AR307" s="0" t="n">
        <v>4.93</v>
      </c>
      <c r="AS307" s="0" t="n">
        <v>4.59</v>
      </c>
      <c r="AT307" s="0" t="n">
        <v>2.53</v>
      </c>
      <c r="AU307" s="0" t="n">
        <v>9.37</v>
      </c>
    </row>
    <row r="308" customFormat="false" ht="14.25" hidden="false" customHeight="false" outlineLevel="0" collapsed="false">
      <c r="A308" s="0" t="n">
        <v>12.2</v>
      </c>
      <c r="B308" s="0" t="n">
        <v>2.91</v>
      </c>
      <c r="C308" s="0" t="n">
        <v>5.66</v>
      </c>
      <c r="D308" s="0" t="n">
        <v>9.46</v>
      </c>
      <c r="H308" s="0" t="n">
        <v>2.85</v>
      </c>
      <c r="I308" s="0" t="n">
        <v>667.99</v>
      </c>
      <c r="R308" s="0" t="n">
        <v>5.29</v>
      </c>
      <c r="S308" s="0" t="n">
        <v>4.88</v>
      </c>
      <c r="T308" s="0" t="n">
        <v>4.74</v>
      </c>
      <c r="U308" s="0" t="n">
        <v>4.33</v>
      </c>
      <c r="V308" s="0" t="n">
        <v>4.86</v>
      </c>
      <c r="W308" s="0" t="n">
        <v>4.06</v>
      </c>
      <c r="X308" s="0" t="n">
        <v>4.24</v>
      </c>
      <c r="Y308" s="0" t="n">
        <v>1.77</v>
      </c>
      <c r="AB308" s="0" t="n">
        <v>3.92</v>
      </c>
      <c r="AC308" s="0" t="n">
        <v>4.85</v>
      </c>
      <c r="AH308" s="0" t="n">
        <v>12.51</v>
      </c>
      <c r="AI308" s="0" t="n">
        <v>14.96</v>
      </c>
      <c r="AJ308" s="0" t="n">
        <v>8.15</v>
      </c>
      <c r="AR308" s="0" t="n">
        <v>4.92</v>
      </c>
      <c r="AS308" s="0" t="n">
        <v>4.56</v>
      </c>
      <c r="AT308" s="0" t="n">
        <v>2.53</v>
      </c>
      <c r="AU308" s="0" t="n">
        <v>9.38</v>
      </c>
    </row>
    <row r="309" customFormat="false" ht="14.25" hidden="false" customHeight="false" outlineLevel="0" collapsed="false">
      <c r="A309" s="0" t="n">
        <v>12.2</v>
      </c>
      <c r="B309" s="0" t="n">
        <v>2.91</v>
      </c>
      <c r="C309" s="0" t="n">
        <v>5.66</v>
      </c>
      <c r="D309" s="0" t="n">
        <v>9.44</v>
      </c>
      <c r="H309" s="0" t="n">
        <v>2.86</v>
      </c>
      <c r="I309" s="0" t="n">
        <v>667.99</v>
      </c>
      <c r="R309" s="0" t="n">
        <v>5.28</v>
      </c>
      <c r="S309" s="0" t="n">
        <v>4.86</v>
      </c>
      <c r="T309" s="0" t="n">
        <v>4.74</v>
      </c>
      <c r="U309" s="0" t="n">
        <v>4.33</v>
      </c>
      <c r="V309" s="0" t="n">
        <v>4.86</v>
      </c>
      <c r="W309" s="0" t="n">
        <v>4.06</v>
      </c>
      <c r="X309" s="0" t="n">
        <v>4.23</v>
      </c>
      <c r="Y309" s="0" t="n">
        <v>1.76</v>
      </c>
      <c r="AB309" s="0" t="n">
        <v>3.91</v>
      </c>
      <c r="AC309" s="0" t="n">
        <v>4.81</v>
      </c>
      <c r="AH309" s="0" t="n">
        <v>12.51</v>
      </c>
      <c r="AI309" s="0" t="n">
        <v>14.96</v>
      </c>
      <c r="AJ309" s="0" t="n">
        <v>8.17</v>
      </c>
      <c r="AR309" s="0" t="n">
        <v>4.93</v>
      </c>
      <c r="AS309" s="0" t="n">
        <v>4.65</v>
      </c>
      <c r="AT309" s="0" t="n">
        <v>2.53</v>
      </c>
      <c r="AU309" s="0" t="n">
        <v>9.39</v>
      </c>
    </row>
    <row r="310" customFormat="false" ht="14.25" hidden="false" customHeight="false" outlineLevel="0" collapsed="false">
      <c r="A310" s="0" t="n">
        <v>12.19</v>
      </c>
      <c r="B310" s="0" t="n">
        <v>2.89</v>
      </c>
      <c r="C310" s="0" t="n">
        <v>5.66</v>
      </c>
      <c r="D310" s="0" t="n">
        <v>9.45</v>
      </c>
      <c r="H310" s="0" t="n">
        <v>2.89</v>
      </c>
      <c r="I310" s="0" t="n">
        <v>668</v>
      </c>
      <c r="R310" s="0" t="n">
        <v>5.29</v>
      </c>
      <c r="S310" s="0" t="n">
        <v>4.88</v>
      </c>
      <c r="T310" s="0" t="n">
        <v>4.76</v>
      </c>
      <c r="U310" s="0" t="n">
        <v>4.34</v>
      </c>
      <c r="V310" s="0" t="n">
        <v>4.87</v>
      </c>
      <c r="W310" s="0" t="n">
        <v>4.06</v>
      </c>
      <c r="X310" s="0" t="n">
        <v>4.24</v>
      </c>
      <c r="Y310" s="0" t="n">
        <v>1.76</v>
      </c>
      <c r="AB310" s="0" t="n">
        <v>3.9</v>
      </c>
      <c r="AC310" s="0" t="n">
        <v>4.84</v>
      </c>
      <c r="AH310" s="0" t="n">
        <v>12.5</v>
      </c>
      <c r="AI310" s="0" t="n">
        <v>14.96</v>
      </c>
      <c r="AJ310" s="0" t="n">
        <v>8.18</v>
      </c>
      <c r="AR310" s="0" t="n">
        <v>4.93</v>
      </c>
      <c r="AS310" s="0" t="n">
        <v>4.65</v>
      </c>
      <c r="AT310" s="0" t="n">
        <v>2.55</v>
      </c>
      <c r="AU310" s="0" t="n">
        <v>9.38</v>
      </c>
    </row>
    <row r="311" customFormat="false" ht="14.25" hidden="false" customHeight="false" outlineLevel="0" collapsed="false">
      <c r="A311" s="0" t="n">
        <v>12.19</v>
      </c>
      <c r="B311" s="0" t="n">
        <v>2.9</v>
      </c>
      <c r="C311" s="0" t="n">
        <v>5.66</v>
      </c>
      <c r="D311" s="0" t="n">
        <v>9.45</v>
      </c>
      <c r="H311" s="0" t="n">
        <v>2.82</v>
      </c>
      <c r="I311" s="0" t="n">
        <v>668</v>
      </c>
      <c r="R311" s="0" t="n">
        <v>5.28</v>
      </c>
      <c r="S311" s="0" t="n">
        <v>4.89</v>
      </c>
      <c r="T311" s="0" t="n">
        <v>4.76</v>
      </c>
      <c r="U311" s="0" t="n">
        <v>4.34</v>
      </c>
      <c r="V311" s="0" t="n">
        <v>4.88</v>
      </c>
      <c r="W311" s="0" t="n">
        <v>4.06</v>
      </c>
      <c r="X311" s="0" t="n">
        <v>4.24</v>
      </c>
      <c r="Y311" s="0" t="n">
        <v>1.76</v>
      </c>
      <c r="AB311" s="0" t="n">
        <v>3.92</v>
      </c>
      <c r="AC311" s="0" t="n">
        <v>4.84</v>
      </c>
      <c r="AH311" s="0" t="n">
        <v>12.5</v>
      </c>
      <c r="AI311" s="0" t="n">
        <v>14.97</v>
      </c>
      <c r="AJ311" s="0" t="n">
        <v>8.2</v>
      </c>
      <c r="AR311" s="0" t="n">
        <v>4.92</v>
      </c>
      <c r="AS311" s="0" t="n">
        <v>4.65</v>
      </c>
      <c r="AT311" s="0" t="n">
        <v>2.55</v>
      </c>
      <c r="AU311" s="0" t="n">
        <v>9.37</v>
      </c>
    </row>
    <row r="312" customFormat="false" ht="14.25" hidden="false" customHeight="false" outlineLevel="0" collapsed="false">
      <c r="A312" s="0" t="n">
        <v>12.19</v>
      </c>
      <c r="B312" s="0" t="n">
        <v>2.89</v>
      </c>
      <c r="C312" s="0" t="n">
        <v>5.65</v>
      </c>
      <c r="D312" s="0" t="n">
        <v>9.45</v>
      </c>
      <c r="H312" s="0" t="n">
        <v>2.82</v>
      </c>
      <c r="I312" s="0" t="n">
        <v>668</v>
      </c>
      <c r="R312" s="0" t="n">
        <v>5.28</v>
      </c>
      <c r="S312" s="0" t="n">
        <v>4.86</v>
      </c>
      <c r="T312" s="0" t="n">
        <v>4.78</v>
      </c>
      <c r="U312" s="0" t="n">
        <v>4.35</v>
      </c>
      <c r="V312" s="0" t="n">
        <v>4.89</v>
      </c>
      <c r="W312" s="0" t="n">
        <v>4.04</v>
      </c>
      <c r="X312" s="0" t="n">
        <v>4.24</v>
      </c>
      <c r="Y312" s="0" t="n">
        <v>1.74</v>
      </c>
      <c r="AB312" s="0" t="n">
        <v>3.9</v>
      </c>
      <c r="AC312" s="0" t="n">
        <v>4.83</v>
      </c>
      <c r="AH312" s="0" t="n">
        <v>12.5</v>
      </c>
      <c r="AI312" s="0" t="n">
        <v>14.96</v>
      </c>
      <c r="AJ312" s="0" t="n">
        <v>8.22</v>
      </c>
      <c r="AR312" s="0" t="n">
        <v>4.92</v>
      </c>
      <c r="AS312" s="0" t="n">
        <v>4.65</v>
      </c>
      <c r="AT312" s="0" t="n">
        <v>2.55</v>
      </c>
      <c r="AU312" s="0" t="n">
        <v>9.4</v>
      </c>
    </row>
    <row r="313" customFormat="false" ht="14.25" hidden="false" customHeight="false" outlineLevel="0" collapsed="false">
      <c r="A313" s="0" t="n">
        <v>12.19</v>
      </c>
      <c r="B313" s="0" t="n">
        <v>2.89</v>
      </c>
      <c r="C313" s="0" t="n">
        <v>5.65</v>
      </c>
      <c r="D313" s="0" t="n">
        <v>9.45</v>
      </c>
      <c r="H313" s="0" t="n">
        <v>2.86</v>
      </c>
      <c r="I313" s="0" t="n">
        <v>668</v>
      </c>
      <c r="R313" s="0" t="n">
        <v>5.29</v>
      </c>
      <c r="S313" s="0" t="n">
        <v>4.87</v>
      </c>
      <c r="T313" s="0" t="n">
        <v>4.75</v>
      </c>
      <c r="U313" s="0" t="n">
        <v>4.35</v>
      </c>
      <c r="V313" s="0" t="n">
        <v>4.89</v>
      </c>
      <c r="W313" s="0" t="n">
        <v>4.08</v>
      </c>
      <c r="X313" s="0" t="n">
        <v>4.24</v>
      </c>
      <c r="Y313" s="0" t="n">
        <v>1.75</v>
      </c>
      <c r="AB313" s="0" t="n">
        <v>3.9</v>
      </c>
      <c r="AC313" s="0" t="n">
        <v>4.83</v>
      </c>
      <c r="AH313" s="0" t="n">
        <v>12.51</v>
      </c>
      <c r="AI313" s="0" t="n">
        <v>14.97</v>
      </c>
      <c r="AJ313" s="0" t="n">
        <v>8.24</v>
      </c>
      <c r="AR313" s="0" t="n">
        <v>4.93</v>
      </c>
      <c r="AS313" s="0" t="n">
        <v>4.66</v>
      </c>
      <c r="AT313" s="0" t="n">
        <v>2.56</v>
      </c>
      <c r="AU313" s="0" t="n">
        <v>9.4</v>
      </c>
    </row>
    <row r="314" customFormat="false" ht="14.25" hidden="false" customHeight="false" outlineLevel="0" collapsed="false">
      <c r="A314" s="0" t="n">
        <v>12.18</v>
      </c>
      <c r="B314" s="0" t="n">
        <v>2.9</v>
      </c>
      <c r="C314" s="0" t="n">
        <v>5.65</v>
      </c>
      <c r="D314" s="0" t="n">
        <v>9.44</v>
      </c>
      <c r="H314" s="0" t="n">
        <v>2.83</v>
      </c>
      <c r="I314" s="0" t="n">
        <v>668</v>
      </c>
      <c r="R314" s="0" t="n">
        <v>5.29</v>
      </c>
      <c r="S314" s="0" t="n">
        <v>4.89</v>
      </c>
      <c r="T314" s="0" t="n">
        <v>4.77</v>
      </c>
      <c r="U314" s="0" t="n">
        <v>4.36</v>
      </c>
      <c r="V314" s="0" t="n">
        <v>4.9</v>
      </c>
      <c r="W314" s="0" t="n">
        <v>4.11</v>
      </c>
      <c r="X314" s="0" t="n">
        <v>4.23</v>
      </c>
      <c r="Y314" s="0" t="n">
        <v>1.75</v>
      </c>
      <c r="AB314" s="0" t="n">
        <v>3.91</v>
      </c>
      <c r="AC314" s="0" t="n">
        <v>4.83</v>
      </c>
      <c r="AH314" s="0" t="n">
        <v>12.51</v>
      </c>
      <c r="AI314" s="0" t="n">
        <v>14.97</v>
      </c>
      <c r="AJ314" s="0" t="n">
        <v>8.25</v>
      </c>
      <c r="AR314" s="0" t="n">
        <v>4.92</v>
      </c>
      <c r="AS314" s="0" t="n">
        <v>4.66</v>
      </c>
      <c r="AT314" s="0" t="n">
        <v>2.56</v>
      </c>
      <c r="AU314" s="0" t="n">
        <v>9.39</v>
      </c>
    </row>
    <row r="315" customFormat="false" ht="14.25" hidden="false" customHeight="false" outlineLevel="0" collapsed="false">
      <c r="A315" s="0" t="n">
        <v>12.19</v>
      </c>
      <c r="B315" s="0" t="n">
        <v>2.88</v>
      </c>
      <c r="C315" s="0" t="n">
        <v>5.65</v>
      </c>
      <c r="D315" s="0" t="n">
        <v>9.47</v>
      </c>
      <c r="H315" s="0" t="n">
        <v>2.91</v>
      </c>
      <c r="I315" s="0" t="n">
        <v>667.99</v>
      </c>
      <c r="R315" s="0" t="n">
        <v>5.29</v>
      </c>
      <c r="S315" s="0" t="n">
        <v>4.87</v>
      </c>
      <c r="T315" s="0" t="n">
        <v>4.76</v>
      </c>
      <c r="U315" s="0" t="n">
        <v>4.36</v>
      </c>
      <c r="V315" s="0" t="n">
        <v>4.91</v>
      </c>
      <c r="W315" s="0" t="n">
        <v>4.07</v>
      </c>
      <c r="X315" s="0" t="n">
        <v>4.23</v>
      </c>
      <c r="Y315" s="0" t="n">
        <v>1.74</v>
      </c>
      <c r="AB315" s="0" t="n">
        <v>3.9</v>
      </c>
      <c r="AC315" s="0" t="n">
        <v>4.83</v>
      </c>
      <c r="AH315" s="0" t="n">
        <v>12.51</v>
      </c>
      <c r="AI315" s="0" t="n">
        <v>14.97</v>
      </c>
      <c r="AJ315" s="0" t="n">
        <v>8.27</v>
      </c>
      <c r="AR315" s="0" t="n">
        <v>4.93</v>
      </c>
      <c r="AS315" s="0" t="n">
        <v>4.66</v>
      </c>
      <c r="AT315" s="0" t="n">
        <v>2.57</v>
      </c>
      <c r="AU315" s="0" t="n">
        <v>9.4</v>
      </c>
    </row>
    <row r="316" customFormat="false" ht="14.25" hidden="false" customHeight="false" outlineLevel="0" collapsed="false">
      <c r="A316" s="0" t="n">
        <v>12.18</v>
      </c>
      <c r="B316" s="0" t="n">
        <v>2.88</v>
      </c>
      <c r="C316" s="0" t="n">
        <v>5.65</v>
      </c>
      <c r="D316" s="0" t="n">
        <v>9.45</v>
      </c>
      <c r="H316" s="0" t="n">
        <v>2.87</v>
      </c>
      <c r="I316" s="0" t="n">
        <v>667.99</v>
      </c>
      <c r="R316" s="0" t="n">
        <v>5.29</v>
      </c>
      <c r="S316" s="0" t="n">
        <v>4.86</v>
      </c>
      <c r="T316" s="0" t="n">
        <v>4.76</v>
      </c>
      <c r="U316" s="0" t="n">
        <v>4.36</v>
      </c>
      <c r="V316" s="0" t="n">
        <v>4.92</v>
      </c>
      <c r="W316" s="0" t="n">
        <v>4.08</v>
      </c>
      <c r="X316" s="0" t="n">
        <v>4.24</v>
      </c>
      <c r="Y316" s="0" t="n">
        <v>1.74</v>
      </c>
      <c r="AB316" s="0" t="n">
        <v>3.9</v>
      </c>
      <c r="AC316" s="0" t="n">
        <v>4.83</v>
      </c>
      <c r="AH316" s="0" t="n">
        <v>12.52</v>
      </c>
      <c r="AI316" s="0" t="n">
        <v>14.97</v>
      </c>
      <c r="AJ316" s="0" t="n">
        <v>8.29</v>
      </c>
      <c r="AR316" s="0" t="n">
        <v>4.94</v>
      </c>
      <c r="AS316" s="0" t="n">
        <v>4.67</v>
      </c>
      <c r="AT316" s="0" t="n">
        <v>2.59</v>
      </c>
      <c r="AU316" s="0" t="n">
        <v>9.38</v>
      </c>
    </row>
    <row r="317" customFormat="false" ht="14.25" hidden="false" customHeight="false" outlineLevel="0" collapsed="false">
      <c r="A317" s="0" t="n">
        <v>12.18</v>
      </c>
      <c r="B317" s="0" t="n">
        <v>2.87</v>
      </c>
      <c r="C317" s="0" t="n">
        <v>5.65</v>
      </c>
      <c r="D317" s="0" t="n">
        <v>9.47</v>
      </c>
      <c r="H317" s="0" t="n">
        <v>2.85</v>
      </c>
      <c r="I317" s="0" t="n">
        <v>667.99</v>
      </c>
      <c r="R317" s="0" t="n">
        <v>5.3</v>
      </c>
      <c r="S317" s="0" t="n">
        <v>4.87</v>
      </c>
      <c r="T317" s="0" t="n">
        <v>4.75</v>
      </c>
      <c r="U317" s="0" t="n">
        <v>4.37</v>
      </c>
      <c r="V317" s="0" t="n">
        <v>4.94</v>
      </c>
      <c r="W317" s="0" t="n">
        <v>4.08</v>
      </c>
      <c r="X317" s="0" t="n">
        <v>4.24</v>
      </c>
      <c r="Y317" s="0" t="n">
        <v>1.74</v>
      </c>
      <c r="AB317" s="0" t="n">
        <v>3.91</v>
      </c>
      <c r="AC317" s="0" t="n">
        <v>4.81</v>
      </c>
      <c r="AH317" s="0" t="n">
        <v>12.5</v>
      </c>
      <c r="AI317" s="0" t="n">
        <v>14.98</v>
      </c>
      <c r="AJ317" s="0" t="n">
        <v>8.32</v>
      </c>
      <c r="AR317" s="0" t="n">
        <v>4.93</v>
      </c>
      <c r="AS317" s="0" t="n">
        <v>4.68</v>
      </c>
      <c r="AT317" s="0" t="n">
        <v>2.59</v>
      </c>
      <c r="AU317" s="0" t="n">
        <v>9.4</v>
      </c>
    </row>
    <row r="318" customFormat="false" ht="14.25" hidden="false" customHeight="false" outlineLevel="0" collapsed="false">
      <c r="A318" s="0" t="n">
        <v>12.16</v>
      </c>
      <c r="B318" s="0" t="n">
        <v>2.88</v>
      </c>
      <c r="C318" s="0" t="n">
        <v>5.65</v>
      </c>
      <c r="D318" s="0" t="n">
        <v>9.45</v>
      </c>
      <c r="H318" s="0" t="n">
        <v>2.88</v>
      </c>
      <c r="I318" s="0" t="n">
        <v>667.99</v>
      </c>
      <c r="R318" s="0" t="n">
        <v>5.29</v>
      </c>
      <c r="S318" s="0" t="n">
        <v>4.88</v>
      </c>
      <c r="T318" s="0" t="n">
        <v>4.75</v>
      </c>
      <c r="U318" s="0" t="n">
        <v>4.38</v>
      </c>
      <c r="V318" s="0" t="n">
        <v>4.96</v>
      </c>
      <c r="W318" s="0" t="n">
        <v>4.08</v>
      </c>
      <c r="X318" s="0" t="n">
        <v>4.24</v>
      </c>
      <c r="Y318" s="0" t="n">
        <v>1.74</v>
      </c>
      <c r="AB318" s="0" t="n">
        <v>3.91</v>
      </c>
      <c r="AC318" s="0" t="n">
        <v>4.81</v>
      </c>
      <c r="AH318" s="0" t="n">
        <v>12.51</v>
      </c>
      <c r="AI318" s="0" t="n">
        <v>14.98</v>
      </c>
      <c r="AJ318" s="0" t="n">
        <v>8.33</v>
      </c>
      <c r="AR318" s="0" t="n">
        <v>4.94</v>
      </c>
      <c r="AS318" s="0" t="n">
        <v>4.69</v>
      </c>
      <c r="AT318" s="0" t="n">
        <v>2.6</v>
      </c>
      <c r="AU318" s="0" t="n">
        <v>9.38</v>
      </c>
    </row>
    <row r="319" customFormat="false" ht="14.25" hidden="false" customHeight="false" outlineLevel="0" collapsed="false">
      <c r="A319" s="0" t="n">
        <v>12.18</v>
      </c>
      <c r="B319" s="0" t="n">
        <v>2.89</v>
      </c>
      <c r="C319" s="0" t="n">
        <v>5.65</v>
      </c>
      <c r="D319" s="0" t="n">
        <v>9.46</v>
      </c>
      <c r="H319" s="0" t="n">
        <v>2.86</v>
      </c>
      <c r="I319" s="0" t="n">
        <v>668</v>
      </c>
      <c r="R319" s="0" t="n">
        <v>5.29</v>
      </c>
      <c r="S319" s="0" t="n">
        <v>4.86</v>
      </c>
      <c r="T319" s="0" t="n">
        <v>4.76</v>
      </c>
      <c r="U319" s="0" t="n">
        <v>4.38</v>
      </c>
      <c r="V319" s="0" t="n">
        <v>5.01</v>
      </c>
      <c r="W319" s="0" t="n">
        <v>4.09</v>
      </c>
      <c r="X319" s="0" t="n">
        <v>4.24</v>
      </c>
      <c r="Y319" s="0" t="n">
        <v>1.74</v>
      </c>
      <c r="AB319" s="0" t="n">
        <v>3.92</v>
      </c>
      <c r="AC319" s="0" t="n">
        <v>4.81</v>
      </c>
      <c r="AH319" s="0" t="n">
        <v>12.5</v>
      </c>
      <c r="AI319" s="0" t="n">
        <v>14.98</v>
      </c>
      <c r="AJ319" s="0" t="n">
        <v>8.34</v>
      </c>
      <c r="AR319" s="0" t="n">
        <v>4.93</v>
      </c>
      <c r="AS319" s="0" t="n">
        <v>4.69</v>
      </c>
      <c r="AT319" s="0" t="n">
        <v>2.59</v>
      </c>
      <c r="AU319" s="0" t="n">
        <v>9.36</v>
      </c>
    </row>
    <row r="320" customFormat="false" ht="14.25" hidden="false" customHeight="false" outlineLevel="0" collapsed="false">
      <c r="A320" s="0" t="n">
        <v>12.16</v>
      </c>
      <c r="B320" s="0" t="n">
        <v>2.88</v>
      </c>
      <c r="C320" s="0" t="n">
        <v>5.64</v>
      </c>
      <c r="D320" s="0" t="n">
        <v>9.46</v>
      </c>
      <c r="H320" s="0" t="n">
        <v>2.86</v>
      </c>
      <c r="I320" s="0" t="n">
        <v>668</v>
      </c>
      <c r="R320" s="0" t="n">
        <v>5.3</v>
      </c>
      <c r="S320" s="0" t="n">
        <v>4.87</v>
      </c>
      <c r="T320" s="0" t="n">
        <v>4.76</v>
      </c>
      <c r="U320" s="0" t="n">
        <v>4.38</v>
      </c>
      <c r="V320" s="0" t="n">
        <v>5.01</v>
      </c>
      <c r="W320" s="0" t="n">
        <v>4.09</v>
      </c>
      <c r="X320" s="0" t="n">
        <v>4.24</v>
      </c>
      <c r="Y320" s="0" t="n">
        <v>1.69</v>
      </c>
      <c r="AB320" s="0" t="n">
        <v>3.78</v>
      </c>
      <c r="AC320" s="0" t="n">
        <v>4.82</v>
      </c>
      <c r="AH320" s="0" t="n">
        <v>12.51</v>
      </c>
      <c r="AI320" s="0" t="n">
        <v>14.99</v>
      </c>
      <c r="AJ320" s="0" t="n">
        <v>8.35</v>
      </c>
      <c r="AR320" s="0" t="n">
        <v>4.95</v>
      </c>
      <c r="AS320" s="0" t="n">
        <v>4.69</v>
      </c>
      <c r="AT320" s="0" t="n">
        <v>2.6</v>
      </c>
      <c r="AU320" s="0" t="n">
        <v>9.4</v>
      </c>
    </row>
    <row r="321" customFormat="false" ht="14.25" hidden="false" customHeight="false" outlineLevel="0" collapsed="false">
      <c r="A321" s="0" t="n">
        <v>12.17</v>
      </c>
      <c r="B321" s="0" t="n">
        <v>2.85</v>
      </c>
      <c r="C321" s="0" t="n">
        <v>5.64</v>
      </c>
      <c r="D321" s="0" t="n">
        <v>9.46</v>
      </c>
      <c r="H321" s="0" t="n">
        <v>2.86</v>
      </c>
      <c r="I321" s="0" t="n">
        <v>667.99</v>
      </c>
      <c r="R321" s="0" t="n">
        <v>5.3</v>
      </c>
      <c r="S321" s="0" t="n">
        <v>4.87</v>
      </c>
      <c r="T321" s="0" t="n">
        <v>4.76</v>
      </c>
      <c r="U321" s="0" t="n">
        <v>4.39</v>
      </c>
      <c r="V321" s="0" t="n">
        <v>5.02</v>
      </c>
      <c r="W321" s="0" t="n">
        <v>4.08</v>
      </c>
      <c r="X321" s="0" t="n">
        <v>4.24</v>
      </c>
      <c r="Y321" s="0" t="n">
        <v>1.73</v>
      </c>
      <c r="AB321" s="0" t="n">
        <v>3.92</v>
      </c>
      <c r="AC321" s="0" t="n">
        <v>4.84</v>
      </c>
      <c r="AH321" s="0" t="n">
        <v>12.51</v>
      </c>
      <c r="AI321" s="0" t="n">
        <v>14.99</v>
      </c>
      <c r="AJ321" s="0" t="n">
        <v>8.38</v>
      </c>
      <c r="AR321" s="0" t="n">
        <v>4.93</v>
      </c>
      <c r="AS321" s="0" t="n">
        <v>4.7</v>
      </c>
      <c r="AT321" s="0" t="n">
        <v>2.61</v>
      </c>
      <c r="AU321" s="0" t="n">
        <v>9.37</v>
      </c>
    </row>
    <row r="322" customFormat="false" ht="14.25" hidden="false" customHeight="false" outlineLevel="0" collapsed="false">
      <c r="A322" s="0" t="n">
        <v>12.16</v>
      </c>
      <c r="B322" s="0" t="n">
        <v>2.87</v>
      </c>
      <c r="C322" s="0" t="n">
        <v>5.64</v>
      </c>
      <c r="D322" s="0" t="n">
        <v>9.46</v>
      </c>
      <c r="H322" s="0" t="n">
        <v>2.83</v>
      </c>
      <c r="I322" s="0" t="n">
        <v>668</v>
      </c>
      <c r="R322" s="0" t="n">
        <v>5.3</v>
      </c>
      <c r="S322" s="0" t="n">
        <v>4.88</v>
      </c>
      <c r="T322" s="0" t="n">
        <v>4.76</v>
      </c>
      <c r="U322" s="0" t="n">
        <v>4.41</v>
      </c>
      <c r="V322" s="0" t="n">
        <v>5.01</v>
      </c>
      <c r="W322" s="0" t="n">
        <v>4.07</v>
      </c>
      <c r="X322" s="0" t="n">
        <v>4.24</v>
      </c>
      <c r="Y322" s="0" t="n">
        <v>1.73</v>
      </c>
      <c r="AB322" s="0" t="n">
        <v>3.92</v>
      </c>
      <c r="AC322" s="0" t="n">
        <v>4.83</v>
      </c>
      <c r="AH322" s="0" t="n">
        <v>12.5</v>
      </c>
      <c r="AI322" s="0" t="n">
        <v>15</v>
      </c>
      <c r="AJ322" s="0" t="n">
        <v>8.38</v>
      </c>
      <c r="AR322" s="0" t="n">
        <v>4.93</v>
      </c>
      <c r="AS322" s="0" t="n">
        <v>4.7</v>
      </c>
      <c r="AT322" s="0" t="n">
        <v>2.62</v>
      </c>
      <c r="AU322" s="0" t="n">
        <v>9.38</v>
      </c>
    </row>
    <row r="323" customFormat="false" ht="14.25" hidden="false" customHeight="false" outlineLevel="0" collapsed="false">
      <c r="A323" s="0" t="n">
        <v>12.16</v>
      </c>
      <c r="B323" s="0" t="n">
        <v>2.88</v>
      </c>
      <c r="C323" s="0" t="n">
        <v>5.63</v>
      </c>
      <c r="D323" s="0" t="n">
        <v>9.47</v>
      </c>
      <c r="H323" s="0" t="n">
        <v>2.84</v>
      </c>
      <c r="I323" s="0" t="n">
        <v>668.01</v>
      </c>
      <c r="R323" s="0" t="n">
        <v>5.29</v>
      </c>
      <c r="S323" s="0" t="n">
        <v>4.86</v>
      </c>
      <c r="T323" s="0" t="n">
        <v>4.77</v>
      </c>
      <c r="U323" s="0" t="n">
        <v>4.4</v>
      </c>
      <c r="V323" s="0" t="n">
        <v>5.02</v>
      </c>
      <c r="W323" s="0" t="n">
        <v>4.09</v>
      </c>
      <c r="X323" s="0" t="n">
        <v>4.24</v>
      </c>
      <c r="Y323" s="0" t="n">
        <v>1.72</v>
      </c>
      <c r="AB323" s="0" t="n">
        <v>3.85</v>
      </c>
      <c r="AC323" s="0" t="n">
        <v>4.81</v>
      </c>
      <c r="AH323" s="0" t="n">
        <v>12.5</v>
      </c>
      <c r="AI323" s="0" t="n">
        <v>15</v>
      </c>
      <c r="AJ323" s="0" t="n">
        <v>8.38</v>
      </c>
      <c r="AR323" s="0" t="n">
        <v>4.93</v>
      </c>
      <c r="AS323" s="0" t="n">
        <v>4.72</v>
      </c>
      <c r="AT323" s="0" t="n">
        <v>2.61</v>
      </c>
      <c r="AU323" s="0" t="n">
        <v>9.37</v>
      </c>
    </row>
    <row r="324" customFormat="false" ht="14.25" hidden="false" customHeight="false" outlineLevel="0" collapsed="false">
      <c r="A324" s="0" t="n">
        <v>12.15</v>
      </c>
      <c r="B324" s="0" t="n">
        <v>2.86</v>
      </c>
      <c r="C324" s="0" t="n">
        <v>5.63</v>
      </c>
      <c r="D324" s="0" t="n">
        <v>9.45</v>
      </c>
      <c r="H324" s="0" t="n">
        <v>2.83</v>
      </c>
      <c r="I324" s="0" t="n">
        <v>668.01</v>
      </c>
      <c r="R324" s="0" t="n">
        <v>5.28</v>
      </c>
      <c r="S324" s="0" t="n">
        <v>4.85</v>
      </c>
      <c r="T324" s="0" t="n">
        <v>4.76</v>
      </c>
      <c r="U324" s="0" t="n">
        <v>4.41</v>
      </c>
      <c r="V324" s="0" t="n">
        <v>5.01</v>
      </c>
      <c r="W324" s="0" t="n">
        <v>4.1</v>
      </c>
      <c r="X324" s="0" t="n">
        <v>4.24</v>
      </c>
      <c r="Y324" s="0" t="n">
        <v>1.65</v>
      </c>
      <c r="AB324" s="0" t="n">
        <v>3.89</v>
      </c>
      <c r="AC324" s="0" t="n">
        <v>4.83</v>
      </c>
      <c r="AH324" s="0" t="n">
        <v>12.49</v>
      </c>
      <c r="AI324" s="0" t="n">
        <v>15</v>
      </c>
      <c r="AJ324" s="0" t="n">
        <v>8.4</v>
      </c>
      <c r="AR324" s="0" t="n">
        <v>4.92</v>
      </c>
      <c r="AS324" s="0" t="n">
        <v>4.72</v>
      </c>
      <c r="AT324" s="0" t="n">
        <v>2.63</v>
      </c>
      <c r="AU324" s="0" t="n">
        <v>9.37</v>
      </c>
    </row>
    <row r="325" customFormat="false" ht="14.25" hidden="false" customHeight="false" outlineLevel="0" collapsed="false">
      <c r="A325" s="0" t="n">
        <v>12.15</v>
      </c>
      <c r="B325" s="0" t="n">
        <v>2.89</v>
      </c>
      <c r="C325" s="0" t="n">
        <v>5.63</v>
      </c>
      <c r="D325" s="0" t="n">
        <v>9.46</v>
      </c>
      <c r="H325" s="0" t="n">
        <v>2.9</v>
      </c>
      <c r="I325" s="0" t="n">
        <v>668.03</v>
      </c>
      <c r="R325" s="0" t="n">
        <v>5.3</v>
      </c>
      <c r="S325" s="0" t="n">
        <v>4.87</v>
      </c>
      <c r="T325" s="0" t="n">
        <v>4.75</v>
      </c>
      <c r="U325" s="0" t="n">
        <v>4.41</v>
      </c>
      <c r="V325" s="0" t="n">
        <v>5.02</v>
      </c>
      <c r="W325" s="0" t="n">
        <v>4.09</v>
      </c>
      <c r="X325" s="0" t="n">
        <v>4.24</v>
      </c>
      <c r="Y325" s="0" t="n">
        <v>1.73</v>
      </c>
      <c r="AB325" s="0" t="n">
        <v>3.89</v>
      </c>
      <c r="AC325" s="0" t="n">
        <v>4.83</v>
      </c>
      <c r="AH325" s="0" t="n">
        <v>12.49</v>
      </c>
      <c r="AI325" s="0" t="n">
        <v>15</v>
      </c>
      <c r="AJ325" s="0" t="n">
        <v>8.41</v>
      </c>
      <c r="AR325" s="0" t="n">
        <v>4.94</v>
      </c>
      <c r="AS325" s="0" t="n">
        <v>4.73</v>
      </c>
      <c r="AT325" s="0" t="n">
        <v>2.63</v>
      </c>
      <c r="AU325" s="0" t="n">
        <v>9.37</v>
      </c>
    </row>
    <row r="326" customFormat="false" ht="14.25" hidden="false" customHeight="false" outlineLevel="0" collapsed="false">
      <c r="A326" s="0" t="n">
        <v>12.14</v>
      </c>
      <c r="B326" s="0" t="n">
        <v>2.89</v>
      </c>
      <c r="C326" s="0" t="n">
        <v>5.63</v>
      </c>
      <c r="D326" s="0" t="n">
        <v>9.45</v>
      </c>
      <c r="H326" s="0" t="n">
        <v>2.88</v>
      </c>
      <c r="I326" s="0" t="n">
        <v>668.03</v>
      </c>
      <c r="R326" s="0" t="n">
        <v>5.29</v>
      </c>
      <c r="S326" s="0" t="n">
        <v>4.87</v>
      </c>
      <c r="T326" s="0" t="n">
        <v>4.74</v>
      </c>
      <c r="U326" s="0" t="n">
        <v>4.41</v>
      </c>
      <c r="V326" s="0" t="n">
        <v>5.02</v>
      </c>
      <c r="W326" s="0" t="n">
        <v>4.09</v>
      </c>
      <c r="X326" s="0" t="n">
        <v>4.24</v>
      </c>
      <c r="Y326" s="0" t="n">
        <v>1.75</v>
      </c>
      <c r="AB326" s="0" t="n">
        <v>3.86</v>
      </c>
      <c r="AC326" s="0" t="n">
        <v>4.82</v>
      </c>
      <c r="AH326" s="0" t="n">
        <v>12.49</v>
      </c>
      <c r="AI326" s="0" t="n">
        <v>15</v>
      </c>
      <c r="AJ326" s="0" t="n">
        <v>8.43</v>
      </c>
      <c r="AR326" s="0" t="n">
        <v>4.92</v>
      </c>
      <c r="AS326" s="0" t="n">
        <v>4.73</v>
      </c>
      <c r="AT326" s="0" t="n">
        <v>2.63</v>
      </c>
      <c r="AU326" s="0" t="n">
        <v>9.36</v>
      </c>
    </row>
    <row r="327" customFormat="false" ht="14.25" hidden="false" customHeight="false" outlineLevel="0" collapsed="false">
      <c r="A327" s="0" t="n">
        <v>12.16</v>
      </c>
      <c r="B327" s="0" t="n">
        <v>2.89</v>
      </c>
      <c r="C327" s="0" t="n">
        <v>5.63</v>
      </c>
      <c r="D327" s="0" t="n">
        <v>9.47</v>
      </c>
      <c r="H327" s="0" t="n">
        <v>2.88</v>
      </c>
      <c r="I327" s="0" t="n">
        <v>668.03</v>
      </c>
      <c r="R327" s="0" t="n">
        <v>5.29</v>
      </c>
      <c r="S327" s="0" t="n">
        <v>4.87</v>
      </c>
      <c r="T327" s="0" t="n">
        <v>4.73</v>
      </c>
      <c r="U327" s="0" t="n">
        <v>4.41</v>
      </c>
      <c r="V327" s="0" t="n">
        <v>5.02</v>
      </c>
      <c r="W327" s="0" t="n">
        <v>4.1</v>
      </c>
      <c r="X327" s="0" t="n">
        <v>4.25</v>
      </c>
      <c r="Y327" s="0" t="n">
        <v>1.74</v>
      </c>
      <c r="AB327" s="0" t="n">
        <v>3.91</v>
      </c>
      <c r="AC327" s="0" t="n">
        <v>4.83</v>
      </c>
      <c r="AH327" s="0" t="n">
        <v>12.5</v>
      </c>
      <c r="AI327" s="0" t="n">
        <v>15</v>
      </c>
      <c r="AJ327" s="0" t="n">
        <v>8.4</v>
      </c>
      <c r="AR327" s="0" t="n">
        <v>4.94</v>
      </c>
      <c r="AS327" s="0" t="n">
        <v>4.74</v>
      </c>
      <c r="AT327" s="0" t="n">
        <v>2.64</v>
      </c>
      <c r="AU327" s="0" t="n">
        <v>9.35</v>
      </c>
    </row>
    <row r="328" customFormat="false" ht="14.25" hidden="false" customHeight="false" outlineLevel="0" collapsed="false">
      <c r="A328" s="0" t="n">
        <v>12.17</v>
      </c>
      <c r="B328" s="0" t="n">
        <v>2.86</v>
      </c>
      <c r="C328" s="0" t="n">
        <v>5.63</v>
      </c>
      <c r="D328" s="0" t="n">
        <v>9.47</v>
      </c>
      <c r="H328" s="0" t="n">
        <v>2.87</v>
      </c>
      <c r="I328" s="0" t="n">
        <v>668.01</v>
      </c>
      <c r="R328" s="0" t="n">
        <v>5.3</v>
      </c>
      <c r="S328" s="0" t="n">
        <v>4.87</v>
      </c>
      <c r="T328" s="0" t="n">
        <v>4.74</v>
      </c>
      <c r="U328" s="0" t="n">
        <v>4.42</v>
      </c>
      <c r="V328" s="0" t="n">
        <v>5.02</v>
      </c>
      <c r="W328" s="0" t="n">
        <v>4.08</v>
      </c>
      <c r="X328" s="0" t="n">
        <v>4.24</v>
      </c>
      <c r="Y328" s="0" t="n">
        <v>1.73</v>
      </c>
      <c r="AB328" s="0" t="n">
        <v>3.82</v>
      </c>
      <c r="AC328" s="0" t="n">
        <v>4.82</v>
      </c>
      <c r="AH328" s="0" t="n">
        <v>12.49</v>
      </c>
      <c r="AI328" s="0" t="n">
        <v>15.02</v>
      </c>
      <c r="AJ328" s="0" t="n">
        <v>8.44</v>
      </c>
      <c r="AR328" s="0" t="n">
        <v>4.92</v>
      </c>
      <c r="AS328" s="0" t="n">
        <v>4.75</v>
      </c>
      <c r="AT328" s="0" t="n">
        <v>2.64</v>
      </c>
      <c r="AU328" s="0" t="n">
        <v>9.35</v>
      </c>
    </row>
    <row r="329" customFormat="false" ht="14.25" hidden="false" customHeight="false" outlineLevel="0" collapsed="false">
      <c r="A329" s="0" t="n">
        <v>12.15</v>
      </c>
      <c r="B329" s="0" t="n">
        <v>2.86</v>
      </c>
      <c r="C329" s="0" t="n">
        <v>5.63</v>
      </c>
      <c r="D329" s="0" t="n">
        <v>9.48</v>
      </c>
      <c r="H329" s="0" t="n">
        <v>2.82</v>
      </c>
      <c r="I329" s="0" t="n">
        <v>668.01</v>
      </c>
      <c r="R329" s="0" t="n">
        <v>5.3</v>
      </c>
      <c r="S329" s="0" t="n">
        <v>4.87</v>
      </c>
      <c r="T329" s="0" t="n">
        <v>4.74</v>
      </c>
      <c r="U329" s="0" t="n">
        <v>4.42</v>
      </c>
      <c r="V329" s="0" t="n">
        <v>5.02</v>
      </c>
      <c r="W329" s="0" t="n">
        <v>4.1</v>
      </c>
      <c r="X329" s="0" t="n">
        <v>4.24</v>
      </c>
      <c r="Y329" s="0" t="n">
        <v>1.76</v>
      </c>
      <c r="AB329" s="0" t="n">
        <v>3.88</v>
      </c>
      <c r="AC329" s="0" t="n">
        <v>4.83</v>
      </c>
      <c r="AH329" s="0" t="n">
        <v>12.5</v>
      </c>
      <c r="AI329" s="0" t="n">
        <v>15.02</v>
      </c>
      <c r="AJ329" s="0" t="n">
        <v>8.48</v>
      </c>
      <c r="AR329" s="0" t="n">
        <v>4.94</v>
      </c>
      <c r="AS329" s="0" t="n">
        <v>4.75</v>
      </c>
      <c r="AT329" s="0" t="n">
        <v>2.65</v>
      </c>
      <c r="AU329" s="0" t="n">
        <v>9.32</v>
      </c>
    </row>
    <row r="330" customFormat="false" ht="14.25" hidden="false" customHeight="false" outlineLevel="0" collapsed="false">
      <c r="A330" s="0" t="n">
        <v>12.16</v>
      </c>
      <c r="B330" s="0" t="n">
        <v>2.85</v>
      </c>
      <c r="C330" s="0" t="n">
        <v>5.63</v>
      </c>
      <c r="D330" s="0" t="n">
        <v>9.49</v>
      </c>
      <c r="H330" s="0" t="n">
        <v>2.84</v>
      </c>
      <c r="I330" s="0" t="n">
        <v>668.03</v>
      </c>
      <c r="R330" s="0" t="n">
        <v>5.3</v>
      </c>
      <c r="S330" s="0" t="n">
        <v>4.86</v>
      </c>
      <c r="T330" s="0" t="n">
        <v>4.75</v>
      </c>
      <c r="U330" s="0" t="n">
        <v>4.43</v>
      </c>
      <c r="V330" s="0" t="n">
        <v>5.03</v>
      </c>
      <c r="W330" s="0" t="n">
        <v>4.1</v>
      </c>
      <c r="X330" s="0" t="n">
        <v>4.25</v>
      </c>
      <c r="Y330" s="0" t="n">
        <v>1.73</v>
      </c>
      <c r="AB330" s="0" t="n">
        <v>3.88</v>
      </c>
      <c r="AC330" s="0" t="n">
        <v>4.81</v>
      </c>
      <c r="AH330" s="0" t="n">
        <v>12.49</v>
      </c>
      <c r="AI330" s="0" t="n">
        <v>15.03</v>
      </c>
      <c r="AJ330" s="0" t="n">
        <v>8.46</v>
      </c>
      <c r="AR330" s="0" t="n">
        <v>4.93</v>
      </c>
      <c r="AS330" s="0" t="n">
        <v>4.75</v>
      </c>
      <c r="AT330" s="0" t="n">
        <v>2.67</v>
      </c>
      <c r="AU330" s="0" t="n">
        <v>9.3</v>
      </c>
    </row>
    <row r="331" customFormat="false" ht="14.25" hidden="false" customHeight="false" outlineLevel="0" collapsed="false">
      <c r="A331" s="0" t="n">
        <v>12.16</v>
      </c>
      <c r="B331" s="0" t="n">
        <v>2.86</v>
      </c>
      <c r="C331" s="0" t="n">
        <v>5.63</v>
      </c>
      <c r="D331" s="0" t="n">
        <v>9.47</v>
      </c>
      <c r="H331" s="0" t="n">
        <v>2.84</v>
      </c>
      <c r="I331" s="0" t="n">
        <v>668.01</v>
      </c>
      <c r="R331" s="0" t="n">
        <v>5.3</v>
      </c>
      <c r="S331" s="0" t="n">
        <v>4.87</v>
      </c>
      <c r="T331" s="0" t="n">
        <v>4.73</v>
      </c>
      <c r="U331" s="0" t="n">
        <v>4.45</v>
      </c>
      <c r="V331" s="0" t="n">
        <v>5.03</v>
      </c>
      <c r="W331" s="0" t="n">
        <v>4.1</v>
      </c>
      <c r="X331" s="0" t="n">
        <v>4.24</v>
      </c>
      <c r="Y331" s="0" t="n">
        <v>1.73</v>
      </c>
      <c r="AB331" s="0" t="n">
        <v>3.88</v>
      </c>
      <c r="AC331" s="0" t="n">
        <v>4.81</v>
      </c>
      <c r="AH331" s="0" t="n">
        <v>12.5</v>
      </c>
      <c r="AI331" s="0" t="n">
        <v>15.03</v>
      </c>
      <c r="AJ331" s="0" t="n">
        <v>8.42</v>
      </c>
      <c r="AR331" s="0" t="n">
        <v>4.93</v>
      </c>
      <c r="AS331" s="0" t="n">
        <v>4.74</v>
      </c>
      <c r="AT331" s="0" t="n">
        <v>2.66</v>
      </c>
      <c r="AU331" s="0" t="n">
        <v>9.31</v>
      </c>
    </row>
    <row r="332" customFormat="false" ht="14.25" hidden="false" customHeight="false" outlineLevel="0" collapsed="false">
      <c r="A332" s="0" t="n">
        <v>12.17</v>
      </c>
      <c r="B332" s="0" t="n">
        <v>2.85</v>
      </c>
      <c r="C332" s="0" t="n">
        <v>5.64</v>
      </c>
      <c r="D332" s="0" t="n">
        <v>9.48</v>
      </c>
      <c r="H332" s="0" t="n">
        <v>2.8</v>
      </c>
      <c r="I332" s="0" t="n">
        <v>668.01</v>
      </c>
      <c r="R332" s="0" t="n">
        <v>5.3</v>
      </c>
      <c r="S332" s="0" t="n">
        <v>4.86</v>
      </c>
      <c r="T332" s="0" t="n">
        <v>4.78</v>
      </c>
      <c r="U332" s="0" t="n">
        <v>4.44</v>
      </c>
      <c r="V332" s="0" t="n">
        <v>5.03</v>
      </c>
      <c r="W332" s="0" t="n">
        <v>4.1</v>
      </c>
      <c r="X332" s="0" t="n">
        <v>4.25</v>
      </c>
      <c r="Y332" s="0" t="n">
        <v>1.73</v>
      </c>
      <c r="AB332" s="0" t="n">
        <v>3.87</v>
      </c>
      <c r="AC332" s="0" t="n">
        <v>4.79</v>
      </c>
      <c r="AH332" s="0" t="n">
        <v>12.5</v>
      </c>
      <c r="AI332" s="0" t="n">
        <v>15.03</v>
      </c>
      <c r="AJ332" s="0" t="n">
        <v>8.43</v>
      </c>
      <c r="AR332" s="0" t="n">
        <v>4.94</v>
      </c>
      <c r="AS332" s="0" t="n">
        <v>4.78</v>
      </c>
      <c r="AT332" s="0" t="n">
        <v>2.66</v>
      </c>
      <c r="AU332" s="0" t="n">
        <v>9.28</v>
      </c>
    </row>
    <row r="333" customFormat="false" ht="14.25" hidden="false" customHeight="false" outlineLevel="0" collapsed="false">
      <c r="A333" s="0" t="n">
        <v>12.16</v>
      </c>
      <c r="B333" s="0" t="n">
        <v>2.86</v>
      </c>
      <c r="C333" s="0" t="n">
        <v>5.64</v>
      </c>
      <c r="D333" s="0" t="n">
        <v>9.49</v>
      </c>
      <c r="H333" s="0" t="n">
        <v>2.84</v>
      </c>
      <c r="I333" s="0" t="n">
        <v>668.03</v>
      </c>
      <c r="R333" s="0" t="n">
        <v>5.3</v>
      </c>
      <c r="S333" s="0" t="n">
        <v>4.87</v>
      </c>
      <c r="T333" s="0" t="n">
        <v>4.75</v>
      </c>
      <c r="U333" s="0" t="n">
        <v>4.46</v>
      </c>
      <c r="V333" s="0" t="n">
        <v>5.03</v>
      </c>
      <c r="W333" s="0" t="n">
        <v>4.11</v>
      </c>
      <c r="X333" s="0" t="n">
        <v>4.24</v>
      </c>
      <c r="Y333" s="0" t="n">
        <v>1.73</v>
      </c>
      <c r="AB333" s="0" t="n">
        <v>3.88</v>
      </c>
      <c r="AC333" s="0" t="n">
        <v>4.81</v>
      </c>
      <c r="AH333" s="0" t="n">
        <v>12.5</v>
      </c>
      <c r="AI333" s="0" t="n">
        <v>15.05</v>
      </c>
      <c r="AJ333" s="0" t="n">
        <v>8.36</v>
      </c>
      <c r="AR333" s="0" t="n">
        <v>4.93</v>
      </c>
      <c r="AS333" s="0" t="n">
        <v>4.79</v>
      </c>
      <c r="AT333" s="0" t="n">
        <v>2.66</v>
      </c>
      <c r="AU333" s="0" t="n">
        <v>9.28</v>
      </c>
    </row>
    <row r="334" customFormat="false" ht="14.25" hidden="false" customHeight="false" outlineLevel="0" collapsed="false">
      <c r="A334" s="0" t="n">
        <v>12.15</v>
      </c>
      <c r="B334" s="0" t="n">
        <v>2.84</v>
      </c>
      <c r="C334" s="0" t="n">
        <v>5.64</v>
      </c>
      <c r="D334" s="0" t="n">
        <v>9.49</v>
      </c>
      <c r="H334" s="0" t="n">
        <v>2.84</v>
      </c>
      <c r="I334" s="0" t="n">
        <v>668.04</v>
      </c>
      <c r="R334" s="0" t="n">
        <v>5.3</v>
      </c>
      <c r="S334" s="0" t="n">
        <v>4.86</v>
      </c>
      <c r="T334" s="0" t="n">
        <v>4.75</v>
      </c>
      <c r="U334" s="0" t="n">
        <v>4.46</v>
      </c>
      <c r="V334" s="0" t="n">
        <v>5.03</v>
      </c>
      <c r="W334" s="0" t="n">
        <v>4.11</v>
      </c>
      <c r="X334" s="0" t="n">
        <v>4.25</v>
      </c>
      <c r="Y334" s="0" t="n">
        <v>1.74</v>
      </c>
      <c r="AB334" s="0" t="n">
        <v>3.86</v>
      </c>
      <c r="AC334" s="0" t="n">
        <v>4.81</v>
      </c>
      <c r="AH334" s="0" t="n">
        <v>12.49</v>
      </c>
      <c r="AI334" s="0" t="n">
        <v>15.04</v>
      </c>
      <c r="AJ334" s="0" t="n">
        <v>8.46</v>
      </c>
      <c r="AR334" s="0" t="n">
        <v>4.94</v>
      </c>
      <c r="AS334" s="0" t="n">
        <v>4.8</v>
      </c>
      <c r="AT334" s="0" t="n">
        <v>2.67</v>
      </c>
      <c r="AU334" s="0" t="n">
        <v>9.27</v>
      </c>
    </row>
    <row r="335" customFormat="false" ht="14.25" hidden="false" customHeight="false" outlineLevel="0" collapsed="false">
      <c r="A335" s="0" t="n">
        <v>12.16</v>
      </c>
      <c r="B335" s="0" t="n">
        <v>2.85</v>
      </c>
      <c r="C335" s="0" t="n">
        <v>5.64</v>
      </c>
      <c r="D335" s="0" t="n">
        <v>9.5</v>
      </c>
      <c r="H335" s="0" t="n">
        <v>2.88</v>
      </c>
      <c r="I335" s="0" t="n">
        <v>668.01</v>
      </c>
      <c r="R335" s="0" t="n">
        <v>5.3</v>
      </c>
      <c r="S335" s="0" t="n">
        <v>4.87</v>
      </c>
      <c r="T335" s="0" t="n">
        <v>4.74</v>
      </c>
      <c r="U335" s="0" t="n">
        <v>4.47</v>
      </c>
      <c r="V335" s="0" t="n">
        <v>5.03</v>
      </c>
      <c r="W335" s="0" t="n">
        <v>4.16</v>
      </c>
      <c r="X335" s="0" t="n">
        <v>4.24</v>
      </c>
      <c r="Y335" s="0" t="n">
        <v>1.74</v>
      </c>
      <c r="AB335" s="0" t="n">
        <v>3.88</v>
      </c>
      <c r="AC335" s="0" t="n">
        <v>4.81</v>
      </c>
      <c r="AH335" s="0" t="n">
        <v>12.49</v>
      </c>
      <c r="AI335" s="0" t="n">
        <v>15.03</v>
      </c>
      <c r="AJ335" s="0" t="n">
        <v>8.44</v>
      </c>
      <c r="AR335" s="0" t="n">
        <v>4.93</v>
      </c>
      <c r="AS335" s="0" t="n">
        <v>4.8</v>
      </c>
      <c r="AT335" s="0" t="n">
        <v>2.68</v>
      </c>
      <c r="AU335" s="0" t="n">
        <v>9.27</v>
      </c>
    </row>
    <row r="336" customFormat="false" ht="14.25" hidden="false" customHeight="false" outlineLevel="0" collapsed="false">
      <c r="A336" s="0" t="n">
        <v>12.17</v>
      </c>
      <c r="B336" s="0" t="n">
        <v>2.85</v>
      </c>
      <c r="C336" s="0" t="n">
        <v>5.64</v>
      </c>
      <c r="D336" s="0" t="n">
        <v>9.49</v>
      </c>
      <c r="H336" s="0" t="n">
        <v>2.82</v>
      </c>
      <c r="I336" s="0" t="n">
        <v>668.01</v>
      </c>
      <c r="R336" s="0" t="n">
        <v>5.3</v>
      </c>
      <c r="S336" s="0" t="n">
        <v>4.34</v>
      </c>
      <c r="T336" s="0" t="n">
        <v>4.74</v>
      </c>
      <c r="U336" s="0" t="n">
        <v>4.46</v>
      </c>
      <c r="V336" s="0" t="n">
        <v>5.03</v>
      </c>
      <c r="W336" s="0" t="n">
        <v>4.12</v>
      </c>
      <c r="X336" s="0" t="n">
        <v>4.25</v>
      </c>
      <c r="Y336" s="0" t="n">
        <v>1.75</v>
      </c>
      <c r="AB336" s="0" t="n">
        <v>3.88</v>
      </c>
      <c r="AC336" s="0" t="n">
        <v>4.8</v>
      </c>
      <c r="AH336" s="0" t="n">
        <v>12.49</v>
      </c>
      <c r="AI336" s="0" t="n">
        <v>15.02</v>
      </c>
      <c r="AJ336" s="0" t="n">
        <v>8.47</v>
      </c>
      <c r="AR336" s="0" t="n">
        <v>4.93</v>
      </c>
      <c r="AS336" s="0" t="n">
        <v>4.79</v>
      </c>
      <c r="AT336" s="0" t="n">
        <v>2.67</v>
      </c>
      <c r="AU336" s="0" t="n">
        <v>9.25</v>
      </c>
    </row>
    <row r="337" customFormat="false" ht="14.25" hidden="false" customHeight="false" outlineLevel="0" collapsed="false">
      <c r="A337" s="0" t="n">
        <v>12.15</v>
      </c>
      <c r="B337" s="0" t="n">
        <v>2.84</v>
      </c>
      <c r="C337" s="0" t="n">
        <v>5.64</v>
      </c>
      <c r="D337" s="0" t="n">
        <v>9.49</v>
      </c>
      <c r="H337" s="0" t="n">
        <v>2.77</v>
      </c>
      <c r="I337" s="0" t="n">
        <v>668.04</v>
      </c>
      <c r="R337" s="0" t="n">
        <v>5.3</v>
      </c>
      <c r="S337" s="0" t="n">
        <v>4.87</v>
      </c>
      <c r="T337" s="0" t="n">
        <v>4.74</v>
      </c>
      <c r="U337" s="0" t="n">
        <v>4.47</v>
      </c>
      <c r="V337" s="0" t="n">
        <v>5.04</v>
      </c>
      <c r="W337" s="0" t="n">
        <v>4.16</v>
      </c>
      <c r="X337" s="0" t="n">
        <v>4.25</v>
      </c>
      <c r="Y337" s="0" t="n">
        <v>1.75</v>
      </c>
      <c r="AB337" s="0" t="n">
        <v>3.88</v>
      </c>
      <c r="AC337" s="0" t="n">
        <v>4.81</v>
      </c>
      <c r="AH337" s="0" t="n">
        <v>12.5</v>
      </c>
      <c r="AI337" s="0" t="n">
        <v>15</v>
      </c>
      <c r="AJ337" s="0" t="n">
        <v>8.46</v>
      </c>
      <c r="AR337" s="0" t="n">
        <v>4.94</v>
      </c>
      <c r="AS337" s="0" t="n">
        <v>4.82</v>
      </c>
      <c r="AT337" s="0" t="n">
        <v>2.68</v>
      </c>
      <c r="AU337" s="0" t="n">
        <v>9.25</v>
      </c>
    </row>
    <row r="338" customFormat="false" ht="14.25" hidden="false" customHeight="false" outlineLevel="0" collapsed="false">
      <c r="A338" s="0" t="n">
        <v>12.16</v>
      </c>
      <c r="B338" s="0" t="n">
        <v>2.85</v>
      </c>
      <c r="C338" s="0" t="n">
        <v>5.63</v>
      </c>
      <c r="D338" s="0" t="n">
        <v>9.49</v>
      </c>
      <c r="H338" s="0" t="n">
        <v>2.8</v>
      </c>
      <c r="I338" s="0" t="n">
        <v>668.07</v>
      </c>
      <c r="R338" s="0" t="n">
        <v>5.3</v>
      </c>
      <c r="S338" s="0" t="n">
        <v>4.85</v>
      </c>
      <c r="T338" s="0" t="n">
        <v>4.75</v>
      </c>
      <c r="U338" s="0" t="n">
        <v>4.47</v>
      </c>
      <c r="V338" s="0" t="n">
        <v>5.03</v>
      </c>
      <c r="W338" s="0" t="n">
        <v>4.18</v>
      </c>
      <c r="X338" s="0" t="n">
        <v>4.25</v>
      </c>
      <c r="Y338" s="0" t="n">
        <v>1.75</v>
      </c>
      <c r="AB338" s="0" t="n">
        <v>3.87</v>
      </c>
      <c r="AC338" s="0" t="n">
        <v>4.83</v>
      </c>
      <c r="AH338" s="0" t="n">
        <v>12.5</v>
      </c>
      <c r="AI338" s="0" t="n">
        <v>15.05</v>
      </c>
      <c r="AJ338" s="0" t="n">
        <v>8.48</v>
      </c>
      <c r="AR338" s="0" t="n">
        <v>4.94</v>
      </c>
      <c r="AS338" s="0" t="n">
        <v>4.83</v>
      </c>
      <c r="AT338" s="0" t="n">
        <v>2.67</v>
      </c>
    </row>
    <row r="339" customFormat="false" ht="14.25" hidden="false" customHeight="false" outlineLevel="0" collapsed="false">
      <c r="A339" s="0" t="n">
        <v>12.16</v>
      </c>
      <c r="B339" s="0" t="n">
        <v>2.84</v>
      </c>
      <c r="C339" s="0" t="n">
        <v>5.64</v>
      </c>
      <c r="D339" s="0" t="n">
        <v>9.49</v>
      </c>
      <c r="H339" s="0" t="n">
        <v>2.82</v>
      </c>
      <c r="I339" s="0" t="n">
        <v>668.04</v>
      </c>
      <c r="R339" s="0" t="n">
        <v>5.3</v>
      </c>
      <c r="S339" s="0" t="n">
        <v>4.88</v>
      </c>
      <c r="T339" s="0" t="n">
        <v>4.74</v>
      </c>
      <c r="U339" s="0" t="n">
        <v>4.47</v>
      </c>
      <c r="V339" s="0" t="n">
        <v>5.04</v>
      </c>
      <c r="W339" s="0" t="n">
        <v>4.13</v>
      </c>
      <c r="X339" s="0" t="n">
        <v>4.25</v>
      </c>
      <c r="Y339" s="0" t="n">
        <v>1.76</v>
      </c>
      <c r="AB339" s="0" t="n">
        <v>3.87</v>
      </c>
      <c r="AC339" s="0" t="n">
        <v>4.83</v>
      </c>
      <c r="AH339" s="0" t="n">
        <v>12.51</v>
      </c>
      <c r="AI339" s="0" t="n">
        <v>15.08</v>
      </c>
      <c r="AJ339" s="0" t="n">
        <v>8.48</v>
      </c>
      <c r="AR339" s="0" t="n">
        <v>4.94</v>
      </c>
      <c r="AS339" s="0" t="n">
        <v>4.84</v>
      </c>
      <c r="AT339" s="0" t="n">
        <v>2.68</v>
      </c>
    </row>
    <row r="340" customFormat="false" ht="14.25" hidden="false" customHeight="false" outlineLevel="0" collapsed="false">
      <c r="A340" s="0" t="n">
        <v>12.16</v>
      </c>
      <c r="B340" s="0" t="n">
        <v>2.85</v>
      </c>
      <c r="C340" s="0" t="n">
        <v>5.64</v>
      </c>
      <c r="D340" s="0" t="n">
        <v>9.5</v>
      </c>
      <c r="H340" s="0" t="n">
        <v>2.82</v>
      </c>
      <c r="I340" s="0" t="n">
        <v>668.03</v>
      </c>
      <c r="R340" s="0" t="n">
        <v>5.3</v>
      </c>
      <c r="S340" s="0" t="n">
        <v>4.85</v>
      </c>
      <c r="T340" s="0" t="n">
        <v>4.77</v>
      </c>
      <c r="U340" s="0" t="n">
        <v>4.47</v>
      </c>
      <c r="V340" s="0" t="n">
        <v>5.04</v>
      </c>
      <c r="W340" s="0" t="n">
        <v>4.17</v>
      </c>
      <c r="X340" s="0" t="n">
        <v>4.25</v>
      </c>
      <c r="Y340" s="0" t="n">
        <v>1.76</v>
      </c>
      <c r="AB340" s="0" t="n">
        <v>3.87</v>
      </c>
      <c r="AC340" s="0" t="n">
        <v>4.81</v>
      </c>
      <c r="AH340" s="0" t="n">
        <v>12.5</v>
      </c>
      <c r="AI340" s="0" t="n">
        <v>14.99</v>
      </c>
      <c r="AJ340" s="0" t="n">
        <v>8.45</v>
      </c>
      <c r="AR340" s="0" t="n">
        <v>4.87</v>
      </c>
      <c r="AS340" s="0" t="n">
        <v>4.84</v>
      </c>
      <c r="AT340" s="0" t="n">
        <v>2.7</v>
      </c>
    </row>
    <row r="341" customFormat="false" ht="14.25" hidden="false" customHeight="false" outlineLevel="0" collapsed="false">
      <c r="A341" s="0" t="n">
        <v>12.15</v>
      </c>
      <c r="B341" s="0" t="n">
        <v>2.85</v>
      </c>
      <c r="C341" s="0" t="n">
        <v>5.65</v>
      </c>
      <c r="D341" s="0" t="n">
        <v>9.52</v>
      </c>
      <c r="H341" s="0" t="n">
        <v>2.99</v>
      </c>
      <c r="I341" s="0" t="n">
        <v>668.05</v>
      </c>
      <c r="R341" s="0" t="n">
        <v>5.29</v>
      </c>
      <c r="S341" s="0" t="n">
        <v>4.85</v>
      </c>
      <c r="T341" s="0" t="n">
        <v>4.78</v>
      </c>
      <c r="U341" s="0" t="n">
        <v>4.52</v>
      </c>
      <c r="V341" s="0" t="n">
        <v>5.04</v>
      </c>
      <c r="W341" s="0" t="n">
        <v>4.15</v>
      </c>
      <c r="X341" s="0" t="n">
        <v>4.25</v>
      </c>
      <c r="Y341" s="0" t="n">
        <v>1.76</v>
      </c>
      <c r="AB341" s="0" t="n">
        <v>3.86</v>
      </c>
      <c r="AC341" s="0" t="n">
        <v>4.82</v>
      </c>
      <c r="AH341" s="0" t="n">
        <v>12.5</v>
      </c>
      <c r="AI341" s="0" t="n">
        <v>14.99</v>
      </c>
      <c r="AJ341" s="0" t="n">
        <v>8.48</v>
      </c>
      <c r="AR341" s="0" t="n">
        <v>4.94</v>
      </c>
      <c r="AS341" s="0" t="n">
        <v>4.82</v>
      </c>
      <c r="AT341" s="0" t="n">
        <v>2.69</v>
      </c>
    </row>
    <row r="342" customFormat="false" ht="14.25" hidden="false" customHeight="false" outlineLevel="0" collapsed="false">
      <c r="A342" s="0" t="n">
        <v>12.18</v>
      </c>
      <c r="B342" s="0" t="n">
        <v>2.84</v>
      </c>
      <c r="C342" s="0" t="n">
        <v>5.65</v>
      </c>
      <c r="D342" s="0" t="n">
        <v>9.49</v>
      </c>
      <c r="H342" s="0" t="n">
        <v>2.86</v>
      </c>
      <c r="I342" s="0" t="n">
        <v>668.04</v>
      </c>
      <c r="R342" s="0" t="n">
        <v>5.3</v>
      </c>
      <c r="S342" s="0" t="n">
        <v>4.85</v>
      </c>
      <c r="T342" s="0" t="n">
        <v>4.77</v>
      </c>
      <c r="U342" s="0" t="n">
        <v>4.52</v>
      </c>
      <c r="V342" s="0" t="n">
        <v>5.04</v>
      </c>
      <c r="W342" s="0" t="n">
        <v>4.15</v>
      </c>
      <c r="X342" s="0" t="n">
        <v>4.25</v>
      </c>
      <c r="Y342" s="0" t="n">
        <v>1.76</v>
      </c>
      <c r="AB342" s="0" t="n">
        <v>3.87</v>
      </c>
      <c r="AC342" s="0" t="n">
        <v>4.83</v>
      </c>
      <c r="AH342" s="0" t="n">
        <v>12.49</v>
      </c>
      <c r="AI342" s="0" t="n">
        <v>14.93</v>
      </c>
      <c r="AJ342" s="0" t="n">
        <v>8.48</v>
      </c>
      <c r="AR342" s="0" t="n">
        <v>4.92</v>
      </c>
      <c r="AS342" s="0" t="n">
        <v>4.83</v>
      </c>
      <c r="AT342" s="0" t="n">
        <v>2.71</v>
      </c>
    </row>
    <row r="343" customFormat="false" ht="14.25" hidden="false" customHeight="false" outlineLevel="0" collapsed="false">
      <c r="A343" s="0" t="n">
        <v>12.17</v>
      </c>
      <c r="B343" s="0" t="n">
        <v>2.84</v>
      </c>
      <c r="C343" s="0" t="n">
        <v>5.65</v>
      </c>
      <c r="D343" s="0" t="n">
        <v>9.53</v>
      </c>
      <c r="H343" s="0" t="n">
        <v>2.87</v>
      </c>
      <c r="I343" s="0" t="n">
        <v>668.01</v>
      </c>
      <c r="R343" s="0" t="n">
        <v>5.31</v>
      </c>
      <c r="S343" s="0" t="n">
        <v>4.86</v>
      </c>
      <c r="T343" s="0" t="n">
        <v>4.79</v>
      </c>
      <c r="U343" s="0" t="n">
        <v>4.54</v>
      </c>
      <c r="V343" s="0" t="n">
        <v>5.05</v>
      </c>
      <c r="W343" s="0" t="n">
        <v>4.13</v>
      </c>
      <c r="X343" s="0" t="n">
        <v>4.25</v>
      </c>
      <c r="Y343" s="0" t="n">
        <v>1.77</v>
      </c>
      <c r="AB343" s="0" t="n">
        <v>3.87</v>
      </c>
      <c r="AC343" s="0" t="n">
        <v>4.83</v>
      </c>
      <c r="AH343" s="0" t="n">
        <v>12.48</v>
      </c>
      <c r="AI343" s="0" t="n">
        <v>15.01</v>
      </c>
      <c r="AJ343" s="0" t="n">
        <v>8.52</v>
      </c>
      <c r="AR343" s="0" t="n">
        <v>4.94</v>
      </c>
      <c r="AS343" s="0" t="n">
        <v>4.87</v>
      </c>
      <c r="AT343" s="0" t="n">
        <v>2.7</v>
      </c>
    </row>
    <row r="344" customFormat="false" ht="14.25" hidden="false" customHeight="false" outlineLevel="0" collapsed="false">
      <c r="A344" s="0" t="n">
        <v>12.16</v>
      </c>
      <c r="B344" s="0" t="n">
        <v>2.83</v>
      </c>
      <c r="C344" s="0" t="n">
        <v>5.63</v>
      </c>
      <c r="D344" s="0" t="n">
        <v>9.53</v>
      </c>
      <c r="H344" s="0" t="n">
        <v>2.87</v>
      </c>
      <c r="I344" s="0" t="n">
        <v>668.01</v>
      </c>
      <c r="R344" s="0" t="n">
        <v>5.29</v>
      </c>
      <c r="S344" s="0" t="n">
        <v>4.85</v>
      </c>
      <c r="T344" s="0" t="n">
        <v>4.8</v>
      </c>
      <c r="U344" s="0" t="n">
        <v>4.53</v>
      </c>
      <c r="V344" s="0" t="n">
        <v>5.05</v>
      </c>
      <c r="W344" s="0" t="n">
        <v>4.15</v>
      </c>
      <c r="X344" s="0" t="n">
        <v>4.26</v>
      </c>
      <c r="Y344" s="0" t="n">
        <v>1.77</v>
      </c>
      <c r="AB344" s="0" t="n">
        <v>3.87</v>
      </c>
      <c r="AC344" s="0" t="n">
        <v>4.81</v>
      </c>
      <c r="AH344" s="0" t="n">
        <v>12.49</v>
      </c>
      <c r="AI344" s="0" t="n">
        <v>14.94</v>
      </c>
      <c r="AJ344" s="0" t="n">
        <v>8.51</v>
      </c>
      <c r="AR344" s="0" t="n">
        <v>4.95</v>
      </c>
      <c r="AS344" s="0" t="n">
        <v>4.84</v>
      </c>
      <c r="AT344" s="0" t="n">
        <v>2.71</v>
      </c>
    </row>
    <row r="345" customFormat="false" ht="14.25" hidden="false" customHeight="false" outlineLevel="0" collapsed="false">
      <c r="A345" s="0" t="n">
        <v>12.13</v>
      </c>
      <c r="B345" s="0" t="n">
        <v>2.84</v>
      </c>
      <c r="C345" s="0" t="n">
        <v>5.63</v>
      </c>
      <c r="D345" s="0" t="n">
        <v>9.52</v>
      </c>
      <c r="H345" s="0" t="n">
        <v>2.87</v>
      </c>
      <c r="I345" s="0" t="n">
        <v>668.03</v>
      </c>
      <c r="R345" s="0" t="n">
        <v>5.3</v>
      </c>
      <c r="S345" s="0" t="n">
        <v>4.85</v>
      </c>
      <c r="T345" s="0" t="n">
        <v>4.78</v>
      </c>
      <c r="U345" s="0" t="n">
        <v>4.38</v>
      </c>
      <c r="V345" s="0" t="n">
        <v>5.05</v>
      </c>
      <c r="W345" s="0" t="n">
        <v>4.17</v>
      </c>
      <c r="X345" s="0" t="n">
        <v>4.26</v>
      </c>
      <c r="Y345" s="0" t="n">
        <v>1.77</v>
      </c>
      <c r="AB345" s="0" t="n">
        <v>3.89</v>
      </c>
      <c r="AC345" s="0" t="n">
        <v>4.83</v>
      </c>
      <c r="AH345" s="0" t="n">
        <v>12.48</v>
      </c>
      <c r="AI345" s="0" t="n">
        <v>14.85</v>
      </c>
      <c r="AJ345" s="0" t="n">
        <v>8.48</v>
      </c>
      <c r="AR345" s="0" t="n">
        <v>4.95</v>
      </c>
      <c r="AS345" s="0" t="n">
        <v>4.86</v>
      </c>
      <c r="AT345" s="0" t="n">
        <v>2.71</v>
      </c>
    </row>
    <row r="346" customFormat="false" ht="14.25" hidden="false" customHeight="false" outlineLevel="0" collapsed="false">
      <c r="A346" s="0" t="n">
        <v>12.14</v>
      </c>
      <c r="B346" s="0" t="n">
        <v>2.84</v>
      </c>
      <c r="C346" s="0" t="n">
        <v>5.63</v>
      </c>
      <c r="D346" s="0" t="n">
        <v>9.52</v>
      </c>
      <c r="H346" s="0" t="n">
        <v>2.86</v>
      </c>
      <c r="I346" s="0" t="n">
        <v>668.01</v>
      </c>
      <c r="R346" s="0" t="n">
        <v>5.3</v>
      </c>
      <c r="S346" s="0" t="n">
        <v>4.85</v>
      </c>
      <c r="T346" s="0" t="n">
        <v>4.78</v>
      </c>
      <c r="U346" s="0" t="n">
        <v>4.49</v>
      </c>
      <c r="V346" s="0" t="n">
        <v>5.07</v>
      </c>
      <c r="W346" s="0" t="n">
        <v>4.17</v>
      </c>
      <c r="X346" s="0" t="n">
        <v>4.26</v>
      </c>
      <c r="Y346" s="0" t="n">
        <v>1.77</v>
      </c>
      <c r="AB346" s="0" t="n">
        <v>3.87</v>
      </c>
      <c r="AC346" s="0" t="n">
        <v>4.87</v>
      </c>
      <c r="AH346" s="0" t="n">
        <v>12.47</v>
      </c>
      <c r="AI346" s="0" t="n">
        <v>14.86</v>
      </c>
      <c r="AJ346" s="0" t="n">
        <v>8.5</v>
      </c>
      <c r="AR346" s="0" t="n">
        <v>4.94</v>
      </c>
      <c r="AS346" s="0" t="n">
        <v>4.9</v>
      </c>
      <c r="AT346" s="0" t="n">
        <v>2.71</v>
      </c>
    </row>
    <row r="347" customFormat="false" ht="14.25" hidden="false" customHeight="false" outlineLevel="0" collapsed="false">
      <c r="A347" s="0" t="n">
        <v>12.16</v>
      </c>
      <c r="B347" s="0" t="n">
        <v>2.84</v>
      </c>
      <c r="C347" s="0" t="n">
        <v>5.63</v>
      </c>
      <c r="D347" s="0" t="n">
        <v>9.51</v>
      </c>
      <c r="H347" s="0" t="n">
        <v>2.86</v>
      </c>
      <c r="I347" s="0" t="n">
        <v>668.01</v>
      </c>
      <c r="R347" s="0" t="n">
        <v>5.3</v>
      </c>
      <c r="S347" s="0" t="n">
        <v>4.85</v>
      </c>
      <c r="T347" s="0" t="n">
        <v>4.8</v>
      </c>
      <c r="U347" s="0" t="n">
        <v>4.59</v>
      </c>
      <c r="V347" s="0" t="n">
        <v>5.01</v>
      </c>
      <c r="W347" s="0" t="n">
        <v>4.17</v>
      </c>
      <c r="X347" s="0" t="n">
        <v>4.26</v>
      </c>
      <c r="Y347" s="0" t="n">
        <v>1.77</v>
      </c>
      <c r="AB347" s="0" t="n">
        <v>3.87</v>
      </c>
      <c r="AC347" s="0" t="n">
        <v>4.89</v>
      </c>
      <c r="AH347" s="0" t="n">
        <v>12.48</v>
      </c>
      <c r="AI347" s="0" t="n">
        <v>14.87</v>
      </c>
      <c r="AJ347" s="0" t="n">
        <v>8.48</v>
      </c>
      <c r="AR347" s="0" t="n">
        <v>4.95</v>
      </c>
      <c r="AS347" s="0" t="n">
        <v>4.9</v>
      </c>
      <c r="AT347" s="0" t="n">
        <v>2.71</v>
      </c>
    </row>
    <row r="348" customFormat="false" ht="14.25" hidden="false" customHeight="false" outlineLevel="0" collapsed="false">
      <c r="A348" s="0" t="n">
        <v>12.14</v>
      </c>
      <c r="B348" s="0" t="n">
        <v>2.84</v>
      </c>
      <c r="C348" s="0" t="n">
        <v>5.64</v>
      </c>
      <c r="D348" s="0" t="n">
        <v>9.51</v>
      </c>
      <c r="H348" s="0" t="n">
        <v>2.86</v>
      </c>
      <c r="I348" s="0" t="n">
        <v>668.04</v>
      </c>
      <c r="R348" s="0" t="n">
        <v>5.3</v>
      </c>
      <c r="S348" s="0" t="n">
        <v>4.85</v>
      </c>
      <c r="T348" s="0" t="n">
        <v>4.79</v>
      </c>
      <c r="U348" s="0" t="n">
        <v>4.57</v>
      </c>
      <c r="V348" s="0" t="n">
        <v>5.06</v>
      </c>
      <c r="W348" s="0" t="n">
        <v>4.17</v>
      </c>
      <c r="X348" s="0" t="n">
        <v>4.26</v>
      </c>
      <c r="Y348" s="0" t="n">
        <v>1.78</v>
      </c>
      <c r="AB348" s="0" t="n">
        <v>3.87</v>
      </c>
      <c r="AC348" s="0" t="n">
        <v>4.92</v>
      </c>
      <c r="AH348" s="0" t="n">
        <v>12.47</v>
      </c>
      <c r="AI348" s="0" t="n">
        <v>14.89</v>
      </c>
      <c r="AJ348" s="0" t="n">
        <v>8.47</v>
      </c>
      <c r="AR348" s="0" t="n">
        <v>4.93</v>
      </c>
      <c r="AS348" s="0" t="n">
        <v>4.93</v>
      </c>
      <c r="AT348" s="0" t="n">
        <v>2.72</v>
      </c>
    </row>
    <row r="349" customFormat="false" ht="14.25" hidden="false" customHeight="false" outlineLevel="0" collapsed="false">
      <c r="A349" s="0" t="n">
        <v>12.16</v>
      </c>
      <c r="B349" s="0" t="n">
        <v>2.85</v>
      </c>
      <c r="C349" s="0" t="n">
        <v>5.63</v>
      </c>
      <c r="D349" s="0" t="n">
        <v>9.52</v>
      </c>
      <c r="H349" s="0" t="n">
        <v>2.85</v>
      </c>
      <c r="I349" s="0" t="n">
        <v>668.04</v>
      </c>
      <c r="R349" s="0" t="n">
        <v>5.3</v>
      </c>
      <c r="S349" s="0" t="n">
        <v>4.87</v>
      </c>
      <c r="T349" s="0" t="n">
        <v>4.81</v>
      </c>
      <c r="U349" s="0" t="n">
        <v>4.53</v>
      </c>
      <c r="V349" s="0" t="n">
        <v>5.07</v>
      </c>
      <c r="W349" s="0" t="n">
        <v>4.19</v>
      </c>
      <c r="X349" s="0" t="n">
        <v>4.26</v>
      </c>
      <c r="Y349" s="0" t="n">
        <v>1.78</v>
      </c>
      <c r="AB349" s="0" t="n">
        <v>3.86</v>
      </c>
      <c r="AC349" s="0" t="n">
        <v>4.83</v>
      </c>
      <c r="AH349" s="0" t="n">
        <v>12.48</v>
      </c>
      <c r="AI349" s="0" t="n">
        <v>14.89</v>
      </c>
      <c r="AJ349" s="0" t="n">
        <v>8.47</v>
      </c>
      <c r="AR349" s="0" t="n">
        <v>4.91</v>
      </c>
      <c r="AS349" s="0" t="n">
        <v>4.93</v>
      </c>
      <c r="AT349" s="0" t="n">
        <v>2.71</v>
      </c>
    </row>
    <row r="350" customFormat="false" ht="14.25" hidden="false" customHeight="false" outlineLevel="0" collapsed="false">
      <c r="A350" s="0" t="n">
        <v>12.16</v>
      </c>
      <c r="B350" s="0" t="n">
        <v>2.87</v>
      </c>
      <c r="C350" s="0" t="n">
        <v>5.62</v>
      </c>
      <c r="D350" s="0" t="n">
        <v>9.5</v>
      </c>
      <c r="H350" s="0" t="n">
        <v>2.87</v>
      </c>
      <c r="I350" s="0" t="n">
        <v>668.03</v>
      </c>
      <c r="R350" s="0" t="n">
        <v>5.29</v>
      </c>
      <c r="S350" s="0" t="n">
        <v>4.86</v>
      </c>
      <c r="T350" s="0" t="n">
        <v>4.84</v>
      </c>
      <c r="U350" s="0" t="n">
        <v>4.55</v>
      </c>
      <c r="V350" s="0" t="n">
        <v>5.07</v>
      </c>
      <c r="W350" s="0" t="n">
        <v>4.16</v>
      </c>
      <c r="X350" s="0" t="n">
        <v>4.27</v>
      </c>
      <c r="Y350" s="0" t="n">
        <v>1.78</v>
      </c>
      <c r="AB350" s="0" t="n">
        <v>3.87</v>
      </c>
      <c r="AC350" s="0" t="n">
        <v>4.88</v>
      </c>
      <c r="AH350" s="0" t="n">
        <v>12.48</v>
      </c>
      <c r="AI350" s="0" t="n">
        <v>14.86</v>
      </c>
      <c r="AJ350" s="0" t="n">
        <v>8.47</v>
      </c>
      <c r="AR350" s="0" t="n">
        <v>4.92</v>
      </c>
      <c r="AS350" s="0" t="n">
        <v>4.93</v>
      </c>
      <c r="AT350" s="0" t="n">
        <v>2.71</v>
      </c>
    </row>
    <row r="351" customFormat="false" ht="14.25" hidden="false" customHeight="false" outlineLevel="0" collapsed="false">
      <c r="A351" s="0" t="n">
        <v>12.14</v>
      </c>
      <c r="B351" s="0" t="n">
        <v>2.84</v>
      </c>
      <c r="C351" s="0" t="n">
        <v>5.62</v>
      </c>
      <c r="D351" s="0" t="n">
        <v>9.54</v>
      </c>
      <c r="H351" s="0" t="n">
        <v>2.86</v>
      </c>
      <c r="I351" s="0" t="n">
        <v>668.04</v>
      </c>
      <c r="R351" s="0" t="n">
        <v>5.31</v>
      </c>
      <c r="S351" s="0" t="n">
        <v>4.86</v>
      </c>
      <c r="T351" s="0" t="n">
        <v>4.85</v>
      </c>
      <c r="U351" s="0" t="n">
        <v>4.58</v>
      </c>
      <c r="V351" s="0" t="n">
        <v>5.09</v>
      </c>
      <c r="W351" s="0" t="n">
        <v>4.17</v>
      </c>
      <c r="X351" s="0" t="n">
        <v>4.26</v>
      </c>
      <c r="Y351" s="0" t="n">
        <v>1.79</v>
      </c>
      <c r="AB351" s="0" t="n">
        <v>3.87</v>
      </c>
      <c r="AC351" s="0" t="n">
        <v>4.91</v>
      </c>
      <c r="AH351" s="0" t="n">
        <v>12.48</v>
      </c>
      <c r="AI351" s="0" t="n">
        <v>14.84</v>
      </c>
      <c r="AJ351" s="0" t="n">
        <v>8.47</v>
      </c>
      <c r="AR351" s="0" t="n">
        <v>4.93</v>
      </c>
      <c r="AS351" s="0" t="n">
        <v>4.94</v>
      </c>
      <c r="AT351" s="0" t="n">
        <v>2.71</v>
      </c>
    </row>
    <row r="352" customFormat="false" ht="14.25" hidden="false" customHeight="false" outlineLevel="0" collapsed="false">
      <c r="A352" s="0" t="n">
        <v>12.17</v>
      </c>
      <c r="B352" s="0" t="n">
        <v>2.85</v>
      </c>
      <c r="C352" s="0" t="n">
        <v>5.63</v>
      </c>
      <c r="D352" s="0" t="n">
        <v>9.53</v>
      </c>
      <c r="H352" s="0" t="n">
        <v>2.87</v>
      </c>
      <c r="I352" s="0" t="n">
        <v>668.04</v>
      </c>
      <c r="R352" s="0" t="n">
        <v>5.3</v>
      </c>
      <c r="S352" s="0" t="n">
        <v>4.87</v>
      </c>
      <c r="T352" s="0" t="n">
        <v>4.8</v>
      </c>
      <c r="U352" s="0" t="n">
        <v>4.54</v>
      </c>
      <c r="V352" s="0" t="n">
        <v>5.08</v>
      </c>
      <c r="W352" s="0" t="n">
        <v>4.15</v>
      </c>
      <c r="X352" s="0" t="n">
        <v>4.27</v>
      </c>
      <c r="Y352" s="0" t="n">
        <v>1.79</v>
      </c>
      <c r="AB352" s="0" t="n">
        <v>3.89</v>
      </c>
      <c r="AC352" s="0" t="n">
        <v>4.93</v>
      </c>
      <c r="AH352" s="0" t="n">
        <v>12.49</v>
      </c>
      <c r="AI352" s="0" t="n">
        <v>14.91</v>
      </c>
      <c r="AJ352" s="0" t="n">
        <v>8.47</v>
      </c>
      <c r="AR352" s="0" t="n">
        <v>4.96</v>
      </c>
      <c r="AS352" s="0" t="n">
        <v>4.92</v>
      </c>
      <c r="AT352" s="0" t="n">
        <v>2.7</v>
      </c>
    </row>
    <row r="353" customFormat="false" ht="14.25" hidden="false" customHeight="false" outlineLevel="0" collapsed="false">
      <c r="A353" s="0" t="n">
        <v>12.14</v>
      </c>
      <c r="B353" s="0" t="n">
        <v>2.82</v>
      </c>
      <c r="C353" s="0" t="n">
        <v>5.63</v>
      </c>
      <c r="D353" s="0" t="n">
        <v>9.51</v>
      </c>
      <c r="H353" s="0" t="n">
        <v>2.87</v>
      </c>
      <c r="I353" s="0" t="n">
        <v>668.03</v>
      </c>
      <c r="R353" s="0" t="n">
        <v>5.29</v>
      </c>
      <c r="S353" s="0" t="n">
        <v>4.86</v>
      </c>
      <c r="T353" s="0" t="n">
        <v>4.8</v>
      </c>
      <c r="U353" s="0" t="n">
        <v>4.53</v>
      </c>
      <c r="V353" s="0" t="n">
        <v>5.08</v>
      </c>
      <c r="W353" s="0" t="n">
        <v>4.15</v>
      </c>
      <c r="X353" s="0" t="n">
        <v>4.27</v>
      </c>
      <c r="Y353" s="0" t="n">
        <v>1.79</v>
      </c>
      <c r="AB353" s="0" t="n">
        <v>3.88</v>
      </c>
      <c r="AC353" s="0" t="n">
        <v>4.79</v>
      </c>
      <c r="AH353" s="0" t="n">
        <v>12.48</v>
      </c>
      <c r="AI353" s="0" t="n">
        <v>14.9</v>
      </c>
      <c r="AJ353" s="0" t="n">
        <v>8.47</v>
      </c>
      <c r="AR353" s="0" t="n">
        <v>4.94</v>
      </c>
      <c r="AS353" s="0" t="n">
        <v>4.93</v>
      </c>
      <c r="AT353" s="0" t="n">
        <v>2.71</v>
      </c>
    </row>
    <row r="354" customFormat="false" ht="14.25" hidden="false" customHeight="false" outlineLevel="0" collapsed="false">
      <c r="A354" s="0" t="n">
        <v>12.12</v>
      </c>
      <c r="B354" s="0" t="n">
        <v>2.84</v>
      </c>
      <c r="C354" s="0" t="n">
        <v>5.63</v>
      </c>
      <c r="D354" s="0" t="n">
        <v>9.54</v>
      </c>
      <c r="H354" s="0" t="n">
        <v>2.87</v>
      </c>
      <c r="I354" s="0" t="n">
        <v>668.01</v>
      </c>
      <c r="R354" s="0" t="n">
        <v>5.3</v>
      </c>
      <c r="S354" s="0" t="n">
        <v>4.87</v>
      </c>
      <c r="T354" s="0" t="n">
        <v>4.8</v>
      </c>
      <c r="U354" s="0" t="n">
        <v>4.52</v>
      </c>
      <c r="V354" s="0" t="n">
        <v>5.09</v>
      </c>
      <c r="W354" s="0" t="n">
        <v>4.17</v>
      </c>
      <c r="X354" s="0" t="n">
        <v>4.26</v>
      </c>
      <c r="Y354" s="0" t="n">
        <v>1.79</v>
      </c>
      <c r="AB354" s="0" t="n">
        <v>3.88</v>
      </c>
      <c r="AC354" s="0" t="n">
        <v>4.83</v>
      </c>
      <c r="AH354" s="0" t="n">
        <v>12.48</v>
      </c>
      <c r="AI354" s="0" t="n">
        <v>14.97</v>
      </c>
      <c r="AJ354" s="0" t="n">
        <v>8.49</v>
      </c>
      <c r="AR354" s="0" t="n">
        <v>4.95</v>
      </c>
      <c r="AS354" s="0" t="n">
        <v>4.96</v>
      </c>
      <c r="AT354" s="0" t="n">
        <v>2.71</v>
      </c>
    </row>
    <row r="355" customFormat="false" ht="14.25" hidden="false" customHeight="false" outlineLevel="0" collapsed="false">
      <c r="A355" s="0" t="n">
        <v>12.13</v>
      </c>
      <c r="B355" s="0" t="n">
        <v>2.85</v>
      </c>
      <c r="C355" s="0" t="n">
        <v>5.63</v>
      </c>
      <c r="D355" s="0" t="n">
        <v>9.53</v>
      </c>
      <c r="H355" s="0" t="n">
        <v>2.87</v>
      </c>
      <c r="I355" s="0" t="n">
        <v>668.03</v>
      </c>
      <c r="R355" s="0" t="n">
        <v>5.3</v>
      </c>
      <c r="S355" s="0" t="n">
        <v>4.87</v>
      </c>
      <c r="T355" s="0" t="n">
        <v>4.8</v>
      </c>
      <c r="U355" s="0" t="n">
        <v>4.53</v>
      </c>
      <c r="V355" s="0" t="n">
        <v>5.08</v>
      </c>
      <c r="W355" s="0" t="n">
        <v>4.19</v>
      </c>
      <c r="X355" s="0" t="n">
        <v>4.27</v>
      </c>
      <c r="Y355" s="0" t="n">
        <v>1.8</v>
      </c>
      <c r="AB355" s="0" t="n">
        <v>3.87</v>
      </c>
      <c r="AC355" s="0" t="n">
        <v>4.85</v>
      </c>
      <c r="AH355" s="0" t="n">
        <v>12.47</v>
      </c>
      <c r="AI355" s="0" t="n">
        <v>14.92</v>
      </c>
      <c r="AJ355" s="0" t="n">
        <v>8.47</v>
      </c>
      <c r="AR355" s="0" t="n">
        <v>4.95</v>
      </c>
      <c r="AS355" s="0" t="n">
        <v>4.95</v>
      </c>
      <c r="AT355" s="0" t="n">
        <v>2.72</v>
      </c>
    </row>
    <row r="356" customFormat="false" ht="14.25" hidden="false" customHeight="false" outlineLevel="0" collapsed="false">
      <c r="A356" s="0" t="n">
        <v>12.15</v>
      </c>
      <c r="B356" s="0" t="n">
        <v>2.86</v>
      </c>
      <c r="C356" s="0" t="n">
        <v>5.63</v>
      </c>
      <c r="D356" s="0" t="n">
        <v>9.53</v>
      </c>
      <c r="H356" s="0" t="n">
        <v>2.87</v>
      </c>
      <c r="I356" s="0" t="n">
        <v>668.05</v>
      </c>
      <c r="R356" s="0" t="n">
        <v>5.29</v>
      </c>
      <c r="S356" s="0" t="n">
        <v>4.87</v>
      </c>
      <c r="T356" s="0" t="n">
        <v>4.79</v>
      </c>
      <c r="U356" s="0" t="n">
        <v>4.54</v>
      </c>
      <c r="V356" s="0" t="n">
        <v>5.07</v>
      </c>
      <c r="W356" s="0" t="n">
        <v>4.17</v>
      </c>
      <c r="X356" s="0" t="n">
        <v>4.26</v>
      </c>
      <c r="Y356" s="0" t="n">
        <v>1.8</v>
      </c>
      <c r="AB356" s="0" t="n">
        <v>3.91</v>
      </c>
      <c r="AC356" s="0" t="n">
        <v>4.85</v>
      </c>
      <c r="AH356" s="0" t="n">
        <v>12.47</v>
      </c>
      <c r="AI356" s="0" t="n">
        <v>14.91</v>
      </c>
      <c r="AJ356" s="0" t="n">
        <v>8.46</v>
      </c>
      <c r="AR356" s="0" t="n">
        <v>4.95</v>
      </c>
      <c r="AS356" s="0" t="n">
        <v>4.99</v>
      </c>
      <c r="AT356" s="0" t="n">
        <v>2.72</v>
      </c>
    </row>
    <row r="357" customFormat="false" ht="14.25" hidden="false" customHeight="false" outlineLevel="0" collapsed="false">
      <c r="A357" s="0" t="n">
        <v>12.13</v>
      </c>
      <c r="B357" s="0" t="n">
        <v>2.84</v>
      </c>
      <c r="C357" s="0" t="n">
        <v>5.63</v>
      </c>
      <c r="D357" s="0" t="n">
        <v>9.53</v>
      </c>
      <c r="H357" s="0" t="n">
        <v>2.87</v>
      </c>
      <c r="I357" s="0" t="n">
        <v>668.07</v>
      </c>
      <c r="R357" s="0" t="n">
        <v>5.29</v>
      </c>
      <c r="S357" s="0" t="n">
        <v>4.86</v>
      </c>
      <c r="T357" s="0" t="n">
        <v>4.8</v>
      </c>
      <c r="U357" s="0" t="n">
        <v>4.53</v>
      </c>
      <c r="V357" s="0" t="n">
        <v>5.07</v>
      </c>
      <c r="W357" s="0" t="n">
        <v>4.2</v>
      </c>
      <c r="X357" s="0" t="n">
        <v>4.28</v>
      </c>
      <c r="Y357" s="0" t="n">
        <v>1.8</v>
      </c>
      <c r="AB357" s="0" t="n">
        <v>3.89</v>
      </c>
      <c r="AC357" s="0" t="n">
        <v>4.85</v>
      </c>
      <c r="AH357" s="0" t="n">
        <v>12.46</v>
      </c>
      <c r="AI357" s="0" t="n">
        <v>14.9</v>
      </c>
      <c r="AJ357" s="0" t="n">
        <v>8.43</v>
      </c>
      <c r="AR357" s="0" t="n">
        <v>4.96</v>
      </c>
      <c r="AS357" s="0" t="n">
        <v>4.99</v>
      </c>
      <c r="AT357" s="0" t="n">
        <v>2.71</v>
      </c>
    </row>
    <row r="358" customFormat="false" ht="14.25" hidden="false" customHeight="false" outlineLevel="0" collapsed="false">
      <c r="A358" s="0" t="n">
        <v>12.12</v>
      </c>
      <c r="B358" s="0" t="n">
        <v>2.85</v>
      </c>
      <c r="C358" s="0" t="n">
        <v>5.63</v>
      </c>
      <c r="D358" s="0" t="n">
        <v>9.54</v>
      </c>
      <c r="H358" s="0" t="n">
        <v>2.87</v>
      </c>
      <c r="I358" s="0" t="n">
        <v>668.05</v>
      </c>
      <c r="R358" s="0" t="n">
        <v>5.29</v>
      </c>
      <c r="S358" s="0" t="n">
        <v>4.86</v>
      </c>
      <c r="T358" s="0" t="n">
        <v>4.79</v>
      </c>
      <c r="U358" s="0" t="n">
        <v>4.53</v>
      </c>
      <c r="V358" s="0" t="n">
        <v>5.07</v>
      </c>
      <c r="W358" s="0" t="n">
        <v>4.17</v>
      </c>
      <c r="X358" s="0" t="n">
        <v>4.27</v>
      </c>
      <c r="Y358" s="0" t="n">
        <v>1.81</v>
      </c>
      <c r="AB358" s="0" t="n">
        <v>3.89</v>
      </c>
      <c r="AC358" s="0" t="n">
        <v>4.87</v>
      </c>
      <c r="AH358" s="0" t="n">
        <v>12.46</v>
      </c>
      <c r="AI358" s="0" t="n">
        <v>14.88</v>
      </c>
      <c r="AJ358" s="0" t="n">
        <v>8.44</v>
      </c>
      <c r="AR358" s="0" t="n">
        <v>4.95</v>
      </c>
      <c r="AS358" s="0" t="n">
        <v>5</v>
      </c>
      <c r="AT358" s="0" t="n">
        <v>2.71</v>
      </c>
    </row>
    <row r="359" customFormat="false" ht="14.25" hidden="false" customHeight="false" outlineLevel="0" collapsed="false">
      <c r="A359" s="0" t="n">
        <v>12.11</v>
      </c>
      <c r="B359" s="0" t="n">
        <v>2.84</v>
      </c>
      <c r="C359" s="0" t="n">
        <v>5.63</v>
      </c>
      <c r="D359" s="0" t="n">
        <v>9.5</v>
      </c>
      <c r="H359" s="0" t="n">
        <v>2.86</v>
      </c>
      <c r="I359" s="0" t="n">
        <v>668.06</v>
      </c>
      <c r="R359" s="0" t="n">
        <v>5.3</v>
      </c>
      <c r="S359" s="0" t="n">
        <v>4.86</v>
      </c>
      <c r="T359" s="0" t="n">
        <v>4.81</v>
      </c>
      <c r="U359" s="0" t="n">
        <v>4.52</v>
      </c>
      <c r="V359" s="0" t="n">
        <v>5.07</v>
      </c>
      <c r="W359" s="0" t="n">
        <v>4.17</v>
      </c>
      <c r="X359" s="0" t="n">
        <v>4.27</v>
      </c>
      <c r="Y359" s="0" t="n">
        <v>1.81</v>
      </c>
      <c r="AB359" s="0" t="n">
        <v>3.88</v>
      </c>
      <c r="AC359" s="0" t="n">
        <v>4.85</v>
      </c>
      <c r="AH359" s="0" t="n">
        <v>12.48</v>
      </c>
      <c r="AI359" s="0" t="n">
        <v>14.87</v>
      </c>
      <c r="AJ359" s="0" t="n">
        <v>8.43</v>
      </c>
      <c r="AR359" s="0" t="n">
        <v>4.95</v>
      </c>
      <c r="AS359" s="0" t="n">
        <v>4.99</v>
      </c>
      <c r="AT359" s="0" t="n">
        <v>2.71</v>
      </c>
    </row>
    <row r="360" customFormat="false" ht="14.25" hidden="false" customHeight="false" outlineLevel="0" collapsed="false">
      <c r="A360" s="0" t="n">
        <v>12.12</v>
      </c>
      <c r="B360" s="0" t="n">
        <v>2.85</v>
      </c>
      <c r="C360" s="0" t="n">
        <v>5.64</v>
      </c>
      <c r="D360" s="0" t="n">
        <v>9.53</v>
      </c>
      <c r="H360" s="0" t="n">
        <v>2.86</v>
      </c>
      <c r="I360" s="0" t="n">
        <v>668.03</v>
      </c>
      <c r="R360" s="0" t="n">
        <v>5.29</v>
      </c>
      <c r="S360" s="0" t="n">
        <v>4.86</v>
      </c>
      <c r="T360" s="0" t="n">
        <v>4.81</v>
      </c>
      <c r="U360" s="0" t="n">
        <v>4.51</v>
      </c>
      <c r="V360" s="0" t="n">
        <v>5.01</v>
      </c>
      <c r="W360" s="0" t="n">
        <v>4.17</v>
      </c>
      <c r="X360" s="0" t="n">
        <v>4.27</v>
      </c>
      <c r="Y360" s="0" t="n">
        <v>1.82</v>
      </c>
      <c r="AB360" s="0" t="n">
        <v>3.87</v>
      </c>
      <c r="AC360" s="0" t="n">
        <v>4.85</v>
      </c>
      <c r="AH360" s="0" t="n">
        <v>12.47</v>
      </c>
      <c r="AI360" s="0" t="n">
        <v>14.88</v>
      </c>
      <c r="AJ360" s="0" t="n">
        <v>8.43</v>
      </c>
      <c r="AR360" s="0" t="n">
        <v>4.92</v>
      </c>
      <c r="AS360" s="0" t="n">
        <v>5</v>
      </c>
      <c r="AT360" s="0" t="n">
        <v>2.71</v>
      </c>
    </row>
    <row r="361" customFormat="false" ht="14.25" hidden="false" customHeight="false" outlineLevel="0" collapsed="false">
      <c r="A361" s="0" t="n">
        <v>12.12</v>
      </c>
      <c r="B361" s="0" t="n">
        <v>2.83</v>
      </c>
      <c r="C361" s="0" t="n">
        <v>5.63</v>
      </c>
      <c r="D361" s="0" t="n">
        <v>9.53</v>
      </c>
      <c r="H361" s="0" t="n">
        <v>2.87</v>
      </c>
      <c r="I361" s="0" t="n">
        <v>668.01</v>
      </c>
      <c r="R361" s="0" t="n">
        <v>5.3</v>
      </c>
      <c r="S361" s="0" t="n">
        <v>4.57</v>
      </c>
      <c r="T361" s="0" t="n">
        <v>4.8</v>
      </c>
      <c r="U361" s="0" t="n">
        <v>4.51</v>
      </c>
      <c r="V361" s="0" t="n">
        <v>5.07</v>
      </c>
      <c r="W361" s="0" t="n">
        <v>4.17</v>
      </c>
      <c r="X361" s="0" t="n">
        <v>4.28</v>
      </c>
      <c r="Y361" s="0" t="n">
        <v>1.82</v>
      </c>
      <c r="AB361" s="0" t="n">
        <v>3.93</v>
      </c>
      <c r="AC361" s="0" t="n">
        <v>4.85</v>
      </c>
      <c r="AH361" s="0" t="n">
        <v>12.46</v>
      </c>
      <c r="AI361" s="0" t="n">
        <v>14.87</v>
      </c>
      <c r="AJ361" s="0" t="n">
        <v>8.42</v>
      </c>
      <c r="AR361" s="0" t="n">
        <v>4.93</v>
      </c>
      <c r="AS361" s="0" t="n">
        <v>5.02</v>
      </c>
      <c r="AT361" s="0" t="n">
        <v>2.71</v>
      </c>
    </row>
    <row r="362" customFormat="false" ht="14.25" hidden="false" customHeight="false" outlineLevel="0" collapsed="false">
      <c r="A362" s="0" t="n">
        <v>12.1</v>
      </c>
      <c r="B362" s="0" t="n">
        <v>2.84</v>
      </c>
      <c r="C362" s="0" t="n">
        <v>5.63</v>
      </c>
      <c r="D362" s="0" t="n">
        <v>9.51</v>
      </c>
      <c r="H362" s="0" t="n">
        <v>2.86</v>
      </c>
      <c r="I362" s="0" t="n">
        <v>668.01</v>
      </c>
      <c r="R362" s="0" t="n">
        <v>5.29</v>
      </c>
      <c r="S362" s="0" t="n">
        <v>4.87</v>
      </c>
      <c r="T362" s="0" t="n">
        <v>4.81</v>
      </c>
      <c r="U362" s="0" t="n">
        <v>4.5</v>
      </c>
      <c r="V362" s="0" t="n">
        <v>5.08</v>
      </c>
      <c r="W362" s="0" t="n">
        <v>4.17</v>
      </c>
      <c r="X362" s="0" t="n">
        <v>4.29</v>
      </c>
      <c r="Y362" s="0" t="n">
        <v>1.82</v>
      </c>
      <c r="AB362" s="0" t="n">
        <v>3.88</v>
      </c>
      <c r="AC362" s="0" t="n">
        <v>4.86</v>
      </c>
      <c r="AH362" s="0" t="n">
        <v>12.45</v>
      </c>
      <c r="AI362" s="0" t="n">
        <v>14.89</v>
      </c>
      <c r="AJ362" s="0" t="n">
        <v>8.4</v>
      </c>
      <c r="AR362" s="0" t="n">
        <v>4.96</v>
      </c>
      <c r="AS362" s="0" t="n">
        <v>5.02</v>
      </c>
      <c r="AT362" s="0" t="n">
        <v>2.71</v>
      </c>
    </row>
    <row r="363" customFormat="false" ht="14.25" hidden="false" customHeight="false" outlineLevel="0" collapsed="false">
      <c r="A363" s="0" t="n">
        <v>12.09</v>
      </c>
      <c r="B363" s="0" t="n">
        <v>2.85</v>
      </c>
      <c r="C363" s="0" t="n">
        <v>5.62</v>
      </c>
      <c r="D363" s="0" t="n">
        <v>9.49</v>
      </c>
      <c r="H363" s="0" t="n">
        <v>2.87</v>
      </c>
      <c r="I363" s="0" t="n">
        <v>668.03</v>
      </c>
      <c r="R363" s="0" t="n">
        <v>5.28</v>
      </c>
      <c r="S363" s="0" t="n">
        <v>4.08</v>
      </c>
      <c r="T363" s="0" t="n">
        <v>4.81</v>
      </c>
      <c r="U363" s="0" t="n">
        <v>4.52</v>
      </c>
      <c r="V363" s="0" t="n">
        <v>5.06</v>
      </c>
      <c r="W363" s="0" t="n">
        <v>4.17</v>
      </c>
      <c r="X363" s="0" t="n">
        <v>4.21</v>
      </c>
      <c r="Y363" s="0" t="n">
        <v>1.83</v>
      </c>
      <c r="AB363" s="0" t="n">
        <v>3.89</v>
      </c>
      <c r="AC363" s="0" t="n">
        <v>4.85</v>
      </c>
      <c r="AH363" s="0" t="n">
        <v>12.47</v>
      </c>
      <c r="AI363" s="0" t="n">
        <v>14.91</v>
      </c>
      <c r="AJ363" s="0" t="n">
        <v>8.38</v>
      </c>
      <c r="AR363" s="0" t="n">
        <v>4.97</v>
      </c>
      <c r="AS363" s="0" t="n">
        <v>5.02</v>
      </c>
      <c r="AT363" s="0" t="n">
        <v>2.71</v>
      </c>
    </row>
    <row r="364" customFormat="false" ht="14.25" hidden="false" customHeight="false" outlineLevel="0" collapsed="false">
      <c r="A364" s="0" t="n">
        <v>12.07</v>
      </c>
      <c r="B364" s="0" t="n">
        <v>2.85</v>
      </c>
      <c r="C364" s="0" t="n">
        <v>5.63</v>
      </c>
      <c r="D364" s="0" t="n">
        <v>9.53</v>
      </c>
      <c r="H364" s="0" t="n">
        <v>2.86</v>
      </c>
      <c r="I364" s="0" t="n">
        <v>668.04</v>
      </c>
      <c r="R364" s="0" t="n">
        <v>5.29</v>
      </c>
      <c r="S364" s="0" t="n">
        <v>4.86</v>
      </c>
      <c r="T364" s="0" t="n">
        <v>4.81</v>
      </c>
      <c r="U364" s="0" t="n">
        <v>4.5</v>
      </c>
      <c r="V364" s="0" t="n">
        <v>5.06</v>
      </c>
      <c r="W364" s="0" t="n">
        <v>4.17</v>
      </c>
      <c r="X364" s="0" t="n">
        <v>4.28</v>
      </c>
      <c r="Y364" s="0" t="n">
        <v>1.83</v>
      </c>
      <c r="AB364" s="0" t="n">
        <v>3.86</v>
      </c>
      <c r="AC364" s="0" t="n">
        <v>4.84</v>
      </c>
      <c r="AH364" s="0" t="n">
        <v>12.47</v>
      </c>
      <c r="AI364" s="0" t="n">
        <v>14.83</v>
      </c>
      <c r="AJ364" s="0" t="n">
        <v>8.35</v>
      </c>
      <c r="AR364" s="0" t="n">
        <v>4.96</v>
      </c>
      <c r="AS364" s="0" t="n">
        <v>5.04</v>
      </c>
      <c r="AT364" s="0" t="n">
        <v>2.7</v>
      </c>
    </row>
    <row r="365" customFormat="false" ht="14.25" hidden="false" customHeight="false" outlineLevel="0" collapsed="false">
      <c r="A365" s="0" t="n">
        <v>12.05</v>
      </c>
      <c r="B365" s="0" t="n">
        <v>2.85</v>
      </c>
      <c r="C365" s="0" t="n">
        <v>5.63</v>
      </c>
      <c r="D365" s="0" t="n">
        <v>9.51</v>
      </c>
      <c r="H365" s="0" t="n">
        <v>2.85</v>
      </c>
      <c r="I365" s="0" t="n">
        <v>668.05</v>
      </c>
      <c r="R365" s="0" t="n">
        <v>5.29</v>
      </c>
      <c r="S365" s="0" t="n">
        <v>4.86</v>
      </c>
      <c r="T365" s="0" t="n">
        <v>4.78</v>
      </c>
      <c r="U365" s="0" t="n">
        <v>4.56</v>
      </c>
      <c r="V365" s="0" t="n">
        <v>5.05</v>
      </c>
      <c r="W365" s="0" t="n">
        <v>4.18</v>
      </c>
      <c r="X365" s="0" t="n">
        <v>4.28</v>
      </c>
      <c r="Y365" s="0" t="n">
        <v>1.83</v>
      </c>
      <c r="AB365" s="0" t="n">
        <v>3.88</v>
      </c>
      <c r="AC365" s="0" t="n">
        <v>4.85</v>
      </c>
      <c r="AH365" s="0" t="n">
        <v>12.47</v>
      </c>
      <c r="AI365" s="0" t="n">
        <v>14.94</v>
      </c>
      <c r="AJ365" s="0" t="n">
        <v>8.35</v>
      </c>
      <c r="AR365" s="0" t="n">
        <v>4.96</v>
      </c>
      <c r="AS365" s="0" t="n">
        <v>5.04</v>
      </c>
      <c r="AT365" s="0" t="n">
        <v>2.71</v>
      </c>
    </row>
    <row r="366" customFormat="false" ht="14.25" hidden="false" customHeight="false" outlineLevel="0" collapsed="false">
      <c r="A366" s="0" t="n">
        <v>12.05</v>
      </c>
      <c r="B366" s="0" t="n">
        <v>2.84</v>
      </c>
      <c r="C366" s="0" t="n">
        <v>5.62</v>
      </c>
      <c r="D366" s="0" t="n">
        <v>9.53</v>
      </c>
      <c r="H366" s="0" t="n">
        <v>2.86</v>
      </c>
      <c r="I366" s="0" t="n">
        <v>668.03</v>
      </c>
      <c r="R366" s="0" t="n">
        <v>5.29</v>
      </c>
      <c r="S366" s="0" t="n">
        <v>4.87</v>
      </c>
      <c r="T366" s="0" t="n">
        <v>4.84</v>
      </c>
      <c r="U366" s="0" t="n">
        <v>4.51</v>
      </c>
      <c r="V366" s="0" t="n">
        <v>5.06</v>
      </c>
      <c r="W366" s="0" t="n">
        <v>4.19</v>
      </c>
      <c r="X366" s="0" t="n">
        <v>4.29</v>
      </c>
      <c r="Y366" s="0" t="n">
        <v>1.85</v>
      </c>
      <c r="AB366" s="0" t="n">
        <v>3.9</v>
      </c>
      <c r="AC366" s="0" t="n">
        <v>4.84</v>
      </c>
      <c r="AH366" s="0" t="n">
        <v>12.47</v>
      </c>
      <c r="AI366" s="0" t="n">
        <v>14.91</v>
      </c>
      <c r="AJ366" s="0" t="n">
        <v>8.33</v>
      </c>
      <c r="AR366" s="0" t="n">
        <v>4.96</v>
      </c>
      <c r="AS366" s="0" t="n">
        <v>5.03</v>
      </c>
      <c r="AT366" s="0" t="n">
        <v>2.71</v>
      </c>
    </row>
    <row r="367" customFormat="false" ht="14.25" hidden="false" customHeight="false" outlineLevel="0" collapsed="false">
      <c r="A367" s="0" t="n">
        <v>12.06</v>
      </c>
      <c r="B367" s="0" t="n">
        <v>2.85</v>
      </c>
      <c r="C367" s="0" t="n">
        <v>5.63</v>
      </c>
      <c r="D367" s="0" t="n">
        <v>9.51</v>
      </c>
      <c r="H367" s="0" t="n">
        <v>2.86</v>
      </c>
      <c r="I367" s="0" t="n">
        <v>668.03</v>
      </c>
      <c r="R367" s="0" t="n">
        <v>5.29</v>
      </c>
      <c r="S367" s="0" t="n">
        <v>4.87</v>
      </c>
      <c r="T367" s="0" t="n">
        <v>4.8</v>
      </c>
      <c r="U367" s="0" t="n">
        <v>4.5</v>
      </c>
      <c r="V367" s="0" t="n">
        <v>5.05</v>
      </c>
      <c r="W367" s="0" t="n">
        <v>4.2</v>
      </c>
      <c r="X367" s="0" t="n">
        <v>4.28</v>
      </c>
      <c r="Y367" s="0" t="n">
        <v>1.85</v>
      </c>
      <c r="AB367" s="0" t="n">
        <v>3.89</v>
      </c>
      <c r="AC367" s="0" t="n">
        <v>4.87</v>
      </c>
      <c r="AH367" s="0" t="n">
        <v>12.46</v>
      </c>
      <c r="AI367" s="0" t="n">
        <v>14.91</v>
      </c>
      <c r="AJ367" s="0" t="n">
        <v>8.31</v>
      </c>
      <c r="AR367" s="0" t="n">
        <v>4.96</v>
      </c>
      <c r="AS367" s="0" t="n">
        <v>5.01</v>
      </c>
      <c r="AT367" s="0" t="n">
        <v>2.71</v>
      </c>
    </row>
    <row r="368" customFormat="false" ht="14.25" hidden="false" customHeight="false" outlineLevel="0" collapsed="false">
      <c r="A368" s="0" t="n">
        <v>12.06</v>
      </c>
      <c r="B368" s="0" t="n">
        <v>2.84</v>
      </c>
      <c r="C368" s="0" t="n">
        <v>5.62</v>
      </c>
      <c r="D368" s="0" t="n">
        <v>9.49</v>
      </c>
      <c r="H368" s="0" t="n">
        <v>2.88</v>
      </c>
      <c r="I368" s="0" t="n">
        <v>668.05</v>
      </c>
      <c r="R368" s="0" t="n">
        <v>5.29</v>
      </c>
      <c r="S368" s="0" t="n">
        <v>4.85</v>
      </c>
      <c r="T368" s="0" t="n">
        <v>4.8</v>
      </c>
      <c r="U368" s="0" t="n">
        <v>4.51</v>
      </c>
      <c r="V368" s="0" t="n">
        <v>5.04</v>
      </c>
      <c r="W368" s="0" t="n">
        <v>4.2</v>
      </c>
      <c r="X368" s="0" t="n">
        <v>4.29</v>
      </c>
      <c r="Y368" s="0" t="n">
        <v>1.85</v>
      </c>
      <c r="AB368" s="0" t="n">
        <v>3.87</v>
      </c>
      <c r="AC368" s="0" t="n">
        <v>4.95</v>
      </c>
      <c r="AH368" s="0" t="n">
        <v>12.45</v>
      </c>
      <c r="AI368" s="0" t="n">
        <v>14.94</v>
      </c>
      <c r="AJ368" s="0" t="n">
        <v>8.28</v>
      </c>
      <c r="AR368" s="0" t="n">
        <v>4.95</v>
      </c>
      <c r="AS368" s="0" t="n">
        <v>5.01</v>
      </c>
      <c r="AT368" s="0" t="n">
        <v>2.69</v>
      </c>
    </row>
    <row r="369" customFormat="false" ht="14.25" hidden="false" customHeight="false" outlineLevel="0" collapsed="false">
      <c r="A369" s="0" t="n">
        <v>12.06</v>
      </c>
      <c r="B369" s="0" t="n">
        <v>2.84</v>
      </c>
      <c r="C369" s="0" t="n">
        <v>5.62</v>
      </c>
      <c r="D369" s="0" t="n">
        <v>9.52</v>
      </c>
      <c r="H369" s="0" t="n">
        <v>2.87</v>
      </c>
      <c r="I369" s="0" t="n">
        <v>668.06</v>
      </c>
      <c r="R369" s="0" t="n">
        <v>5.29</v>
      </c>
      <c r="S369" s="0" t="n">
        <v>4.86</v>
      </c>
      <c r="T369" s="0" t="n">
        <v>4.8</v>
      </c>
      <c r="U369" s="0" t="n">
        <v>4.5</v>
      </c>
      <c r="V369" s="0" t="n">
        <v>5.04</v>
      </c>
      <c r="W369" s="0" t="n">
        <v>4.19</v>
      </c>
      <c r="X369" s="0" t="n">
        <v>4.29</v>
      </c>
      <c r="Y369" s="0" t="n">
        <v>1.85</v>
      </c>
      <c r="AB369" s="0" t="n">
        <v>3.89</v>
      </c>
      <c r="AC369" s="0" t="n">
        <v>4.83</v>
      </c>
      <c r="AH369" s="0" t="n">
        <v>12.47</v>
      </c>
      <c r="AI369" s="0" t="n">
        <v>14.86</v>
      </c>
      <c r="AJ369" s="0" t="n">
        <v>8.27</v>
      </c>
      <c r="AR369" s="0" t="n">
        <v>4.97</v>
      </c>
      <c r="AS369" s="0" t="n">
        <v>5.07</v>
      </c>
      <c r="AT369" s="0" t="n">
        <v>2.7</v>
      </c>
    </row>
    <row r="370" customFormat="false" ht="14.25" hidden="false" customHeight="false" outlineLevel="0" collapsed="false">
      <c r="A370" s="0" t="n">
        <v>12.05</v>
      </c>
      <c r="B370" s="0" t="n">
        <v>2.85</v>
      </c>
      <c r="C370" s="0" t="n">
        <v>5.63</v>
      </c>
      <c r="D370" s="0" t="n">
        <v>9.51</v>
      </c>
      <c r="H370" s="0" t="n">
        <v>2.87</v>
      </c>
      <c r="I370" s="0" t="n">
        <v>668.06</v>
      </c>
      <c r="R370" s="0" t="n">
        <v>5.3</v>
      </c>
      <c r="S370" s="0" t="n">
        <v>4.87</v>
      </c>
      <c r="T370" s="0" t="n">
        <v>4.81</v>
      </c>
      <c r="U370" s="0" t="n">
        <v>4.52</v>
      </c>
      <c r="V370" s="0" t="n">
        <v>5.05</v>
      </c>
      <c r="W370" s="0" t="n">
        <v>4.2</v>
      </c>
      <c r="X370" s="0" t="n">
        <v>4.33</v>
      </c>
      <c r="Y370" s="0" t="n">
        <v>1.86</v>
      </c>
      <c r="AB370" s="0" t="n">
        <v>3.86</v>
      </c>
      <c r="AC370" s="0" t="n">
        <v>4.82</v>
      </c>
      <c r="AH370" s="0" t="n">
        <v>12.45</v>
      </c>
      <c r="AI370" s="0" t="n">
        <v>14.89</v>
      </c>
      <c r="AJ370" s="0" t="n">
        <v>8.29</v>
      </c>
      <c r="AR370" s="0" t="n">
        <v>4.97</v>
      </c>
      <c r="AS370" s="0" t="n">
        <v>5.06</v>
      </c>
      <c r="AT370" s="0" t="n">
        <v>2.71</v>
      </c>
    </row>
    <row r="371" customFormat="false" ht="14.25" hidden="false" customHeight="false" outlineLevel="0" collapsed="false">
      <c r="A371" s="0" t="n">
        <v>12.04</v>
      </c>
      <c r="B371" s="0" t="n">
        <v>2.84</v>
      </c>
      <c r="C371" s="0" t="n">
        <v>5.61</v>
      </c>
      <c r="D371" s="0" t="n">
        <v>9.5</v>
      </c>
      <c r="H371" s="0" t="n">
        <v>2.88</v>
      </c>
      <c r="I371" s="0" t="n">
        <v>668.04</v>
      </c>
      <c r="R371" s="0" t="n">
        <v>5.29</v>
      </c>
      <c r="S371" s="0" t="n">
        <v>4.85</v>
      </c>
      <c r="T371" s="0" t="n">
        <v>4.8</v>
      </c>
      <c r="U371" s="0" t="n">
        <v>4.51</v>
      </c>
      <c r="V371" s="0" t="n">
        <v>5.04</v>
      </c>
      <c r="W371" s="0" t="n">
        <v>4.2</v>
      </c>
      <c r="X371" s="0" t="n">
        <v>4.26</v>
      </c>
      <c r="Y371" s="0" t="n">
        <v>1.86</v>
      </c>
      <c r="AB371" s="0" t="n">
        <v>3.89</v>
      </c>
      <c r="AC371" s="0" t="n">
        <v>4.83</v>
      </c>
      <c r="AH371" s="0" t="n">
        <v>12.47</v>
      </c>
      <c r="AI371" s="0" t="n">
        <v>14.95</v>
      </c>
      <c r="AJ371" s="0" t="n">
        <v>8.26</v>
      </c>
      <c r="AR371" s="0" t="n">
        <v>4.98</v>
      </c>
      <c r="AS371" s="0" t="n">
        <v>5.03</v>
      </c>
      <c r="AT371" s="0" t="n">
        <v>2.7</v>
      </c>
    </row>
    <row r="372" customFormat="false" ht="14.25" hidden="false" customHeight="false" outlineLevel="0" collapsed="false">
      <c r="A372" s="0" t="n">
        <v>12.03</v>
      </c>
      <c r="B372" s="0" t="n">
        <v>2.84</v>
      </c>
      <c r="C372" s="0" t="n">
        <v>5.63</v>
      </c>
      <c r="D372" s="0" t="n">
        <v>9.48</v>
      </c>
      <c r="H372" s="0" t="n">
        <v>2.87</v>
      </c>
      <c r="I372" s="0" t="n">
        <v>668.05</v>
      </c>
      <c r="R372" s="0" t="n">
        <v>5.3</v>
      </c>
      <c r="S372" s="0" t="n">
        <v>4.51</v>
      </c>
      <c r="T372" s="0" t="n">
        <v>4.8</v>
      </c>
      <c r="U372" s="0" t="n">
        <v>4.49</v>
      </c>
      <c r="V372" s="0" t="n">
        <v>5.04</v>
      </c>
      <c r="W372" s="0" t="n">
        <v>4.19</v>
      </c>
      <c r="X372" s="0" t="n">
        <v>4.28</v>
      </c>
      <c r="Y372" s="0" t="n">
        <v>1.86</v>
      </c>
      <c r="AB372" s="0" t="n">
        <v>3.88</v>
      </c>
      <c r="AC372" s="0" t="n">
        <v>4.83</v>
      </c>
      <c r="AH372" s="0" t="n">
        <v>12.46</v>
      </c>
      <c r="AI372" s="0" t="n">
        <v>14.96</v>
      </c>
      <c r="AJ372" s="0" t="n">
        <v>8.24</v>
      </c>
      <c r="AR372" s="0" t="n">
        <v>4.98</v>
      </c>
      <c r="AS372" s="0" t="n">
        <v>5.02</v>
      </c>
      <c r="AT372" s="0" t="n">
        <v>2.7</v>
      </c>
    </row>
    <row r="373" customFormat="false" ht="14.25" hidden="false" customHeight="false" outlineLevel="0" collapsed="false">
      <c r="A373" s="0" t="n">
        <v>12.03</v>
      </c>
      <c r="B373" s="0" t="n">
        <v>2.84</v>
      </c>
      <c r="C373" s="0" t="n">
        <v>5.62</v>
      </c>
      <c r="D373" s="0" t="n">
        <v>9.49</v>
      </c>
      <c r="H373" s="0" t="n">
        <v>2.87</v>
      </c>
      <c r="I373" s="0" t="n">
        <v>668.07</v>
      </c>
      <c r="R373" s="0" t="n">
        <v>5.3</v>
      </c>
      <c r="S373" s="0" t="n">
        <v>4.84</v>
      </c>
      <c r="T373" s="0" t="n">
        <v>4.8</v>
      </c>
      <c r="U373" s="0" t="n">
        <v>4.51</v>
      </c>
      <c r="V373" s="0" t="n">
        <v>5.04</v>
      </c>
      <c r="W373" s="0" t="n">
        <v>4.19</v>
      </c>
      <c r="X373" s="0" t="n">
        <v>4.28</v>
      </c>
      <c r="Y373" s="0" t="n">
        <v>1.87</v>
      </c>
      <c r="AB373" s="0" t="n">
        <v>3.88</v>
      </c>
      <c r="AC373" s="0" t="n">
        <v>4.81</v>
      </c>
      <c r="AH373" s="0" t="n">
        <v>12.45</v>
      </c>
      <c r="AI373" s="0" t="n">
        <v>14.97</v>
      </c>
      <c r="AJ373" s="0" t="n">
        <v>8.22</v>
      </c>
      <c r="AR373" s="0" t="n">
        <v>4.96</v>
      </c>
      <c r="AS373" s="0" t="n">
        <v>5.03</v>
      </c>
      <c r="AT373" s="0" t="n">
        <v>2.7</v>
      </c>
    </row>
    <row r="374" customFormat="false" ht="14.25" hidden="false" customHeight="false" outlineLevel="0" collapsed="false">
      <c r="A374" s="0" t="n">
        <v>12.01</v>
      </c>
      <c r="B374" s="0" t="n">
        <v>2.84</v>
      </c>
      <c r="C374" s="0" t="n">
        <v>5.62</v>
      </c>
      <c r="D374" s="0" t="n">
        <v>9.5</v>
      </c>
      <c r="H374" s="0" t="n">
        <v>2.86</v>
      </c>
      <c r="I374" s="0" t="n">
        <v>668.07</v>
      </c>
      <c r="R374" s="0" t="n">
        <v>5.29</v>
      </c>
      <c r="S374" s="0" t="n">
        <v>4.78</v>
      </c>
      <c r="T374" s="0" t="n">
        <v>4.81</v>
      </c>
      <c r="U374" s="0" t="n">
        <v>4.56</v>
      </c>
      <c r="V374" s="0" t="n">
        <v>5.05</v>
      </c>
      <c r="W374" s="0" t="n">
        <v>4.19</v>
      </c>
      <c r="X374" s="0" t="n">
        <v>4.28</v>
      </c>
      <c r="Y374" s="0" t="n">
        <v>1.87</v>
      </c>
      <c r="AB374" s="0" t="n">
        <v>3.86</v>
      </c>
      <c r="AC374" s="0" t="n">
        <v>4.81</v>
      </c>
      <c r="AH374" s="0" t="n">
        <v>12.47</v>
      </c>
      <c r="AI374" s="0" t="n">
        <v>14.97</v>
      </c>
      <c r="AJ374" s="0" t="n">
        <v>8.2</v>
      </c>
      <c r="AR374" s="0" t="n">
        <v>4.97</v>
      </c>
      <c r="AS374" s="0" t="n">
        <v>4.99</v>
      </c>
      <c r="AT374" s="0" t="n">
        <v>2.69</v>
      </c>
    </row>
    <row r="375" customFormat="false" ht="14.25" hidden="false" customHeight="false" outlineLevel="0" collapsed="false">
      <c r="A375" s="0" t="n">
        <v>12.01</v>
      </c>
      <c r="B375" s="0" t="n">
        <v>2.83</v>
      </c>
      <c r="C375" s="0" t="n">
        <v>5.63</v>
      </c>
      <c r="D375" s="0" t="n">
        <v>9.48</v>
      </c>
      <c r="H375" s="0" t="n">
        <v>2.87</v>
      </c>
      <c r="I375" s="0" t="n">
        <v>668.08</v>
      </c>
      <c r="R375" s="0" t="n">
        <v>5.29</v>
      </c>
      <c r="S375" s="0" t="n">
        <v>4.82</v>
      </c>
      <c r="T375" s="0" t="n">
        <v>4.8</v>
      </c>
      <c r="U375" s="0" t="n">
        <v>4.47</v>
      </c>
      <c r="V375" s="0" t="n">
        <v>5.07</v>
      </c>
      <c r="W375" s="0" t="n">
        <v>4.2</v>
      </c>
      <c r="X375" s="0" t="n">
        <v>4.28</v>
      </c>
      <c r="Y375" s="0" t="n">
        <v>1.87</v>
      </c>
      <c r="AB375" s="0" t="n">
        <v>3.88</v>
      </c>
      <c r="AC375" s="0" t="n">
        <v>4.81</v>
      </c>
      <c r="AH375" s="0" t="n">
        <v>12.46</v>
      </c>
      <c r="AI375" s="0" t="n">
        <v>14.97</v>
      </c>
      <c r="AJ375" s="0" t="n">
        <v>8.15</v>
      </c>
      <c r="AR375" s="0" t="n">
        <v>4.96</v>
      </c>
      <c r="AS375" s="0" t="n">
        <v>5.01</v>
      </c>
      <c r="AT375" s="0" t="n">
        <v>2.7</v>
      </c>
    </row>
    <row r="376" customFormat="false" ht="14.25" hidden="false" customHeight="false" outlineLevel="0" collapsed="false">
      <c r="A376" s="0" t="n">
        <v>12.02</v>
      </c>
      <c r="B376" s="0" t="n">
        <v>2.83</v>
      </c>
      <c r="C376" s="0" t="n">
        <v>5.64</v>
      </c>
      <c r="D376" s="0" t="n">
        <v>9.5</v>
      </c>
      <c r="H376" s="0" t="n">
        <v>2.87</v>
      </c>
      <c r="I376" s="0" t="n">
        <v>668.07</v>
      </c>
      <c r="R376" s="0" t="n">
        <v>5.29</v>
      </c>
      <c r="S376" s="0" t="n">
        <v>4.83</v>
      </c>
      <c r="T376" s="0" t="n">
        <v>4.81</v>
      </c>
      <c r="U376" s="0" t="n">
        <v>4.54</v>
      </c>
      <c r="V376" s="0" t="n">
        <v>5.11</v>
      </c>
      <c r="W376" s="0" t="n">
        <v>4.2</v>
      </c>
      <c r="X376" s="0" t="n">
        <v>4.27</v>
      </c>
      <c r="Y376" s="0" t="n">
        <v>1.88</v>
      </c>
      <c r="AB376" s="0" t="n">
        <v>3.89</v>
      </c>
      <c r="AC376" s="0" t="n">
        <v>4.81</v>
      </c>
      <c r="AH376" s="0" t="n">
        <v>12.46</v>
      </c>
      <c r="AI376" s="0" t="n">
        <v>14.98</v>
      </c>
      <c r="AJ376" s="0" t="n">
        <v>8.15</v>
      </c>
      <c r="AR376" s="0" t="n">
        <v>4.96</v>
      </c>
      <c r="AS376" s="0" t="n">
        <v>5.02</v>
      </c>
      <c r="AT376" s="0" t="n">
        <v>2.69</v>
      </c>
    </row>
    <row r="377" customFormat="false" ht="14.25" hidden="false" customHeight="false" outlineLevel="0" collapsed="false">
      <c r="A377" s="0" t="n">
        <v>12.01</v>
      </c>
      <c r="B377" s="0" t="n">
        <v>2.84</v>
      </c>
      <c r="C377" s="0" t="n">
        <v>5.63</v>
      </c>
      <c r="D377" s="0" t="n">
        <v>9.47</v>
      </c>
      <c r="H377" s="0" t="n">
        <v>2.87</v>
      </c>
      <c r="I377" s="0" t="n">
        <v>668.07</v>
      </c>
      <c r="R377" s="0" t="n">
        <v>5.29</v>
      </c>
      <c r="S377" s="0" t="n">
        <v>4.84</v>
      </c>
      <c r="T377" s="0" t="n">
        <v>4.81</v>
      </c>
      <c r="U377" s="0" t="n">
        <v>4.59</v>
      </c>
      <c r="V377" s="0" t="n">
        <v>5.21</v>
      </c>
      <c r="W377" s="0" t="n">
        <v>4.2</v>
      </c>
      <c r="X377" s="0" t="n">
        <v>4.28</v>
      </c>
      <c r="Y377" s="0" t="n">
        <v>1.89</v>
      </c>
      <c r="AB377" s="0" t="n">
        <v>3.85</v>
      </c>
      <c r="AC377" s="0" t="n">
        <v>4.81</v>
      </c>
      <c r="AH377" s="0" t="n">
        <v>12.45</v>
      </c>
      <c r="AI377" s="0" t="n">
        <v>14.95</v>
      </c>
      <c r="AJ377" s="0" t="n">
        <v>8.11</v>
      </c>
      <c r="AR377" s="0" t="n">
        <v>4.95</v>
      </c>
      <c r="AS377" s="0" t="n">
        <v>5.02</v>
      </c>
      <c r="AT377" s="0" t="n">
        <v>2.69</v>
      </c>
    </row>
    <row r="378" customFormat="false" ht="14.25" hidden="false" customHeight="false" outlineLevel="0" collapsed="false">
      <c r="A378" s="0" t="n">
        <v>12.01</v>
      </c>
      <c r="B378" s="0" t="n">
        <v>2.83</v>
      </c>
      <c r="C378" s="0" t="n">
        <v>5.63</v>
      </c>
      <c r="D378" s="0" t="n">
        <v>9.47</v>
      </c>
      <c r="H378" s="0" t="n">
        <v>2.86</v>
      </c>
      <c r="I378" s="0" t="n">
        <v>668.06</v>
      </c>
      <c r="R378" s="0" t="n">
        <v>5.29</v>
      </c>
      <c r="S378" s="0" t="n">
        <v>4.82</v>
      </c>
      <c r="T378" s="0" t="n">
        <v>4.8</v>
      </c>
      <c r="U378" s="0" t="n">
        <v>4.51</v>
      </c>
      <c r="V378" s="0" t="n">
        <v>5.2</v>
      </c>
      <c r="W378" s="0" t="n">
        <v>4.21</v>
      </c>
      <c r="X378" s="0" t="n">
        <v>4.28</v>
      </c>
      <c r="Y378" s="0" t="n">
        <v>1.88</v>
      </c>
      <c r="AB378" s="0" t="n">
        <v>3.89</v>
      </c>
      <c r="AC378" s="0" t="n">
        <v>4.81</v>
      </c>
      <c r="AH378" s="0" t="n">
        <v>12.45</v>
      </c>
      <c r="AI378" s="0" t="n">
        <v>14.95</v>
      </c>
      <c r="AJ378" s="0" t="n">
        <v>8.1</v>
      </c>
      <c r="AR378" s="0" t="n">
        <v>4.9</v>
      </c>
      <c r="AS378" s="0" t="n">
        <v>5.1</v>
      </c>
      <c r="AT378" s="0" t="n">
        <v>2.69</v>
      </c>
    </row>
    <row r="379" customFormat="false" ht="14.25" hidden="false" customHeight="false" outlineLevel="0" collapsed="false">
      <c r="A379" s="0" t="n">
        <v>12.01</v>
      </c>
      <c r="B379" s="0" t="n">
        <v>2.83</v>
      </c>
      <c r="C379" s="0" t="n">
        <v>5.62</v>
      </c>
      <c r="D379" s="0" t="n">
        <v>9.47</v>
      </c>
      <c r="H379" s="0" t="n">
        <v>2.86</v>
      </c>
      <c r="I379" s="0" t="n">
        <v>668.05</v>
      </c>
      <c r="R379" s="0" t="n">
        <v>5.29</v>
      </c>
      <c r="S379" s="0" t="n">
        <v>4.88</v>
      </c>
      <c r="T379" s="0" t="n">
        <v>4.81</v>
      </c>
      <c r="U379" s="0" t="n">
        <v>4.51</v>
      </c>
      <c r="V379" s="0" t="n">
        <v>5.18</v>
      </c>
      <c r="W379" s="0" t="n">
        <v>4.21</v>
      </c>
      <c r="X379" s="0" t="n">
        <v>4.28</v>
      </c>
      <c r="Y379" s="0" t="n">
        <v>1.88</v>
      </c>
      <c r="AB379" s="0" t="n">
        <v>3.87</v>
      </c>
      <c r="AC379" s="0" t="n">
        <v>4.77</v>
      </c>
      <c r="AH379" s="0" t="n">
        <v>12.45</v>
      </c>
      <c r="AI379" s="0" t="n">
        <v>14.98</v>
      </c>
      <c r="AJ379" s="0" t="n">
        <v>8.07</v>
      </c>
      <c r="AR379" s="0" t="n">
        <v>4.98</v>
      </c>
      <c r="AS379" s="0" t="n">
        <v>5.09</v>
      </c>
      <c r="AT379" s="0" t="n">
        <v>2.69</v>
      </c>
    </row>
    <row r="380" customFormat="false" ht="14.25" hidden="false" customHeight="false" outlineLevel="0" collapsed="false">
      <c r="A380" s="0" t="n">
        <v>12.01</v>
      </c>
      <c r="B380" s="0" t="n">
        <v>2.83</v>
      </c>
      <c r="C380" s="0" t="n">
        <v>5.62</v>
      </c>
      <c r="D380" s="0" t="n">
        <v>9.47</v>
      </c>
      <c r="H380" s="0" t="n">
        <v>2.86</v>
      </c>
      <c r="I380" s="0" t="n">
        <v>668.04</v>
      </c>
      <c r="R380" s="0" t="n">
        <v>5.28</v>
      </c>
      <c r="S380" s="0" t="n">
        <v>4.88</v>
      </c>
      <c r="T380" s="0" t="n">
        <v>4.81</v>
      </c>
      <c r="U380" s="0" t="n">
        <v>4.51</v>
      </c>
      <c r="V380" s="0" t="n">
        <v>5.17</v>
      </c>
      <c r="W380" s="0" t="n">
        <v>4.2</v>
      </c>
      <c r="X380" s="0" t="n">
        <v>4.29</v>
      </c>
      <c r="Y380" s="0" t="n">
        <v>1.88</v>
      </c>
      <c r="AB380" s="0" t="n">
        <v>3.95</v>
      </c>
      <c r="AC380" s="0" t="n">
        <v>4.82</v>
      </c>
      <c r="AH380" s="0" t="n">
        <v>12.46</v>
      </c>
      <c r="AI380" s="0" t="n">
        <v>14.94</v>
      </c>
      <c r="AJ380" s="0" t="n">
        <v>8.04</v>
      </c>
      <c r="AR380" s="0" t="n">
        <v>4.98</v>
      </c>
      <c r="AS380" s="0" t="n">
        <v>5.13</v>
      </c>
      <c r="AT380" s="0" t="n">
        <v>2.69</v>
      </c>
    </row>
    <row r="381" customFormat="false" ht="14.25" hidden="false" customHeight="false" outlineLevel="0" collapsed="false">
      <c r="A381" s="0" t="n">
        <v>12</v>
      </c>
      <c r="B381" s="0" t="n">
        <v>2.83</v>
      </c>
      <c r="C381" s="0" t="n">
        <v>5.61</v>
      </c>
      <c r="D381" s="0" t="n">
        <v>9.49</v>
      </c>
      <c r="H381" s="0" t="n">
        <v>2.86</v>
      </c>
      <c r="I381" s="0" t="n">
        <v>668.06</v>
      </c>
      <c r="R381" s="0" t="n">
        <v>5.29</v>
      </c>
      <c r="S381" s="0" t="n">
        <v>4.86</v>
      </c>
      <c r="T381" s="0" t="n">
        <v>4.81</v>
      </c>
      <c r="U381" s="0" t="n">
        <v>4.51</v>
      </c>
      <c r="V381" s="0" t="n">
        <v>5.18</v>
      </c>
      <c r="W381" s="0" t="n">
        <v>4.22</v>
      </c>
      <c r="X381" s="0" t="n">
        <v>4.2</v>
      </c>
      <c r="Y381" s="0" t="n">
        <v>1.91</v>
      </c>
      <c r="AB381" s="0" t="n">
        <v>3.89</v>
      </c>
      <c r="AC381" s="0" t="n">
        <v>4.81</v>
      </c>
      <c r="AH381" s="0" t="n">
        <v>12.46</v>
      </c>
      <c r="AI381" s="0" t="n">
        <v>14.98</v>
      </c>
      <c r="AJ381" s="0" t="n">
        <v>8.04</v>
      </c>
      <c r="AR381" s="0" t="n">
        <v>4.98</v>
      </c>
      <c r="AS381" s="0" t="n">
        <v>5.12</v>
      </c>
      <c r="AT381" s="0" t="n">
        <v>2.69</v>
      </c>
    </row>
    <row r="382" customFormat="false" ht="14.25" hidden="false" customHeight="false" outlineLevel="0" collapsed="false">
      <c r="A382" s="0" t="n">
        <v>12</v>
      </c>
      <c r="B382" s="0" t="n">
        <v>2.83</v>
      </c>
      <c r="C382" s="0" t="n">
        <v>5.61</v>
      </c>
      <c r="D382" s="0" t="n">
        <v>9.48</v>
      </c>
      <c r="H382" s="0" t="n">
        <v>2.85</v>
      </c>
      <c r="I382" s="0" t="n">
        <v>668.06</v>
      </c>
      <c r="R382" s="0" t="n">
        <v>5.27</v>
      </c>
      <c r="S382" s="0" t="n">
        <v>4.86</v>
      </c>
      <c r="T382" s="0" t="n">
        <v>4.81</v>
      </c>
      <c r="U382" s="0" t="n">
        <v>4.54</v>
      </c>
      <c r="V382" s="0" t="n">
        <v>5.12</v>
      </c>
      <c r="W382" s="0" t="n">
        <v>4.18</v>
      </c>
      <c r="X382" s="0" t="n">
        <v>4.27</v>
      </c>
      <c r="Y382" s="0" t="n">
        <v>1.91</v>
      </c>
      <c r="AB382" s="0" t="n">
        <v>3.89</v>
      </c>
      <c r="AC382" s="0" t="n">
        <v>4.81</v>
      </c>
      <c r="AH382" s="0" t="n">
        <v>12.45</v>
      </c>
      <c r="AI382" s="0" t="n">
        <v>14.97</v>
      </c>
      <c r="AJ382" s="0" t="n">
        <v>8.02</v>
      </c>
      <c r="AR382" s="0" t="n">
        <v>4.93</v>
      </c>
      <c r="AS382" s="0" t="n">
        <v>5.13</v>
      </c>
      <c r="AT382" s="0" t="n">
        <v>2.7</v>
      </c>
    </row>
    <row r="383" customFormat="false" ht="14.25" hidden="false" customHeight="false" outlineLevel="0" collapsed="false">
      <c r="A383" s="0" t="n">
        <v>12</v>
      </c>
      <c r="B383" s="0" t="n">
        <v>2.82</v>
      </c>
      <c r="C383" s="0" t="n">
        <v>5.61</v>
      </c>
      <c r="D383" s="0" t="n">
        <v>9.48</v>
      </c>
      <c r="H383" s="0" t="n">
        <v>2.87</v>
      </c>
      <c r="I383" s="0" t="n">
        <v>668.06</v>
      </c>
      <c r="R383" s="0" t="n">
        <v>5.29</v>
      </c>
      <c r="S383" s="0" t="n">
        <v>4.83</v>
      </c>
      <c r="T383" s="0" t="n">
        <v>4.82</v>
      </c>
      <c r="U383" s="0" t="n">
        <v>4.48</v>
      </c>
      <c r="V383" s="0" t="n">
        <v>5.07</v>
      </c>
      <c r="W383" s="0" t="n">
        <v>4.19</v>
      </c>
      <c r="X383" s="0" t="n">
        <v>4.3</v>
      </c>
      <c r="Y383" s="0" t="n">
        <v>1.92</v>
      </c>
      <c r="AB383" s="0" t="n">
        <v>3.95</v>
      </c>
      <c r="AC383" s="0" t="n">
        <v>4.79</v>
      </c>
      <c r="AH383" s="0" t="n">
        <v>12.46</v>
      </c>
      <c r="AI383" s="0" t="n">
        <v>14.97</v>
      </c>
      <c r="AJ383" s="0" t="n">
        <v>7.98</v>
      </c>
      <c r="AR383" s="0" t="n">
        <v>4.92</v>
      </c>
      <c r="AS383" s="0" t="n">
        <v>5.14</v>
      </c>
      <c r="AT383" s="0" t="n">
        <v>2.68</v>
      </c>
    </row>
    <row r="384" customFormat="false" ht="14.25" hidden="false" customHeight="false" outlineLevel="0" collapsed="false">
      <c r="A384" s="0" t="n">
        <v>12</v>
      </c>
      <c r="B384" s="0" t="n">
        <v>2.83</v>
      </c>
      <c r="C384" s="0" t="n">
        <v>5.6</v>
      </c>
      <c r="D384" s="0" t="n">
        <v>9.49</v>
      </c>
      <c r="H384" s="0" t="n">
        <v>2.85</v>
      </c>
      <c r="I384" s="0" t="n">
        <v>668.07</v>
      </c>
      <c r="R384" s="0" t="n">
        <v>5.28</v>
      </c>
      <c r="S384" s="0" t="n">
        <v>4.87</v>
      </c>
      <c r="T384" s="0" t="n">
        <v>4.82</v>
      </c>
      <c r="U384" s="0" t="n">
        <v>4.44</v>
      </c>
      <c r="V384" s="0" t="n">
        <v>5.05</v>
      </c>
      <c r="W384" s="0" t="n">
        <v>4.2</v>
      </c>
      <c r="X384" s="0" t="n">
        <v>4.3</v>
      </c>
      <c r="Y384" s="0" t="n">
        <v>1.93</v>
      </c>
      <c r="AB384" s="0" t="n">
        <v>3.95</v>
      </c>
      <c r="AC384" s="0" t="n">
        <v>4.79</v>
      </c>
      <c r="AH384" s="0" t="n">
        <v>12.44</v>
      </c>
      <c r="AI384" s="0" t="n">
        <v>14.98</v>
      </c>
      <c r="AJ384" s="0" t="n">
        <v>7.97</v>
      </c>
      <c r="AR384" s="0" t="n">
        <v>4.95</v>
      </c>
      <c r="AS384" s="0" t="n">
        <v>5.14</v>
      </c>
      <c r="AT384" s="0" t="n">
        <v>2.7</v>
      </c>
    </row>
    <row r="385" customFormat="false" ht="14.25" hidden="false" customHeight="false" outlineLevel="0" collapsed="false">
      <c r="A385" s="0" t="n">
        <v>11.99</v>
      </c>
      <c r="B385" s="0" t="n">
        <v>2.83</v>
      </c>
      <c r="C385" s="0" t="n">
        <v>5.6</v>
      </c>
      <c r="D385" s="0" t="n">
        <v>9.47</v>
      </c>
      <c r="H385" s="0" t="n">
        <v>2.87</v>
      </c>
      <c r="I385" s="0" t="n">
        <v>668.08</v>
      </c>
      <c r="R385" s="0" t="n">
        <v>5.28</v>
      </c>
      <c r="S385" s="0" t="n">
        <v>4.88</v>
      </c>
      <c r="T385" s="0" t="n">
        <v>4.82</v>
      </c>
      <c r="U385" s="0" t="n">
        <v>4.47</v>
      </c>
      <c r="V385" s="0" t="n">
        <v>5.05</v>
      </c>
      <c r="W385" s="0" t="n">
        <v>4.19</v>
      </c>
      <c r="X385" s="0" t="n">
        <v>4.29</v>
      </c>
      <c r="Y385" s="0" t="n">
        <v>1.92</v>
      </c>
      <c r="AB385" s="0" t="n">
        <v>3.9</v>
      </c>
      <c r="AC385" s="0" t="n">
        <v>4.78</v>
      </c>
      <c r="AH385" s="0" t="n">
        <v>12.46</v>
      </c>
      <c r="AI385" s="0" t="n">
        <v>14.98</v>
      </c>
      <c r="AJ385" s="0" t="n">
        <v>7.95</v>
      </c>
      <c r="AR385" s="0" t="n">
        <v>4.98</v>
      </c>
      <c r="AS385" s="0" t="n">
        <v>5.15</v>
      </c>
      <c r="AT385" s="0" t="n">
        <v>2.7</v>
      </c>
    </row>
    <row r="386" customFormat="false" ht="14.25" hidden="false" customHeight="false" outlineLevel="0" collapsed="false">
      <c r="A386" s="0" t="n">
        <v>11.99</v>
      </c>
      <c r="B386" s="0" t="n">
        <v>2.82</v>
      </c>
      <c r="C386" s="0" t="n">
        <v>5.6</v>
      </c>
      <c r="D386" s="0" t="n">
        <v>9.48</v>
      </c>
      <c r="H386" s="0" t="n">
        <v>2.88</v>
      </c>
      <c r="I386" s="0" t="n">
        <v>668.12</v>
      </c>
      <c r="R386" s="0" t="n">
        <v>5.29</v>
      </c>
      <c r="S386" s="0" t="n">
        <v>4.89</v>
      </c>
      <c r="T386" s="0" t="n">
        <v>4.82</v>
      </c>
      <c r="U386" s="0" t="n">
        <v>4.47</v>
      </c>
      <c r="V386" s="0" t="n">
        <v>5.06</v>
      </c>
      <c r="W386" s="0" t="n">
        <v>4.2</v>
      </c>
      <c r="X386" s="0" t="n">
        <v>4.28</v>
      </c>
      <c r="Y386" s="0" t="n">
        <v>1.88</v>
      </c>
      <c r="AB386" s="0" t="n">
        <v>3.86</v>
      </c>
      <c r="AC386" s="0" t="n">
        <v>4.82</v>
      </c>
      <c r="AH386" s="0" t="n">
        <v>12.47</v>
      </c>
      <c r="AI386" s="0" t="n">
        <v>14.98</v>
      </c>
      <c r="AJ386" s="0" t="n">
        <v>7.93</v>
      </c>
      <c r="AR386" s="0" t="n">
        <v>4.97</v>
      </c>
      <c r="AS386" s="0" t="n">
        <v>5.15</v>
      </c>
      <c r="AT386" s="0" t="n">
        <v>2.68</v>
      </c>
    </row>
    <row r="387" customFormat="false" ht="14.25" hidden="false" customHeight="false" outlineLevel="0" collapsed="false">
      <c r="A387" s="0" t="n">
        <v>11.99</v>
      </c>
      <c r="B387" s="0" t="n">
        <v>2.83</v>
      </c>
      <c r="C387" s="0" t="n">
        <v>5.6</v>
      </c>
      <c r="D387" s="0" t="n">
        <v>9.46</v>
      </c>
      <c r="H387" s="0" t="n">
        <v>2.87</v>
      </c>
      <c r="I387" s="0" t="n">
        <v>668.16</v>
      </c>
      <c r="R387" s="0" t="n">
        <v>5.29</v>
      </c>
      <c r="S387" s="0" t="n">
        <v>4.95</v>
      </c>
      <c r="T387" s="0" t="n">
        <v>4.84</v>
      </c>
      <c r="U387" s="0" t="n">
        <v>4.47</v>
      </c>
      <c r="V387" s="0" t="n">
        <v>5.06</v>
      </c>
      <c r="W387" s="0" t="n">
        <v>4.21</v>
      </c>
      <c r="X387" s="0" t="n">
        <v>4.33</v>
      </c>
      <c r="Y387" s="0" t="n">
        <v>1.93</v>
      </c>
      <c r="AB387" s="0" t="n">
        <v>3.85</v>
      </c>
      <c r="AC387" s="0" t="n">
        <v>4.79</v>
      </c>
      <c r="AH387" s="0" t="n">
        <v>12.45</v>
      </c>
      <c r="AI387" s="0" t="n">
        <v>14.99</v>
      </c>
      <c r="AJ387" s="0" t="n">
        <v>7.9</v>
      </c>
      <c r="AR387" s="0" t="n">
        <v>4.99</v>
      </c>
      <c r="AS387" s="0" t="n">
        <v>5.16</v>
      </c>
      <c r="AT387" s="0" t="n">
        <v>2.69</v>
      </c>
    </row>
    <row r="388" customFormat="false" ht="14.25" hidden="false" customHeight="false" outlineLevel="0" collapsed="false">
      <c r="A388" s="0" t="n">
        <v>11.99</v>
      </c>
      <c r="B388" s="0" t="n">
        <v>2.83</v>
      </c>
      <c r="C388" s="0" t="n">
        <v>5.61</v>
      </c>
      <c r="D388" s="0" t="n">
        <v>9.49</v>
      </c>
      <c r="H388" s="0" t="n">
        <v>2.87</v>
      </c>
      <c r="I388" s="0" t="n">
        <v>668.17</v>
      </c>
      <c r="R388" s="0" t="n">
        <v>5.26</v>
      </c>
      <c r="S388" s="0" t="n">
        <v>4.87</v>
      </c>
      <c r="T388" s="0" t="n">
        <v>4.84</v>
      </c>
      <c r="U388" s="0" t="n">
        <v>4.48</v>
      </c>
      <c r="V388" s="0" t="n">
        <v>5.07</v>
      </c>
      <c r="W388" s="0" t="n">
        <v>4.22</v>
      </c>
      <c r="X388" s="0" t="n">
        <v>4.28</v>
      </c>
      <c r="Y388" s="0" t="n">
        <v>1.93</v>
      </c>
      <c r="AB388" s="0" t="n">
        <v>3.82</v>
      </c>
      <c r="AC388" s="0" t="n">
        <v>4.84</v>
      </c>
      <c r="AH388" s="0" t="n">
        <v>12.47</v>
      </c>
      <c r="AI388" s="0" t="n">
        <v>14.99</v>
      </c>
      <c r="AJ388" s="0" t="n">
        <v>7.89</v>
      </c>
      <c r="AR388" s="0" t="n">
        <v>4.96</v>
      </c>
      <c r="AS388" s="0" t="n">
        <v>5.15</v>
      </c>
      <c r="AT388" s="0" t="n">
        <v>2.7</v>
      </c>
    </row>
    <row r="389" customFormat="false" ht="14.25" hidden="false" customHeight="false" outlineLevel="0" collapsed="false">
      <c r="A389" s="0" t="n">
        <v>11.98</v>
      </c>
      <c r="B389" s="0" t="n">
        <v>2.83</v>
      </c>
      <c r="C389" s="0" t="n">
        <v>5.61</v>
      </c>
      <c r="D389" s="0" t="n">
        <v>9.5</v>
      </c>
      <c r="H389" s="0" t="n">
        <v>2.87</v>
      </c>
      <c r="I389" s="0" t="n">
        <v>668.17</v>
      </c>
      <c r="R389" s="0" t="n">
        <v>5.26</v>
      </c>
      <c r="S389" s="0" t="n">
        <v>4.88</v>
      </c>
      <c r="T389" s="0" t="n">
        <v>4.83</v>
      </c>
      <c r="U389" s="0" t="n">
        <v>4.48</v>
      </c>
      <c r="V389" s="0" t="n">
        <v>5.08</v>
      </c>
      <c r="W389" s="0" t="n">
        <v>4.2</v>
      </c>
      <c r="X389" s="0" t="n">
        <v>4.34</v>
      </c>
      <c r="Y389" s="0" t="n">
        <v>1.94</v>
      </c>
      <c r="AB389" s="0" t="n">
        <v>3.83</v>
      </c>
      <c r="AC389" s="0" t="n">
        <v>4.76</v>
      </c>
      <c r="AH389" s="0" t="n">
        <v>12.48</v>
      </c>
      <c r="AI389" s="0" t="n">
        <v>14.99</v>
      </c>
      <c r="AJ389" s="0" t="n">
        <v>7.86</v>
      </c>
      <c r="AR389" s="0" t="n">
        <v>4.97</v>
      </c>
      <c r="AS389" s="0" t="n">
        <v>5.14</v>
      </c>
      <c r="AT389" s="0" t="n">
        <v>2.69</v>
      </c>
    </row>
    <row r="390" customFormat="false" ht="14.25" hidden="false" customHeight="false" outlineLevel="0" collapsed="false">
      <c r="A390" s="0" t="n">
        <v>11.98</v>
      </c>
      <c r="B390" s="0" t="n">
        <v>2.83</v>
      </c>
      <c r="C390" s="0" t="n">
        <v>5.6</v>
      </c>
      <c r="D390" s="0" t="n">
        <v>9.5</v>
      </c>
      <c r="H390" s="0" t="n">
        <v>2.87</v>
      </c>
      <c r="I390" s="0" t="n">
        <v>668.17</v>
      </c>
      <c r="R390" s="0" t="n">
        <v>5.29</v>
      </c>
      <c r="S390" s="0" t="n">
        <v>4.87</v>
      </c>
      <c r="T390" s="0" t="n">
        <v>4.84</v>
      </c>
      <c r="U390" s="0" t="n">
        <v>4.47</v>
      </c>
      <c r="V390" s="0" t="n">
        <v>5.09</v>
      </c>
      <c r="W390" s="0" t="n">
        <v>4.23</v>
      </c>
      <c r="X390" s="0" t="n">
        <v>4.29</v>
      </c>
      <c r="Y390" s="0" t="n">
        <v>1.95</v>
      </c>
      <c r="AB390" s="0" t="n">
        <v>3.82</v>
      </c>
      <c r="AC390" s="0" t="n">
        <v>4.74</v>
      </c>
      <c r="AH390" s="0" t="n">
        <v>12.47</v>
      </c>
      <c r="AI390" s="0" t="n">
        <v>14.99</v>
      </c>
      <c r="AJ390" s="0" t="n">
        <v>7.84</v>
      </c>
      <c r="AR390" s="0" t="n">
        <v>5</v>
      </c>
      <c r="AS390" s="0" t="n">
        <v>5.15</v>
      </c>
      <c r="AT390" s="0" t="n">
        <v>2.68</v>
      </c>
    </row>
    <row r="391" customFormat="false" ht="14.25" hidden="false" customHeight="false" outlineLevel="0" collapsed="false">
      <c r="A391" s="0" t="n">
        <v>11.97</v>
      </c>
      <c r="B391" s="0" t="n">
        <v>2.82</v>
      </c>
      <c r="C391" s="0" t="n">
        <v>5.6</v>
      </c>
      <c r="D391" s="0" t="n">
        <v>9.47</v>
      </c>
      <c r="H391" s="0" t="n">
        <v>2.88</v>
      </c>
      <c r="I391" s="0" t="n">
        <v>668.15</v>
      </c>
      <c r="R391" s="0" t="n">
        <v>5.28</v>
      </c>
      <c r="S391" s="0" t="n">
        <v>4.85</v>
      </c>
      <c r="T391" s="0" t="n">
        <v>4.84</v>
      </c>
      <c r="U391" s="0" t="n">
        <v>4.36</v>
      </c>
      <c r="V391" s="0" t="n">
        <v>5.1</v>
      </c>
      <c r="W391" s="0" t="n">
        <v>4.22</v>
      </c>
      <c r="X391" s="0" t="n">
        <v>4.28</v>
      </c>
      <c r="Y391" s="0" t="n">
        <v>1.94</v>
      </c>
      <c r="AB391" s="0" t="n">
        <v>3.78</v>
      </c>
      <c r="AC391" s="0" t="n">
        <v>4.62</v>
      </c>
      <c r="AH391" s="0" t="n">
        <v>12.46</v>
      </c>
      <c r="AI391" s="0" t="n">
        <v>14.99</v>
      </c>
      <c r="AJ391" s="0" t="n">
        <v>7.83</v>
      </c>
      <c r="AR391" s="0" t="n">
        <v>5</v>
      </c>
      <c r="AS391" s="0" t="n">
        <v>5.14</v>
      </c>
      <c r="AT391" s="0" t="n">
        <v>2.71</v>
      </c>
    </row>
    <row r="392" customFormat="false" ht="14.25" hidden="false" customHeight="false" outlineLevel="0" collapsed="false">
      <c r="A392" s="0" t="n">
        <v>11.98</v>
      </c>
      <c r="B392" s="0" t="n">
        <v>2.83</v>
      </c>
      <c r="C392" s="0" t="n">
        <v>5.6</v>
      </c>
      <c r="D392" s="0" t="n">
        <v>9.5</v>
      </c>
      <c r="H392" s="0" t="n">
        <v>2.87</v>
      </c>
      <c r="I392" s="0" t="n">
        <v>668.12</v>
      </c>
      <c r="R392" s="0" t="n">
        <v>5.29</v>
      </c>
      <c r="S392" s="0" t="n">
        <v>4.85</v>
      </c>
      <c r="T392" s="0" t="n">
        <v>4.84</v>
      </c>
      <c r="U392" s="0" t="n">
        <v>4.47</v>
      </c>
      <c r="V392" s="0" t="n">
        <v>5.09</v>
      </c>
      <c r="W392" s="0" t="n">
        <v>4.19</v>
      </c>
      <c r="X392" s="0" t="n">
        <v>4.29</v>
      </c>
      <c r="Y392" s="0" t="n">
        <v>1.95</v>
      </c>
      <c r="AB392" s="0" t="n">
        <v>3.69</v>
      </c>
      <c r="AC392" s="0" t="n">
        <v>4.61</v>
      </c>
      <c r="AH392" s="0" t="n">
        <v>12.46</v>
      </c>
      <c r="AI392" s="0" t="n">
        <v>14.98</v>
      </c>
      <c r="AJ392" s="0" t="n">
        <v>7.81</v>
      </c>
      <c r="AR392" s="0" t="n">
        <v>4.99</v>
      </c>
      <c r="AS392" s="0" t="n">
        <v>5.16</v>
      </c>
      <c r="AT392" s="0" t="n">
        <v>2.7</v>
      </c>
    </row>
    <row r="393" customFormat="false" ht="14.25" hidden="false" customHeight="false" outlineLevel="0" collapsed="false">
      <c r="A393" s="0" t="n">
        <v>11.97</v>
      </c>
      <c r="B393" s="0" t="n">
        <v>2.83</v>
      </c>
      <c r="C393" s="0" t="n">
        <v>5.59</v>
      </c>
      <c r="D393" s="0" t="n">
        <v>9.5</v>
      </c>
      <c r="H393" s="0" t="n">
        <v>2.88</v>
      </c>
      <c r="I393" s="0" t="n">
        <v>668.12</v>
      </c>
      <c r="R393" s="0" t="n">
        <v>5.3</v>
      </c>
      <c r="S393" s="0" t="n">
        <v>4.85</v>
      </c>
      <c r="T393" s="0" t="n">
        <v>4.85</v>
      </c>
      <c r="U393" s="0" t="n">
        <v>4.46</v>
      </c>
      <c r="V393" s="0" t="n">
        <v>5.08</v>
      </c>
      <c r="W393" s="0" t="n">
        <v>4.22</v>
      </c>
      <c r="X393" s="0" t="n">
        <v>4.3</v>
      </c>
      <c r="Y393" s="0" t="n">
        <v>1.94</v>
      </c>
      <c r="AB393" s="0" t="n">
        <v>3.66</v>
      </c>
      <c r="AC393" s="0" t="n">
        <v>4.59</v>
      </c>
      <c r="AH393" s="0" t="n">
        <v>12.47</v>
      </c>
      <c r="AI393" s="0" t="n">
        <v>14.99</v>
      </c>
      <c r="AJ393" s="0" t="n">
        <v>7.79</v>
      </c>
      <c r="AR393" s="0" t="n">
        <v>5</v>
      </c>
      <c r="AS393" s="0" t="n">
        <v>5.16</v>
      </c>
      <c r="AT393" s="0" t="n">
        <v>2.69</v>
      </c>
    </row>
    <row r="394" customFormat="false" ht="14.25" hidden="false" customHeight="false" outlineLevel="0" collapsed="false">
      <c r="A394" s="0" t="n">
        <v>11.97</v>
      </c>
      <c r="B394" s="0" t="n">
        <v>2.83</v>
      </c>
      <c r="C394" s="0" t="n">
        <v>5.59</v>
      </c>
      <c r="D394" s="0" t="n">
        <v>9.52</v>
      </c>
      <c r="H394" s="0" t="n">
        <v>2.87</v>
      </c>
      <c r="I394" s="0" t="n">
        <v>668.14</v>
      </c>
      <c r="R394" s="0" t="n">
        <v>5.29</v>
      </c>
      <c r="S394" s="0" t="n">
        <v>4.88</v>
      </c>
      <c r="T394" s="0" t="n">
        <v>4.84</v>
      </c>
      <c r="U394" s="0" t="n">
        <v>4.47</v>
      </c>
      <c r="V394" s="0" t="n">
        <v>5.09</v>
      </c>
      <c r="W394" s="0" t="n">
        <v>4.2</v>
      </c>
      <c r="X394" s="0" t="n">
        <v>4.29</v>
      </c>
      <c r="Y394" s="0" t="n">
        <v>1.95</v>
      </c>
      <c r="AB394" s="0" t="n">
        <v>3.68</v>
      </c>
      <c r="AC394" s="0" t="n">
        <v>4.57</v>
      </c>
      <c r="AH394" s="0" t="n">
        <v>12.47</v>
      </c>
      <c r="AI394" s="0" t="n">
        <v>14.98</v>
      </c>
      <c r="AJ394" s="0" t="n">
        <v>7.78</v>
      </c>
      <c r="AR394" s="0" t="n">
        <v>5</v>
      </c>
      <c r="AS394" s="0" t="n">
        <v>5.16</v>
      </c>
      <c r="AT394" s="0" t="n">
        <v>2.7</v>
      </c>
    </row>
    <row r="395" customFormat="false" ht="14.25" hidden="false" customHeight="false" outlineLevel="0" collapsed="false">
      <c r="A395" s="0" t="n">
        <v>11.97</v>
      </c>
      <c r="B395" s="0" t="n">
        <v>2.82</v>
      </c>
      <c r="C395" s="0" t="n">
        <v>5.59</v>
      </c>
      <c r="D395" s="0" t="n">
        <v>9.48</v>
      </c>
      <c r="H395" s="0" t="n">
        <v>2.87</v>
      </c>
      <c r="I395" s="0" t="n">
        <v>668.12</v>
      </c>
      <c r="R395" s="0" t="n">
        <v>5.28</v>
      </c>
      <c r="S395" s="0" t="n">
        <v>4.85</v>
      </c>
      <c r="T395" s="0" t="n">
        <v>4.82</v>
      </c>
      <c r="U395" s="0" t="n">
        <v>4.47</v>
      </c>
      <c r="V395" s="0" t="n">
        <v>5.09</v>
      </c>
      <c r="W395" s="0" t="n">
        <v>4.21</v>
      </c>
      <c r="X395" s="0" t="n">
        <v>4.28</v>
      </c>
      <c r="Y395" s="0" t="n">
        <v>1.95</v>
      </c>
      <c r="AB395" s="0" t="n">
        <v>3.64</v>
      </c>
      <c r="AC395" s="0" t="n">
        <v>4.57</v>
      </c>
      <c r="AH395" s="0" t="n">
        <v>12.47</v>
      </c>
      <c r="AI395" s="0" t="n">
        <v>14.99</v>
      </c>
      <c r="AJ395" s="0" t="n">
        <v>7.77</v>
      </c>
      <c r="AR395" s="0" t="n">
        <v>5</v>
      </c>
      <c r="AS395" s="0" t="n">
        <v>5.16</v>
      </c>
      <c r="AT395" s="0" t="n">
        <v>2.71</v>
      </c>
    </row>
    <row r="396" customFormat="false" ht="14.25" hidden="false" customHeight="false" outlineLevel="0" collapsed="false">
      <c r="A396" s="0" t="n">
        <v>11.97</v>
      </c>
      <c r="B396" s="0" t="n">
        <v>2.83</v>
      </c>
      <c r="C396" s="0" t="n">
        <v>5.59</v>
      </c>
      <c r="D396" s="0" t="n">
        <v>9.49</v>
      </c>
      <c r="H396" s="0" t="n">
        <v>2.88</v>
      </c>
      <c r="I396" s="0" t="n">
        <v>668.12</v>
      </c>
      <c r="R396" s="0" t="n">
        <v>5.27</v>
      </c>
      <c r="S396" s="0" t="n">
        <v>4.88</v>
      </c>
      <c r="T396" s="0" t="n">
        <v>4.83</v>
      </c>
      <c r="U396" s="0" t="n">
        <v>4.46</v>
      </c>
      <c r="V396" s="0" t="n">
        <v>5.1</v>
      </c>
      <c r="W396" s="0" t="n">
        <v>4.21</v>
      </c>
      <c r="X396" s="0" t="n">
        <v>4.28</v>
      </c>
      <c r="Y396" s="0" t="n">
        <v>1.96</v>
      </c>
      <c r="AB396" s="0" t="n">
        <v>3.68</v>
      </c>
      <c r="AC396" s="0" t="n">
        <v>4.61</v>
      </c>
      <c r="AH396" s="0" t="n">
        <v>12.47</v>
      </c>
      <c r="AI396" s="0" t="n">
        <v>14.98</v>
      </c>
      <c r="AJ396" s="0" t="n">
        <v>7.75</v>
      </c>
      <c r="AR396" s="0" t="n">
        <v>5</v>
      </c>
      <c r="AS396" s="0" t="n">
        <v>5.16</v>
      </c>
      <c r="AT396" s="0" t="n">
        <v>2.71</v>
      </c>
    </row>
    <row r="397" customFormat="false" ht="14.25" hidden="false" customHeight="false" outlineLevel="0" collapsed="false">
      <c r="A397" s="0" t="n">
        <v>11.97</v>
      </c>
      <c r="B397" s="0" t="n">
        <v>2.83</v>
      </c>
      <c r="C397" s="0" t="n">
        <v>5.59</v>
      </c>
      <c r="D397" s="0" t="n">
        <v>9.49</v>
      </c>
      <c r="H397" s="0" t="n">
        <v>2.86</v>
      </c>
      <c r="I397" s="0" t="n">
        <v>668.12</v>
      </c>
      <c r="R397" s="0" t="n">
        <v>5.3</v>
      </c>
      <c r="S397" s="0" t="n">
        <v>4.87</v>
      </c>
      <c r="T397" s="0" t="n">
        <v>4.83</v>
      </c>
      <c r="U397" s="0" t="n">
        <v>4.45</v>
      </c>
      <c r="V397" s="0" t="n">
        <v>5.08</v>
      </c>
      <c r="W397" s="0" t="n">
        <v>4.21</v>
      </c>
      <c r="X397" s="0" t="n">
        <v>4.29</v>
      </c>
      <c r="Y397" s="0" t="n">
        <v>1.96</v>
      </c>
      <c r="AB397" s="0" t="n">
        <v>3.66</v>
      </c>
      <c r="AC397" s="0" t="n">
        <v>4.59</v>
      </c>
      <c r="AH397" s="0" t="n">
        <v>12.48</v>
      </c>
      <c r="AI397" s="0" t="n">
        <v>14.98</v>
      </c>
      <c r="AJ397" s="0" t="n">
        <v>7.75</v>
      </c>
      <c r="AR397" s="0" t="n">
        <v>5.01</v>
      </c>
      <c r="AS397" s="0" t="n">
        <v>5.16</v>
      </c>
      <c r="AT397" s="0" t="n">
        <v>2.72</v>
      </c>
    </row>
    <row r="398" customFormat="false" ht="14.25" hidden="false" customHeight="false" outlineLevel="0" collapsed="false">
      <c r="A398" s="0" t="n">
        <v>11.97</v>
      </c>
      <c r="B398" s="0" t="n">
        <v>2.83</v>
      </c>
      <c r="C398" s="0" t="n">
        <v>5.58</v>
      </c>
      <c r="D398" s="0" t="n">
        <v>9.47</v>
      </c>
      <c r="H398" s="0" t="n">
        <v>2.87</v>
      </c>
      <c r="I398" s="0" t="n">
        <v>668.12</v>
      </c>
      <c r="R398" s="0" t="n">
        <v>5.31</v>
      </c>
      <c r="S398" s="0" t="n">
        <v>4.9</v>
      </c>
      <c r="T398" s="0" t="n">
        <v>4.82</v>
      </c>
      <c r="U398" s="0" t="n">
        <v>4.46</v>
      </c>
      <c r="V398" s="0" t="n">
        <v>5.07</v>
      </c>
      <c r="W398" s="0" t="n">
        <v>4.23</v>
      </c>
      <c r="X398" s="0" t="n">
        <v>4.28</v>
      </c>
      <c r="Y398" s="0" t="n">
        <v>1.95</v>
      </c>
      <c r="AB398" s="0" t="n">
        <v>3.65</v>
      </c>
      <c r="AC398" s="0" t="n">
        <v>4.59</v>
      </c>
      <c r="AH398" s="0" t="n">
        <v>12.49</v>
      </c>
      <c r="AI398" s="0" t="n">
        <v>14.98</v>
      </c>
      <c r="AJ398" s="0" t="n">
        <v>7.74</v>
      </c>
      <c r="AR398" s="0" t="n">
        <v>5</v>
      </c>
      <c r="AS398" s="0" t="n">
        <v>5.16</v>
      </c>
      <c r="AT398" s="0" t="n">
        <v>2.71</v>
      </c>
    </row>
    <row r="399" customFormat="false" ht="14.25" hidden="false" customHeight="false" outlineLevel="0" collapsed="false">
      <c r="A399" s="0" t="n">
        <v>11.97</v>
      </c>
      <c r="B399" s="0" t="n">
        <v>2.84</v>
      </c>
      <c r="C399" s="0" t="n">
        <v>5.58</v>
      </c>
      <c r="D399" s="0" t="n">
        <v>9.46</v>
      </c>
      <c r="H399" s="0" t="n">
        <v>2.87</v>
      </c>
      <c r="I399" s="0" t="n">
        <v>668.12</v>
      </c>
      <c r="R399" s="0" t="n">
        <v>5.31</v>
      </c>
      <c r="S399" s="0" t="n">
        <v>4.88</v>
      </c>
      <c r="T399" s="0" t="n">
        <v>4.82</v>
      </c>
      <c r="U399" s="0" t="n">
        <v>4.46</v>
      </c>
      <c r="V399" s="0" t="n">
        <v>5.07</v>
      </c>
      <c r="W399" s="0" t="n">
        <v>4.22</v>
      </c>
      <c r="X399" s="0" t="n">
        <v>4.27</v>
      </c>
      <c r="Y399" s="0" t="n">
        <v>1.94</v>
      </c>
      <c r="AB399" s="0" t="n">
        <v>3.64</v>
      </c>
      <c r="AC399" s="0" t="n">
        <v>4.61</v>
      </c>
      <c r="AH399" s="0" t="n">
        <v>12.49</v>
      </c>
      <c r="AI399" s="0" t="n">
        <v>14.99</v>
      </c>
      <c r="AJ399" s="0" t="n">
        <v>7.73</v>
      </c>
      <c r="AR399" s="0" t="n">
        <v>5.01</v>
      </c>
      <c r="AS399" s="0" t="n">
        <v>5.16</v>
      </c>
      <c r="AT399" s="0" t="n">
        <v>2.72</v>
      </c>
    </row>
    <row r="400" customFormat="false" ht="14.25" hidden="false" customHeight="false" outlineLevel="0" collapsed="false">
      <c r="A400" s="0" t="n">
        <v>11.97</v>
      </c>
      <c r="B400" s="0" t="n">
        <v>2.83</v>
      </c>
      <c r="C400" s="0" t="n">
        <v>5.59</v>
      </c>
      <c r="D400" s="0" t="n">
        <v>9.47</v>
      </c>
      <c r="H400" s="0" t="n">
        <v>2.87</v>
      </c>
      <c r="I400" s="0" t="n">
        <v>668.12</v>
      </c>
      <c r="R400" s="0" t="n">
        <v>5.3</v>
      </c>
      <c r="S400" s="0" t="n">
        <v>4.88</v>
      </c>
      <c r="T400" s="0" t="n">
        <v>4.83</v>
      </c>
      <c r="U400" s="0" t="n">
        <v>4.46</v>
      </c>
      <c r="V400" s="0" t="n">
        <v>5.07</v>
      </c>
      <c r="W400" s="0" t="n">
        <v>4.22</v>
      </c>
      <c r="X400" s="0" t="n">
        <v>4.28</v>
      </c>
      <c r="Y400" s="0" t="n">
        <v>1.94</v>
      </c>
      <c r="AB400" s="0" t="n">
        <v>3.65</v>
      </c>
      <c r="AC400" s="0" t="n">
        <v>4.57</v>
      </c>
      <c r="AH400" s="0" t="n">
        <v>12.49</v>
      </c>
      <c r="AI400" s="0" t="n">
        <v>14.98</v>
      </c>
      <c r="AJ400" s="0" t="n">
        <v>7.71</v>
      </c>
      <c r="AR400" s="0" t="n">
        <v>5.02</v>
      </c>
      <c r="AS400" s="0" t="n">
        <v>5.16</v>
      </c>
      <c r="AT400" s="0" t="n">
        <v>2.7</v>
      </c>
    </row>
    <row r="401" customFormat="false" ht="14.25" hidden="false" customHeight="false" outlineLevel="0" collapsed="false">
      <c r="A401" s="0" t="n">
        <v>11.97</v>
      </c>
      <c r="B401" s="0" t="n">
        <v>2.84</v>
      </c>
      <c r="C401" s="0" t="n">
        <v>5.58</v>
      </c>
      <c r="D401" s="0" t="n">
        <v>9.47</v>
      </c>
      <c r="H401" s="0" t="n">
        <v>2.86</v>
      </c>
      <c r="I401" s="0" t="n">
        <v>668.12</v>
      </c>
      <c r="R401" s="0" t="n">
        <v>5.32</v>
      </c>
      <c r="S401" s="0" t="n">
        <v>4.89</v>
      </c>
      <c r="T401" s="0" t="n">
        <v>4.83</v>
      </c>
      <c r="U401" s="0" t="n">
        <v>4.46</v>
      </c>
      <c r="V401" s="0" t="n">
        <v>5.07</v>
      </c>
      <c r="W401" s="0" t="n">
        <v>4.23</v>
      </c>
      <c r="X401" s="0" t="n">
        <v>4.28</v>
      </c>
      <c r="Y401" s="0" t="n">
        <v>1.95</v>
      </c>
      <c r="AB401" s="0" t="n">
        <v>3.63</v>
      </c>
      <c r="AC401" s="0" t="n">
        <v>4.59</v>
      </c>
      <c r="AH401" s="0" t="n">
        <v>12.49</v>
      </c>
      <c r="AI401" s="0" t="n">
        <v>14.99</v>
      </c>
      <c r="AJ401" s="0" t="n">
        <v>7.72</v>
      </c>
      <c r="AR401" s="0" t="n">
        <v>5</v>
      </c>
      <c r="AS401" s="0" t="n">
        <v>5.16</v>
      </c>
      <c r="AT401" s="0" t="n">
        <v>2.72</v>
      </c>
    </row>
    <row r="402" customFormat="false" ht="14.25" hidden="false" customHeight="false" outlineLevel="0" collapsed="false">
      <c r="A402" s="0" t="n">
        <v>11.96</v>
      </c>
      <c r="B402" s="0" t="n">
        <v>2.84</v>
      </c>
      <c r="C402" s="0" t="n">
        <v>5.57</v>
      </c>
      <c r="D402" s="0" t="n">
        <v>9.45</v>
      </c>
      <c r="H402" s="0" t="n">
        <v>2.85</v>
      </c>
      <c r="I402" s="0" t="n">
        <v>668.14</v>
      </c>
      <c r="R402" s="0" t="n">
        <v>5.31</v>
      </c>
      <c r="S402" s="0" t="n">
        <v>4.88</v>
      </c>
      <c r="T402" s="0" t="n">
        <v>4.83</v>
      </c>
      <c r="U402" s="0" t="n">
        <v>4.45</v>
      </c>
      <c r="V402" s="0" t="n">
        <v>5.08</v>
      </c>
      <c r="W402" s="0" t="n">
        <v>4.26</v>
      </c>
      <c r="X402" s="0" t="n">
        <v>4.27</v>
      </c>
      <c r="Y402" s="0" t="n">
        <v>1.94</v>
      </c>
      <c r="AB402" s="0" t="n">
        <v>3.67</v>
      </c>
      <c r="AC402" s="0" t="n">
        <v>4.57</v>
      </c>
      <c r="AH402" s="0" t="n">
        <v>12.5</v>
      </c>
      <c r="AI402" s="0" t="n">
        <v>14.99</v>
      </c>
      <c r="AJ402" s="0" t="n">
        <v>7.72</v>
      </c>
      <c r="AR402" s="0" t="n">
        <v>5.01</v>
      </c>
      <c r="AS402" s="0" t="n">
        <v>5.16</v>
      </c>
      <c r="AT402" s="0" t="n">
        <v>2.72</v>
      </c>
    </row>
    <row r="403" customFormat="false" ht="14.25" hidden="false" customHeight="false" outlineLevel="0" collapsed="false">
      <c r="A403" s="0" t="n">
        <v>11.96</v>
      </c>
      <c r="B403" s="0" t="n">
        <v>2.84</v>
      </c>
      <c r="C403" s="0" t="n">
        <v>5.56</v>
      </c>
      <c r="D403" s="0" t="n">
        <v>9.47</v>
      </c>
      <c r="H403" s="0" t="n">
        <v>2.87</v>
      </c>
      <c r="I403" s="0" t="n">
        <v>668.12</v>
      </c>
      <c r="R403" s="0" t="n">
        <v>5.27</v>
      </c>
      <c r="S403" s="0" t="n">
        <v>4.9</v>
      </c>
      <c r="T403" s="0" t="n">
        <v>4.83</v>
      </c>
      <c r="U403" s="0" t="n">
        <v>4.48</v>
      </c>
      <c r="V403" s="0" t="n">
        <v>5.08</v>
      </c>
      <c r="W403" s="0" t="n">
        <v>4.23</v>
      </c>
      <c r="X403" s="0" t="n">
        <v>4.27</v>
      </c>
      <c r="Y403" s="0" t="n">
        <v>1.96</v>
      </c>
      <c r="AB403" s="0" t="n">
        <v>3.71</v>
      </c>
      <c r="AC403" s="0" t="n">
        <v>4.59</v>
      </c>
      <c r="AH403" s="0" t="n">
        <v>12.49</v>
      </c>
      <c r="AI403" s="0" t="n">
        <v>14.99</v>
      </c>
      <c r="AJ403" s="0" t="n">
        <v>7.71</v>
      </c>
      <c r="AR403" s="0" t="n">
        <v>5.01</v>
      </c>
      <c r="AS403" s="0" t="n">
        <v>5.16</v>
      </c>
      <c r="AT403" s="0" t="n">
        <v>2.72</v>
      </c>
    </row>
    <row r="404" customFormat="false" ht="14.25" hidden="false" customHeight="false" outlineLevel="0" collapsed="false">
      <c r="A404" s="0" t="n">
        <v>11.96</v>
      </c>
      <c r="B404" s="0" t="n">
        <v>2.84</v>
      </c>
      <c r="C404" s="0" t="n">
        <v>5.57</v>
      </c>
      <c r="D404" s="0" t="n">
        <v>9.45</v>
      </c>
      <c r="H404" s="0" t="n">
        <v>2.86</v>
      </c>
      <c r="I404" s="0" t="n">
        <v>668.14</v>
      </c>
      <c r="R404" s="0" t="n">
        <v>5.32</v>
      </c>
      <c r="S404" s="0" t="n">
        <v>4.88</v>
      </c>
      <c r="T404" s="0" t="n">
        <v>4.83</v>
      </c>
      <c r="U404" s="0" t="n">
        <v>4.4</v>
      </c>
      <c r="V404" s="0" t="n">
        <v>5.08</v>
      </c>
      <c r="W404" s="0" t="n">
        <v>4.25</v>
      </c>
      <c r="X404" s="0" t="n">
        <v>4.27</v>
      </c>
      <c r="Y404" s="0" t="n">
        <v>1.95</v>
      </c>
      <c r="AB404" s="0" t="n">
        <v>3.69</v>
      </c>
      <c r="AC404" s="0" t="n">
        <v>4.59</v>
      </c>
      <c r="AH404" s="0" t="n">
        <v>12.49</v>
      </c>
      <c r="AI404" s="0" t="n">
        <v>15</v>
      </c>
      <c r="AJ404" s="0" t="n">
        <v>7.7</v>
      </c>
      <c r="AR404" s="0" t="n">
        <v>5</v>
      </c>
      <c r="AS404" s="0" t="n">
        <v>5.16</v>
      </c>
      <c r="AT404" s="0" t="n">
        <v>2.72</v>
      </c>
    </row>
    <row r="405" customFormat="false" ht="14.25" hidden="false" customHeight="false" outlineLevel="0" collapsed="false">
      <c r="A405" s="0" t="n">
        <v>11.96</v>
      </c>
      <c r="B405" s="0" t="n">
        <v>2.86</v>
      </c>
      <c r="C405" s="0" t="n">
        <v>5.59</v>
      </c>
      <c r="D405" s="0" t="n">
        <v>9.45</v>
      </c>
      <c r="H405" s="0" t="n">
        <v>2.89</v>
      </c>
      <c r="I405" s="0" t="n">
        <v>668.14</v>
      </c>
      <c r="R405" s="0" t="n">
        <v>5.3</v>
      </c>
      <c r="S405" s="0" t="n">
        <v>4.87</v>
      </c>
      <c r="T405" s="0" t="n">
        <v>4.83</v>
      </c>
      <c r="U405" s="0" t="n">
        <v>4.43</v>
      </c>
      <c r="V405" s="0" t="n">
        <v>5.08</v>
      </c>
      <c r="W405" s="0" t="n">
        <v>4.25</v>
      </c>
      <c r="X405" s="0" t="n">
        <v>4.26</v>
      </c>
      <c r="Y405" s="0" t="n">
        <v>1.91</v>
      </c>
      <c r="AB405" s="0" t="n">
        <v>3.71</v>
      </c>
      <c r="AC405" s="0" t="n">
        <v>4.59</v>
      </c>
      <c r="AH405" s="0" t="n">
        <v>12.5</v>
      </c>
      <c r="AI405" s="0" t="n">
        <v>15</v>
      </c>
      <c r="AJ405" s="0" t="n">
        <v>7.7</v>
      </c>
      <c r="AR405" s="0" t="n">
        <v>5.02</v>
      </c>
      <c r="AS405" s="0" t="n">
        <v>5.15</v>
      </c>
      <c r="AT405" s="0" t="n">
        <v>2.72</v>
      </c>
    </row>
    <row r="406" customFormat="false" ht="14.25" hidden="false" customHeight="false" outlineLevel="0" collapsed="false">
      <c r="A406" s="0" t="n">
        <v>11.96</v>
      </c>
      <c r="B406" s="0" t="n">
        <v>2.83</v>
      </c>
      <c r="C406" s="0" t="n">
        <v>5.6</v>
      </c>
      <c r="D406" s="0" t="n">
        <v>9.47</v>
      </c>
      <c r="H406" s="0" t="n">
        <v>2.88</v>
      </c>
      <c r="I406" s="0" t="n">
        <v>668.12</v>
      </c>
      <c r="R406" s="0" t="n">
        <v>5.3</v>
      </c>
      <c r="S406" s="0" t="n">
        <v>4.88</v>
      </c>
      <c r="T406" s="0" t="n">
        <v>4.84</v>
      </c>
      <c r="U406" s="0" t="n">
        <v>4.44</v>
      </c>
      <c r="V406" s="0" t="n">
        <v>5.08</v>
      </c>
      <c r="W406" s="0" t="n">
        <v>4.25</v>
      </c>
      <c r="X406" s="0" t="n">
        <v>4.26</v>
      </c>
      <c r="Y406" s="0" t="n">
        <v>1.95</v>
      </c>
      <c r="AB406" s="0" t="n">
        <v>3.69</v>
      </c>
      <c r="AC406" s="0" t="n">
        <v>4.59</v>
      </c>
      <c r="AH406" s="0" t="n">
        <v>12.5</v>
      </c>
      <c r="AI406" s="0" t="n">
        <v>15</v>
      </c>
      <c r="AJ406" s="0" t="n">
        <v>7.71</v>
      </c>
      <c r="AR406" s="0" t="n">
        <v>5.02</v>
      </c>
      <c r="AS406" s="0" t="n">
        <v>5.15</v>
      </c>
      <c r="AT406" s="0" t="n">
        <v>2.72</v>
      </c>
    </row>
    <row r="407" customFormat="false" ht="14.25" hidden="false" customHeight="false" outlineLevel="0" collapsed="false">
      <c r="A407" s="0" t="n">
        <v>11.97</v>
      </c>
      <c r="B407" s="0" t="n">
        <v>2.84</v>
      </c>
      <c r="C407" s="0" t="n">
        <v>5.6</v>
      </c>
      <c r="D407" s="0" t="n">
        <v>9.42</v>
      </c>
      <c r="H407" s="0" t="n">
        <v>2.87</v>
      </c>
      <c r="I407" s="0" t="n">
        <v>668.14</v>
      </c>
      <c r="R407" s="0" t="n">
        <v>5.33</v>
      </c>
      <c r="S407" s="0" t="n">
        <v>4.87</v>
      </c>
      <c r="T407" s="0" t="n">
        <v>4.84</v>
      </c>
      <c r="U407" s="0" t="n">
        <v>4.44</v>
      </c>
      <c r="V407" s="0" t="n">
        <v>5.07</v>
      </c>
      <c r="W407" s="0" t="n">
        <v>4.25</v>
      </c>
      <c r="X407" s="0" t="n">
        <v>4.26</v>
      </c>
      <c r="Y407" s="0" t="n">
        <v>1.95</v>
      </c>
      <c r="AB407" s="0" t="n">
        <v>3.68</v>
      </c>
      <c r="AC407" s="0" t="n">
        <v>4.6</v>
      </c>
      <c r="AH407" s="0" t="n">
        <v>12.51</v>
      </c>
      <c r="AI407" s="0" t="n">
        <v>15</v>
      </c>
      <c r="AJ407" s="0" t="n">
        <v>7.71</v>
      </c>
      <c r="AR407" s="0" t="n">
        <v>5.02</v>
      </c>
      <c r="AS407" s="0" t="n">
        <v>5.14</v>
      </c>
      <c r="AT407" s="0" t="n">
        <v>2.73</v>
      </c>
    </row>
    <row r="408" customFormat="false" ht="14.25" hidden="false" customHeight="false" outlineLevel="0" collapsed="false">
      <c r="A408" s="0" t="n">
        <v>11.95</v>
      </c>
      <c r="B408" s="0" t="n">
        <v>2.83</v>
      </c>
      <c r="C408" s="0" t="n">
        <v>5.59</v>
      </c>
      <c r="D408" s="0" t="n">
        <v>9.44</v>
      </c>
      <c r="H408" s="0" t="n">
        <v>2.89</v>
      </c>
      <c r="I408" s="0" t="n">
        <v>668.12</v>
      </c>
      <c r="R408" s="0" t="n">
        <v>5.33</v>
      </c>
      <c r="S408" s="0" t="n">
        <v>4.87</v>
      </c>
      <c r="T408" s="0" t="n">
        <v>4.85</v>
      </c>
      <c r="U408" s="0" t="n">
        <v>4.43</v>
      </c>
      <c r="V408" s="0" t="n">
        <v>5.07</v>
      </c>
      <c r="W408" s="0" t="n">
        <v>4.24</v>
      </c>
      <c r="X408" s="0" t="n">
        <v>4.24</v>
      </c>
      <c r="Y408" s="0" t="n">
        <v>1.88</v>
      </c>
      <c r="AB408" s="0" t="n">
        <v>3.68</v>
      </c>
      <c r="AC408" s="0" t="n">
        <v>4.59</v>
      </c>
      <c r="AH408" s="0" t="n">
        <v>12.51</v>
      </c>
      <c r="AI408" s="0" t="n">
        <v>15</v>
      </c>
      <c r="AJ408" s="0" t="n">
        <v>7.69</v>
      </c>
      <c r="AR408" s="0" t="n">
        <v>5.02</v>
      </c>
      <c r="AS408" s="0" t="n">
        <v>5.13</v>
      </c>
      <c r="AT408" s="0" t="n">
        <v>2.72</v>
      </c>
    </row>
    <row r="409" customFormat="false" ht="14.25" hidden="false" customHeight="false" outlineLevel="0" collapsed="false">
      <c r="A409" s="0" t="n">
        <v>11.95</v>
      </c>
      <c r="B409" s="0" t="n">
        <v>2.84</v>
      </c>
      <c r="C409" s="0" t="n">
        <v>5.59</v>
      </c>
      <c r="D409" s="0" t="n">
        <v>9.43</v>
      </c>
      <c r="H409" s="0" t="n">
        <v>2.86</v>
      </c>
      <c r="I409" s="0" t="n">
        <v>668.14</v>
      </c>
      <c r="R409" s="0" t="n">
        <v>5.32</v>
      </c>
      <c r="S409" s="0" t="n">
        <v>4.88</v>
      </c>
      <c r="T409" s="0" t="n">
        <v>4.84</v>
      </c>
      <c r="U409" s="0" t="n">
        <v>4.42</v>
      </c>
      <c r="V409" s="0" t="n">
        <v>5.07</v>
      </c>
      <c r="W409" s="0" t="n">
        <v>4.23</v>
      </c>
      <c r="X409" s="0" t="n">
        <v>4.23</v>
      </c>
      <c r="Y409" s="0" t="n">
        <v>1.94</v>
      </c>
      <c r="AB409" s="0" t="n">
        <v>3.67</v>
      </c>
      <c r="AC409" s="0" t="n">
        <v>4.58</v>
      </c>
      <c r="AH409" s="0" t="n">
        <v>12.51</v>
      </c>
      <c r="AI409" s="0" t="n">
        <v>15</v>
      </c>
      <c r="AJ409" s="0" t="n">
        <v>7.71</v>
      </c>
      <c r="AR409" s="0" t="n">
        <v>5.03</v>
      </c>
      <c r="AS409" s="0" t="n">
        <v>5.14</v>
      </c>
      <c r="AT409" s="0" t="n">
        <v>2.72</v>
      </c>
    </row>
    <row r="410" customFormat="false" ht="14.25" hidden="false" customHeight="false" outlineLevel="0" collapsed="false">
      <c r="A410" s="0" t="n">
        <v>11.97</v>
      </c>
      <c r="B410" s="0" t="n">
        <v>2.85</v>
      </c>
      <c r="C410" s="0" t="n">
        <v>5.59</v>
      </c>
      <c r="D410" s="0" t="n">
        <v>9.43</v>
      </c>
      <c r="H410" s="0" t="n">
        <v>2.86</v>
      </c>
      <c r="I410" s="0" t="n">
        <v>668.14</v>
      </c>
      <c r="R410" s="0" t="n">
        <v>5.33</v>
      </c>
      <c r="T410" s="0" t="n">
        <v>4.84</v>
      </c>
      <c r="U410" s="0" t="n">
        <v>4.45</v>
      </c>
      <c r="V410" s="0" t="n">
        <v>5.07</v>
      </c>
      <c r="W410" s="0" t="n">
        <v>4.25</v>
      </c>
      <c r="X410" s="0" t="n">
        <v>4.24</v>
      </c>
      <c r="Y410" s="0" t="n">
        <v>1.92</v>
      </c>
      <c r="AB410" s="0" t="n">
        <v>3.68</v>
      </c>
      <c r="AC410" s="0" t="n">
        <v>4.6</v>
      </c>
      <c r="AH410" s="0" t="n">
        <v>12.51</v>
      </c>
      <c r="AI410" s="0" t="n">
        <v>15.01</v>
      </c>
      <c r="AJ410" s="0" t="n">
        <v>7.71</v>
      </c>
      <c r="AR410" s="0" t="n">
        <v>5.03</v>
      </c>
      <c r="AS410" s="0" t="n">
        <v>5.14</v>
      </c>
      <c r="AT410" s="0" t="n">
        <v>2.72</v>
      </c>
    </row>
    <row r="411" customFormat="false" ht="14.25" hidden="false" customHeight="false" outlineLevel="0" collapsed="false">
      <c r="A411" s="0" t="n">
        <v>11.95</v>
      </c>
      <c r="B411" s="0" t="n">
        <v>2.83</v>
      </c>
      <c r="C411" s="0" t="n">
        <v>5.58</v>
      </c>
      <c r="D411" s="0" t="n">
        <v>9.39</v>
      </c>
      <c r="H411" s="0" t="n">
        <v>2.86</v>
      </c>
      <c r="I411" s="0" t="n">
        <v>668.14</v>
      </c>
      <c r="R411" s="0" t="n">
        <v>5.34</v>
      </c>
      <c r="T411" s="0" t="n">
        <v>4.83</v>
      </c>
      <c r="U411" s="0" t="n">
        <v>4.5</v>
      </c>
      <c r="V411" s="0" t="n">
        <v>5.08</v>
      </c>
      <c r="W411" s="0" t="n">
        <v>4.26</v>
      </c>
      <c r="X411" s="0" t="n">
        <v>4.23</v>
      </c>
      <c r="Y411" s="0" t="n">
        <v>1.89</v>
      </c>
      <c r="AB411" s="0" t="n">
        <v>3.68</v>
      </c>
      <c r="AC411" s="0" t="n">
        <v>4.59</v>
      </c>
      <c r="AH411" s="0" t="n">
        <v>12.51</v>
      </c>
      <c r="AI411" s="0" t="n">
        <v>15</v>
      </c>
      <c r="AJ411" s="0" t="n">
        <v>7.7</v>
      </c>
      <c r="AR411" s="0" t="n">
        <v>5.03</v>
      </c>
      <c r="AS411" s="0" t="n">
        <v>5.12</v>
      </c>
      <c r="AT411" s="0" t="n">
        <v>2.73</v>
      </c>
    </row>
    <row r="412" customFormat="false" ht="14.25" hidden="false" customHeight="false" outlineLevel="0" collapsed="false">
      <c r="A412" s="0" t="n">
        <v>11.96</v>
      </c>
      <c r="B412" s="0" t="n">
        <v>2.83</v>
      </c>
      <c r="C412" s="0" t="n">
        <v>5.58</v>
      </c>
      <c r="D412" s="0" t="n">
        <v>9.39</v>
      </c>
      <c r="H412" s="0" t="n">
        <v>2.85</v>
      </c>
      <c r="I412" s="0" t="n">
        <v>668.14</v>
      </c>
      <c r="R412" s="0" t="n">
        <v>5.33</v>
      </c>
      <c r="T412" s="0" t="n">
        <v>4.83</v>
      </c>
      <c r="U412" s="0" t="n">
        <v>4.48</v>
      </c>
      <c r="V412" s="0" t="n">
        <v>5.08</v>
      </c>
      <c r="W412" s="0" t="n">
        <v>4.27</v>
      </c>
      <c r="X412" s="0" t="n">
        <v>4.23</v>
      </c>
      <c r="Y412" s="0" t="n">
        <v>1.86</v>
      </c>
      <c r="AB412" s="0" t="n">
        <v>3.67</v>
      </c>
      <c r="AC412" s="0" t="n">
        <v>4.59</v>
      </c>
      <c r="AH412" s="0" t="n">
        <v>12.5</v>
      </c>
      <c r="AI412" s="0" t="n">
        <v>15</v>
      </c>
      <c r="AJ412" s="0" t="n">
        <v>7.7</v>
      </c>
      <c r="AR412" s="0" t="n">
        <v>5.03</v>
      </c>
      <c r="AS412" s="0" t="n">
        <v>5.14</v>
      </c>
      <c r="AT412" s="0" t="n">
        <v>2.73</v>
      </c>
    </row>
    <row r="413" customFormat="false" ht="14.25" hidden="false" customHeight="false" outlineLevel="0" collapsed="false">
      <c r="A413" s="0" t="n">
        <v>11.96</v>
      </c>
      <c r="B413" s="0" t="n">
        <v>2.83</v>
      </c>
      <c r="C413" s="0" t="n">
        <v>5.58</v>
      </c>
      <c r="D413" s="0" t="n">
        <v>9.42</v>
      </c>
      <c r="H413" s="0" t="n">
        <v>2.86</v>
      </c>
      <c r="I413" s="0" t="n">
        <v>668.14</v>
      </c>
      <c r="R413" s="0" t="n">
        <v>5.34</v>
      </c>
      <c r="T413" s="0" t="n">
        <v>4.84</v>
      </c>
      <c r="U413" s="0" t="n">
        <v>4.47</v>
      </c>
      <c r="V413" s="0" t="n">
        <v>5.08</v>
      </c>
      <c r="W413" s="0" t="n">
        <v>4.26</v>
      </c>
      <c r="X413" s="0" t="n">
        <v>4.22</v>
      </c>
      <c r="Y413" s="0" t="n">
        <v>1.85</v>
      </c>
      <c r="AB413" s="0" t="n">
        <v>3.66</v>
      </c>
      <c r="AC413" s="0" t="n">
        <v>4.59</v>
      </c>
      <c r="AH413" s="0" t="n">
        <v>12.51</v>
      </c>
      <c r="AI413" s="0" t="n">
        <v>15.01</v>
      </c>
      <c r="AJ413" s="0" t="n">
        <v>7.68</v>
      </c>
      <c r="AR413" s="0" t="n">
        <v>5.04</v>
      </c>
      <c r="AS413" s="0" t="n">
        <v>5.14</v>
      </c>
      <c r="AT413" s="0" t="n">
        <v>2.74</v>
      </c>
    </row>
    <row r="414" customFormat="false" ht="14.25" hidden="false" customHeight="false" outlineLevel="0" collapsed="false">
      <c r="A414" s="0" t="n">
        <v>11.96</v>
      </c>
      <c r="B414" s="0" t="n">
        <v>2.82</v>
      </c>
      <c r="C414" s="0" t="n">
        <v>5.58</v>
      </c>
      <c r="D414" s="0" t="n">
        <v>9.42</v>
      </c>
      <c r="H414" s="0" t="n">
        <v>2.87</v>
      </c>
      <c r="I414" s="0" t="n">
        <v>668.14</v>
      </c>
      <c r="R414" s="0" t="n">
        <v>5.33</v>
      </c>
      <c r="T414" s="0" t="n">
        <v>4.84</v>
      </c>
      <c r="U414" s="0" t="n">
        <v>4.46</v>
      </c>
      <c r="V414" s="0" t="n">
        <v>5.08</v>
      </c>
      <c r="W414" s="0" t="n">
        <v>4.25</v>
      </c>
      <c r="X414" s="0" t="n">
        <v>4.22</v>
      </c>
      <c r="Y414" s="0" t="n">
        <v>1.84</v>
      </c>
      <c r="AB414" s="0" t="n">
        <v>3.67</v>
      </c>
      <c r="AC414" s="0" t="n">
        <v>4.6</v>
      </c>
      <c r="AH414" s="0" t="n">
        <v>12.52</v>
      </c>
      <c r="AI414" s="0" t="n">
        <v>15.01</v>
      </c>
      <c r="AJ414" s="0" t="n">
        <v>7.7</v>
      </c>
      <c r="AR414" s="0" t="n">
        <v>5.04</v>
      </c>
      <c r="AS414" s="0" t="n">
        <v>5.13</v>
      </c>
      <c r="AT414" s="0" t="n">
        <v>2.72</v>
      </c>
    </row>
    <row r="415" customFormat="false" ht="14.25" hidden="false" customHeight="false" outlineLevel="0" collapsed="false">
      <c r="A415" s="0" t="n">
        <v>11.95</v>
      </c>
      <c r="B415" s="0" t="n">
        <v>2.85</v>
      </c>
      <c r="C415" s="0" t="n">
        <v>5.58</v>
      </c>
      <c r="D415" s="0" t="n">
        <v>9.4</v>
      </c>
      <c r="H415" s="0" t="n">
        <v>2.86</v>
      </c>
      <c r="I415" s="0" t="n">
        <v>668.14</v>
      </c>
      <c r="R415" s="0" t="n">
        <v>5.33</v>
      </c>
      <c r="T415" s="0" t="n">
        <v>4.84</v>
      </c>
      <c r="U415" s="0" t="n">
        <v>4.42</v>
      </c>
      <c r="V415" s="0" t="n">
        <v>5.08</v>
      </c>
      <c r="W415" s="0" t="n">
        <v>4.25</v>
      </c>
      <c r="X415" s="0" t="n">
        <v>4.21</v>
      </c>
      <c r="Y415" s="0" t="n">
        <v>1.84</v>
      </c>
      <c r="AB415" s="0" t="n">
        <v>3.68</v>
      </c>
      <c r="AC415" s="0" t="n">
        <v>4.59</v>
      </c>
      <c r="AH415" s="0" t="n">
        <v>12.52</v>
      </c>
      <c r="AI415" s="0" t="n">
        <v>15</v>
      </c>
      <c r="AJ415" s="0" t="n">
        <v>7.69</v>
      </c>
      <c r="AR415" s="0" t="n">
        <v>5.03</v>
      </c>
      <c r="AS415" s="0" t="n">
        <v>5.12</v>
      </c>
      <c r="AT415" s="0" t="n">
        <v>2.73</v>
      </c>
    </row>
    <row r="416" customFormat="false" ht="14.25" hidden="false" customHeight="false" outlineLevel="0" collapsed="false">
      <c r="A416" s="0" t="n">
        <v>11.94</v>
      </c>
      <c r="B416" s="0" t="n">
        <v>2.8</v>
      </c>
      <c r="C416" s="0" t="n">
        <v>5.58</v>
      </c>
      <c r="D416" s="0" t="n">
        <v>9.41</v>
      </c>
      <c r="H416" s="0" t="n">
        <v>2.87</v>
      </c>
      <c r="I416" s="0" t="n">
        <v>668.12</v>
      </c>
      <c r="R416" s="0" t="n">
        <v>5.33</v>
      </c>
      <c r="T416" s="0" t="n">
        <v>4.83</v>
      </c>
      <c r="U416" s="0" t="n">
        <v>4.4</v>
      </c>
      <c r="V416" s="0" t="n">
        <v>5.08</v>
      </c>
      <c r="W416" s="0" t="n">
        <v>4.24</v>
      </c>
      <c r="X416" s="0" t="n">
        <v>4.2</v>
      </c>
      <c r="Y416" s="0" t="n">
        <v>1.85</v>
      </c>
      <c r="AB416" s="0" t="n">
        <v>3.68</v>
      </c>
      <c r="AC416" s="0" t="n">
        <v>4.59</v>
      </c>
      <c r="AH416" s="0" t="n">
        <v>12.52</v>
      </c>
      <c r="AI416" s="0" t="n">
        <v>15.01</v>
      </c>
      <c r="AJ416" s="0" t="n">
        <v>7.69</v>
      </c>
      <c r="AR416" s="0" t="n">
        <v>5.03</v>
      </c>
      <c r="AS416" s="0" t="n">
        <v>5.12</v>
      </c>
      <c r="AT416" s="0" t="n">
        <v>2.73</v>
      </c>
    </row>
    <row r="417" customFormat="false" ht="14.25" hidden="false" customHeight="false" outlineLevel="0" collapsed="false">
      <c r="A417" s="0" t="n">
        <v>11.95</v>
      </c>
      <c r="B417" s="0" t="n">
        <v>2.84</v>
      </c>
      <c r="C417" s="0" t="n">
        <v>5.59</v>
      </c>
      <c r="D417" s="0" t="n">
        <v>9.42</v>
      </c>
      <c r="H417" s="0" t="n">
        <v>2.87</v>
      </c>
      <c r="I417" s="0" t="n">
        <v>668.14</v>
      </c>
      <c r="R417" s="0" t="n">
        <v>5.33</v>
      </c>
      <c r="T417" s="0" t="n">
        <v>4.85</v>
      </c>
      <c r="U417" s="0" t="n">
        <v>4.51</v>
      </c>
      <c r="V417" s="0" t="n">
        <v>5.08</v>
      </c>
      <c r="W417" s="0" t="n">
        <v>4.25</v>
      </c>
      <c r="X417" s="0" t="n">
        <v>4.2</v>
      </c>
      <c r="Y417" s="0" t="n">
        <v>1.83</v>
      </c>
      <c r="AB417" s="0" t="n">
        <v>3.69</v>
      </c>
      <c r="AC417" s="0" t="n">
        <v>4.61</v>
      </c>
      <c r="AH417" s="0" t="n">
        <v>12.53</v>
      </c>
      <c r="AI417" s="0" t="n">
        <v>15.02</v>
      </c>
      <c r="AJ417" s="0" t="n">
        <v>7.67</v>
      </c>
      <c r="AR417" s="0" t="n">
        <v>5.05</v>
      </c>
      <c r="AS417" s="0" t="n">
        <v>5.1</v>
      </c>
      <c r="AT417" s="0" t="n">
        <v>2.74</v>
      </c>
    </row>
    <row r="418" customFormat="false" ht="14.25" hidden="false" customHeight="false" outlineLevel="0" collapsed="false">
      <c r="A418" s="0" t="n">
        <v>11.95</v>
      </c>
      <c r="B418" s="0" t="n">
        <v>2.8</v>
      </c>
      <c r="C418" s="0" t="n">
        <v>5.59</v>
      </c>
      <c r="D418" s="0" t="n">
        <v>9.42</v>
      </c>
      <c r="H418" s="0" t="n">
        <v>2.87</v>
      </c>
      <c r="I418" s="0" t="n">
        <v>668.14</v>
      </c>
      <c r="R418" s="0" t="n">
        <v>5.34</v>
      </c>
      <c r="T418" s="0" t="n">
        <v>4.85</v>
      </c>
      <c r="U418" s="0" t="n">
        <v>4.42</v>
      </c>
      <c r="V418" s="0" t="n">
        <v>5.08</v>
      </c>
      <c r="W418" s="0" t="n">
        <v>4.22</v>
      </c>
      <c r="X418" s="0" t="n">
        <v>4.19</v>
      </c>
      <c r="Y418" s="0" t="n">
        <v>1.84</v>
      </c>
      <c r="AB418" s="0" t="n">
        <v>3.68</v>
      </c>
      <c r="AC418" s="0" t="n">
        <v>4.61</v>
      </c>
      <c r="AH418" s="0" t="n">
        <v>12.52</v>
      </c>
      <c r="AI418" s="0" t="n">
        <v>15.01</v>
      </c>
      <c r="AJ418" s="0" t="n">
        <v>7.69</v>
      </c>
      <c r="AR418" s="0" t="n">
        <v>5.04</v>
      </c>
      <c r="AS418" s="0" t="n">
        <v>5.1</v>
      </c>
      <c r="AT418" s="0" t="n">
        <v>2.74</v>
      </c>
    </row>
    <row r="419" customFormat="false" ht="14.25" hidden="false" customHeight="false" outlineLevel="0" collapsed="false">
      <c r="A419" s="0" t="n">
        <v>11.95</v>
      </c>
      <c r="B419" s="0" t="n">
        <v>2.83</v>
      </c>
      <c r="C419" s="0" t="n">
        <v>5.58</v>
      </c>
      <c r="D419" s="0" t="n">
        <v>9.4</v>
      </c>
      <c r="H419" s="0" t="n">
        <v>2.87</v>
      </c>
      <c r="I419" s="0" t="n">
        <v>668.14</v>
      </c>
      <c r="R419" s="0" t="n">
        <v>5.34</v>
      </c>
      <c r="T419" s="0" t="n">
        <v>4.85</v>
      </c>
      <c r="U419" s="0" t="n">
        <v>4.42</v>
      </c>
      <c r="V419" s="0" t="n">
        <v>5.09</v>
      </c>
      <c r="W419" s="0" t="n">
        <v>4.22</v>
      </c>
      <c r="X419" s="0" t="n">
        <v>4.18</v>
      </c>
      <c r="Y419" s="0" t="n">
        <v>1.83</v>
      </c>
      <c r="AB419" s="0" t="n">
        <v>3.67</v>
      </c>
      <c r="AC419" s="0" t="n">
        <v>4.62</v>
      </c>
      <c r="AH419" s="0" t="n">
        <v>12.53</v>
      </c>
      <c r="AI419" s="0" t="n">
        <v>14.97</v>
      </c>
      <c r="AJ419" s="0" t="n">
        <v>7.68</v>
      </c>
      <c r="AR419" s="0" t="n">
        <v>5.06</v>
      </c>
      <c r="AS419" s="0" t="n">
        <v>5.12</v>
      </c>
      <c r="AT419" s="0" t="n">
        <v>2.74</v>
      </c>
    </row>
    <row r="420" customFormat="false" ht="14.25" hidden="false" customHeight="false" outlineLevel="0" collapsed="false">
      <c r="A420" s="0" t="n">
        <v>11.97</v>
      </c>
      <c r="B420" s="0" t="n">
        <v>2.8</v>
      </c>
      <c r="C420" s="0" t="n">
        <v>5.58</v>
      </c>
      <c r="D420" s="0" t="n">
        <v>9.42</v>
      </c>
      <c r="H420" s="0" t="n">
        <v>2.86</v>
      </c>
      <c r="I420" s="0" t="n">
        <v>668.14</v>
      </c>
      <c r="R420" s="0" t="n">
        <v>5.34</v>
      </c>
      <c r="T420" s="0" t="n">
        <v>4.85</v>
      </c>
      <c r="U420" s="0" t="n">
        <v>4.43</v>
      </c>
      <c r="V420" s="0" t="n">
        <v>5.08</v>
      </c>
      <c r="W420" s="0" t="n">
        <v>4.23</v>
      </c>
      <c r="X420" s="0" t="n">
        <v>4.14</v>
      </c>
      <c r="Y420" s="0" t="n">
        <v>1.82</v>
      </c>
      <c r="AB420" s="0" t="n">
        <v>3.68</v>
      </c>
      <c r="AC420" s="0" t="n">
        <v>4.63</v>
      </c>
      <c r="AH420" s="0" t="n">
        <v>12.52</v>
      </c>
      <c r="AI420" s="0" t="n">
        <v>15</v>
      </c>
      <c r="AJ420" s="0" t="n">
        <v>7.68</v>
      </c>
      <c r="AR420" s="0" t="n">
        <v>5.05</v>
      </c>
      <c r="AS420" s="0" t="n">
        <v>5.12</v>
      </c>
      <c r="AT420" s="0" t="n">
        <v>2.73</v>
      </c>
    </row>
    <row r="421" customFormat="false" ht="14.25" hidden="false" customHeight="false" outlineLevel="0" collapsed="false">
      <c r="A421" s="0" t="n">
        <v>11.95</v>
      </c>
      <c r="B421" s="0" t="n">
        <v>2.75</v>
      </c>
      <c r="C421" s="0" t="n">
        <v>5.6</v>
      </c>
      <c r="D421" s="0" t="n">
        <v>9.43</v>
      </c>
      <c r="H421" s="0" t="n">
        <v>2.86</v>
      </c>
      <c r="I421" s="0" t="n">
        <v>668.14</v>
      </c>
      <c r="T421" s="0" t="n">
        <v>4.81</v>
      </c>
      <c r="U421" s="0" t="n">
        <v>4.42</v>
      </c>
      <c r="V421" s="0" t="n">
        <v>5.08</v>
      </c>
      <c r="W421" s="0" t="n">
        <v>4.21</v>
      </c>
      <c r="X421" s="0" t="n">
        <v>4.14</v>
      </c>
      <c r="Y421" s="0" t="n">
        <v>1.81</v>
      </c>
      <c r="AB421" s="0" t="n">
        <v>3.68</v>
      </c>
      <c r="AC421" s="0" t="n">
        <v>4.63</v>
      </c>
      <c r="AH421" s="0" t="n">
        <v>12.52</v>
      </c>
      <c r="AI421" s="0" t="n">
        <v>15</v>
      </c>
      <c r="AJ421" s="0" t="n">
        <v>7.68</v>
      </c>
      <c r="AR421" s="0" t="n">
        <v>5.04</v>
      </c>
      <c r="AS421" s="0" t="n">
        <v>5.12</v>
      </c>
      <c r="AT421" s="0" t="n">
        <v>2.74</v>
      </c>
    </row>
    <row r="422" customFormat="false" ht="14.25" hidden="false" customHeight="false" outlineLevel="0" collapsed="false">
      <c r="A422" s="0" t="n">
        <v>11.94</v>
      </c>
      <c r="B422" s="0" t="n">
        <v>2.82</v>
      </c>
      <c r="C422" s="0" t="n">
        <v>5.6</v>
      </c>
      <c r="D422" s="0" t="n">
        <v>9.41</v>
      </c>
      <c r="H422" s="0" t="n">
        <v>2.85</v>
      </c>
      <c r="I422" s="0" t="n">
        <v>668.15</v>
      </c>
      <c r="T422" s="0" t="n">
        <v>4.84</v>
      </c>
      <c r="V422" s="0" t="n">
        <v>5.08</v>
      </c>
      <c r="W422" s="0" t="n">
        <v>4.22</v>
      </c>
      <c r="X422" s="0" t="n">
        <v>4.14</v>
      </c>
      <c r="Y422" s="0" t="n">
        <v>1.81</v>
      </c>
      <c r="AB422" s="0" t="n">
        <v>3.69</v>
      </c>
      <c r="AC422" s="0" t="n">
        <v>4.58</v>
      </c>
      <c r="AH422" s="0" t="n">
        <v>12.53</v>
      </c>
      <c r="AI422" s="0" t="n">
        <v>14.96</v>
      </c>
      <c r="AJ422" s="0" t="n">
        <v>7.66</v>
      </c>
      <c r="AR422" s="0" t="n">
        <v>5.05</v>
      </c>
      <c r="AS422" s="0" t="n">
        <v>5.11</v>
      </c>
      <c r="AT422" s="0" t="n">
        <v>2.73</v>
      </c>
    </row>
    <row r="423" customFormat="false" ht="14.25" hidden="false" customHeight="false" outlineLevel="0" collapsed="false">
      <c r="A423" s="0" t="n">
        <v>11.95</v>
      </c>
      <c r="B423" s="0" t="n">
        <v>2.77</v>
      </c>
      <c r="C423" s="0" t="n">
        <v>5.59</v>
      </c>
      <c r="D423" s="0" t="n">
        <v>9.41</v>
      </c>
      <c r="H423" s="0" t="n">
        <v>2.85</v>
      </c>
      <c r="I423" s="0" t="n">
        <v>668.16</v>
      </c>
      <c r="T423" s="0" t="n">
        <v>4.85</v>
      </c>
      <c r="V423" s="0" t="n">
        <v>5.08</v>
      </c>
      <c r="W423" s="0" t="n">
        <v>4.22</v>
      </c>
      <c r="X423" s="0" t="n">
        <v>4.13</v>
      </c>
      <c r="Y423" s="0" t="n">
        <v>1.82</v>
      </c>
      <c r="AB423" s="0" t="n">
        <v>3.68</v>
      </c>
      <c r="AC423" s="0" t="n">
        <v>4.61</v>
      </c>
      <c r="AH423" s="0" t="n">
        <v>12.51</v>
      </c>
      <c r="AI423" s="0" t="n">
        <v>14.99</v>
      </c>
      <c r="AJ423" s="0" t="n">
        <v>7.63</v>
      </c>
      <c r="AR423" s="0" t="n">
        <v>5.05</v>
      </c>
      <c r="AS423" s="0" t="n">
        <v>5.11</v>
      </c>
      <c r="AT423" s="0" t="n">
        <v>2.72</v>
      </c>
    </row>
    <row r="424" customFormat="false" ht="14.25" hidden="false" customHeight="false" outlineLevel="0" collapsed="false">
      <c r="A424" s="0" t="n">
        <v>11.94</v>
      </c>
      <c r="B424" s="0" t="n">
        <v>2.81</v>
      </c>
      <c r="C424" s="0" t="n">
        <v>5.58</v>
      </c>
      <c r="D424" s="0" t="n">
        <v>9.41</v>
      </c>
      <c r="H424" s="0" t="n">
        <v>2.86</v>
      </c>
      <c r="I424" s="0" t="n">
        <v>668.14</v>
      </c>
      <c r="T424" s="0" t="n">
        <v>4.85</v>
      </c>
      <c r="V424" s="0" t="n">
        <v>5.08</v>
      </c>
      <c r="W424" s="0" t="n">
        <v>4.22</v>
      </c>
      <c r="X424" s="0" t="n">
        <v>4.14</v>
      </c>
      <c r="Y424" s="0" t="n">
        <v>1.84</v>
      </c>
      <c r="AB424" s="0" t="n">
        <v>3.67</v>
      </c>
      <c r="AC424" s="0" t="n">
        <v>4.63</v>
      </c>
      <c r="AH424" s="0" t="n">
        <v>12.53</v>
      </c>
      <c r="AI424" s="0" t="n">
        <v>14.99</v>
      </c>
      <c r="AJ424" s="0" t="n">
        <v>7.67</v>
      </c>
      <c r="AR424" s="0" t="n">
        <v>5.05</v>
      </c>
      <c r="AS424" s="0" t="n">
        <v>5.11</v>
      </c>
      <c r="AT424" s="0" t="n">
        <v>2.74</v>
      </c>
    </row>
    <row r="425" customFormat="false" ht="14.25" hidden="false" customHeight="false" outlineLevel="0" collapsed="false">
      <c r="A425" s="0" t="n">
        <v>11.95</v>
      </c>
      <c r="B425" s="0" t="n">
        <v>2.82</v>
      </c>
      <c r="C425" s="0" t="n">
        <v>5.6</v>
      </c>
      <c r="D425" s="0" t="n">
        <v>9.41</v>
      </c>
      <c r="H425" s="0" t="n">
        <v>2.84</v>
      </c>
      <c r="I425" s="0" t="n">
        <v>668.14</v>
      </c>
      <c r="T425" s="0" t="n">
        <v>4.85</v>
      </c>
      <c r="V425" s="0" t="n">
        <v>5.08</v>
      </c>
      <c r="W425" s="0" t="n">
        <v>4.23</v>
      </c>
      <c r="X425" s="0" t="n">
        <v>4.14</v>
      </c>
      <c r="Y425" s="0" t="n">
        <v>1.82</v>
      </c>
      <c r="AB425" s="0" t="n">
        <v>3.67</v>
      </c>
      <c r="AC425" s="0" t="n">
        <v>4.61</v>
      </c>
      <c r="AH425" s="0" t="n">
        <v>12.52</v>
      </c>
      <c r="AI425" s="0" t="n">
        <v>15.03</v>
      </c>
      <c r="AJ425" s="0" t="n">
        <v>7.64</v>
      </c>
      <c r="AR425" s="0" t="n">
        <v>5.07</v>
      </c>
      <c r="AS425" s="0" t="n">
        <v>5.11</v>
      </c>
      <c r="AT425" s="0" t="n">
        <v>2.73</v>
      </c>
    </row>
    <row r="426" customFormat="false" ht="14.25" hidden="false" customHeight="false" outlineLevel="0" collapsed="false">
      <c r="A426" s="0" t="n">
        <v>11.96</v>
      </c>
      <c r="B426" s="0" t="n">
        <v>2.78</v>
      </c>
      <c r="C426" s="0" t="n">
        <v>5.59</v>
      </c>
      <c r="D426" s="0" t="n">
        <v>9.43</v>
      </c>
      <c r="H426" s="0" t="n">
        <v>2.85</v>
      </c>
      <c r="I426" s="0" t="n">
        <v>668.16</v>
      </c>
      <c r="T426" s="0" t="n">
        <v>4.86</v>
      </c>
      <c r="V426" s="0" t="n">
        <v>5.08</v>
      </c>
      <c r="W426" s="0" t="n">
        <v>4.19</v>
      </c>
      <c r="X426" s="0" t="n">
        <v>4.13</v>
      </c>
      <c r="Y426" s="0" t="n">
        <v>1.8</v>
      </c>
      <c r="AB426" s="0" t="n">
        <v>3.82</v>
      </c>
      <c r="AC426" s="0" t="n">
        <v>4.61</v>
      </c>
      <c r="AH426" s="0" t="n">
        <v>12.52</v>
      </c>
      <c r="AI426" s="0" t="n">
        <v>15.02</v>
      </c>
      <c r="AJ426" s="0" t="n">
        <v>7.63</v>
      </c>
      <c r="AR426" s="0" t="n">
        <v>5.06</v>
      </c>
      <c r="AS426" s="0" t="n">
        <v>5.1</v>
      </c>
      <c r="AT426" s="0" t="n">
        <v>2.73</v>
      </c>
    </row>
    <row r="427" customFormat="false" ht="14.25" hidden="false" customHeight="false" outlineLevel="0" collapsed="false">
      <c r="A427" s="0" t="n">
        <v>11.96</v>
      </c>
      <c r="B427" s="0" t="n">
        <v>2.8</v>
      </c>
      <c r="C427" s="0" t="n">
        <v>5.59</v>
      </c>
      <c r="D427" s="0" t="n">
        <v>9.42</v>
      </c>
      <c r="H427" s="0" t="n">
        <v>2.85</v>
      </c>
      <c r="I427" s="0" t="n">
        <v>668.18</v>
      </c>
      <c r="T427" s="0" t="n">
        <v>4.86</v>
      </c>
      <c r="V427" s="0" t="n">
        <v>5.09</v>
      </c>
      <c r="W427" s="0" t="n">
        <v>4.24</v>
      </c>
      <c r="X427" s="0" t="n">
        <v>4.13</v>
      </c>
      <c r="Y427" s="0" t="n">
        <v>1.78</v>
      </c>
      <c r="AB427" s="0" t="n">
        <v>3.67</v>
      </c>
      <c r="AC427" s="0" t="n">
        <v>4.63</v>
      </c>
      <c r="AH427" s="0" t="n">
        <v>12.52</v>
      </c>
      <c r="AI427" s="0" t="n">
        <v>14.95</v>
      </c>
      <c r="AJ427" s="0" t="n">
        <v>7.65</v>
      </c>
      <c r="AR427" s="0" t="n">
        <v>5.06</v>
      </c>
      <c r="AS427" s="0" t="n">
        <v>5.07</v>
      </c>
      <c r="AT427" s="0" t="n">
        <v>2.74</v>
      </c>
    </row>
    <row r="428" customFormat="false" ht="14.25" hidden="false" customHeight="false" outlineLevel="0" collapsed="false">
      <c r="A428" s="0" t="n">
        <v>11.96</v>
      </c>
      <c r="B428" s="0" t="n">
        <v>2.78</v>
      </c>
      <c r="C428" s="0" t="n">
        <v>5.59</v>
      </c>
      <c r="D428" s="0" t="n">
        <v>9.36</v>
      </c>
      <c r="H428" s="0" t="n">
        <v>2.85</v>
      </c>
      <c r="I428" s="0" t="n">
        <v>668.17</v>
      </c>
      <c r="T428" s="0" t="n">
        <v>4.87</v>
      </c>
      <c r="V428" s="0" t="n">
        <v>5.09</v>
      </c>
      <c r="W428" s="0" t="n">
        <v>4.21</v>
      </c>
      <c r="X428" s="0" t="n">
        <v>4.12</v>
      </c>
      <c r="Y428" s="0" t="n">
        <v>1.77</v>
      </c>
      <c r="AB428" s="0" t="n">
        <v>3.67</v>
      </c>
      <c r="AC428" s="0" t="n">
        <v>4.65</v>
      </c>
      <c r="AH428" s="0" t="n">
        <v>12.52</v>
      </c>
      <c r="AI428" s="0" t="n">
        <v>14.92</v>
      </c>
      <c r="AJ428" s="0" t="n">
        <v>7.67</v>
      </c>
      <c r="AR428" s="0" t="n">
        <v>5.06</v>
      </c>
      <c r="AS428" s="0" t="n">
        <v>5.1</v>
      </c>
      <c r="AT428" s="0" t="n">
        <v>2.73</v>
      </c>
    </row>
    <row r="429" customFormat="false" ht="14.25" hidden="false" customHeight="false" outlineLevel="0" collapsed="false">
      <c r="A429" s="0" t="n">
        <v>11.95</v>
      </c>
      <c r="B429" s="0" t="n">
        <v>2.8</v>
      </c>
      <c r="C429" s="0" t="n">
        <v>5.59</v>
      </c>
      <c r="D429" s="0" t="n">
        <v>9.39</v>
      </c>
      <c r="H429" s="0" t="n">
        <v>2.87</v>
      </c>
      <c r="I429" s="0" t="n">
        <v>668.15</v>
      </c>
      <c r="T429" s="0" t="n">
        <v>4.86</v>
      </c>
      <c r="V429" s="0" t="n">
        <v>5.09</v>
      </c>
      <c r="W429" s="0" t="n">
        <v>4.19</v>
      </c>
      <c r="X429" s="0" t="n">
        <v>4.13</v>
      </c>
      <c r="Y429" s="0" t="n">
        <v>1.78</v>
      </c>
      <c r="AB429" s="0" t="n">
        <v>3.67</v>
      </c>
      <c r="AC429" s="0" t="n">
        <v>4.63</v>
      </c>
      <c r="AH429" s="0" t="n">
        <v>12.52</v>
      </c>
      <c r="AI429" s="0" t="n">
        <v>14.97</v>
      </c>
      <c r="AJ429" s="0" t="n">
        <v>7.66</v>
      </c>
      <c r="AR429" s="0" t="n">
        <v>5.06</v>
      </c>
      <c r="AS429" s="0" t="n">
        <v>5.11</v>
      </c>
      <c r="AT429" s="0" t="n">
        <v>2.75</v>
      </c>
    </row>
    <row r="430" customFormat="false" ht="14.25" hidden="false" customHeight="false" outlineLevel="0" collapsed="false">
      <c r="A430" s="0" t="n">
        <v>11.93</v>
      </c>
      <c r="B430" s="0" t="n">
        <v>2.79</v>
      </c>
      <c r="C430" s="0" t="n">
        <v>5.58</v>
      </c>
      <c r="D430" s="0" t="n">
        <v>9.37</v>
      </c>
      <c r="H430" s="0" t="n">
        <v>2.86</v>
      </c>
      <c r="I430" s="0" t="n">
        <v>668.17</v>
      </c>
      <c r="T430" s="0" t="n">
        <v>4.86</v>
      </c>
      <c r="V430" s="0" t="n">
        <v>5.09</v>
      </c>
      <c r="W430" s="0" t="n">
        <v>4.22</v>
      </c>
      <c r="X430" s="0" t="n">
        <v>4.12</v>
      </c>
      <c r="AB430" s="0" t="n">
        <v>3.66</v>
      </c>
      <c r="AC430" s="0" t="n">
        <v>4.63</v>
      </c>
      <c r="AH430" s="0" t="n">
        <v>12.52</v>
      </c>
      <c r="AI430" s="0" t="n">
        <v>14.97</v>
      </c>
      <c r="AJ430" s="0" t="n">
        <v>7.67</v>
      </c>
      <c r="AR430" s="0" t="n">
        <v>5.04</v>
      </c>
      <c r="AS430" s="0" t="n">
        <v>5.1</v>
      </c>
      <c r="AT430" s="0" t="n">
        <v>2.74</v>
      </c>
    </row>
    <row r="431" customFormat="false" ht="14.25" hidden="false" customHeight="false" outlineLevel="0" collapsed="false">
      <c r="A431" s="0" t="n">
        <v>11.96</v>
      </c>
      <c r="B431" s="0" t="n">
        <v>2.77</v>
      </c>
      <c r="C431" s="0" t="n">
        <v>5.59</v>
      </c>
      <c r="D431" s="0" t="n">
        <v>9.42</v>
      </c>
      <c r="H431" s="0" t="n">
        <v>2.88</v>
      </c>
      <c r="I431" s="0" t="n">
        <v>668.17</v>
      </c>
      <c r="V431" s="0" t="n">
        <v>5.09</v>
      </c>
      <c r="W431" s="0" t="n">
        <v>4.22</v>
      </c>
      <c r="X431" s="0" t="n">
        <v>4.12</v>
      </c>
      <c r="AB431" s="0" t="n">
        <v>3.68</v>
      </c>
      <c r="AC431" s="0" t="n">
        <v>4.59</v>
      </c>
      <c r="AH431" s="0" t="n">
        <v>12.53</v>
      </c>
      <c r="AI431" s="0" t="n">
        <v>14.98</v>
      </c>
      <c r="AJ431" s="0" t="n">
        <v>7.67</v>
      </c>
      <c r="AR431" s="0" t="n">
        <v>5.04</v>
      </c>
      <c r="AS431" s="0" t="n">
        <v>5.09</v>
      </c>
      <c r="AT431" s="0" t="n">
        <v>2.73</v>
      </c>
    </row>
    <row r="432" customFormat="false" ht="14.25" hidden="false" customHeight="false" outlineLevel="0" collapsed="false">
      <c r="A432" s="0" t="n">
        <v>11.96</v>
      </c>
      <c r="B432" s="0" t="n">
        <v>2.77</v>
      </c>
      <c r="C432" s="0" t="n">
        <v>5.59</v>
      </c>
      <c r="D432" s="0" t="n">
        <v>9.41</v>
      </c>
      <c r="H432" s="0" t="n">
        <v>2.88</v>
      </c>
      <c r="I432" s="0" t="n">
        <v>668.14</v>
      </c>
      <c r="X432" s="0" t="n">
        <v>4.12</v>
      </c>
      <c r="AB432" s="0" t="n">
        <v>3.74</v>
      </c>
      <c r="AC432" s="0" t="n">
        <v>4.62</v>
      </c>
      <c r="AH432" s="0" t="n">
        <v>12.53</v>
      </c>
      <c r="AI432" s="0" t="n">
        <v>14.96</v>
      </c>
      <c r="AJ432" s="0" t="n">
        <v>7.65</v>
      </c>
      <c r="AR432" s="0" t="n">
        <v>5.01</v>
      </c>
      <c r="AS432" s="0" t="n">
        <v>5.11</v>
      </c>
      <c r="AT432" s="0" t="n">
        <v>2.74</v>
      </c>
    </row>
    <row r="433" customFormat="false" ht="14.25" hidden="false" customHeight="false" outlineLevel="0" collapsed="false">
      <c r="A433" s="0" t="n">
        <v>11.96</v>
      </c>
      <c r="B433" s="0" t="n">
        <v>2.75</v>
      </c>
      <c r="C433" s="0" t="n">
        <v>5.58</v>
      </c>
      <c r="D433" s="0" t="n">
        <v>9.44</v>
      </c>
      <c r="H433" s="0" t="n">
        <v>2.89</v>
      </c>
      <c r="I433" s="0" t="n">
        <v>668.14</v>
      </c>
      <c r="AB433" s="0" t="n">
        <v>3.72</v>
      </c>
      <c r="AC433" s="0" t="n">
        <v>4.57</v>
      </c>
      <c r="AH433" s="0" t="n">
        <v>12.54</v>
      </c>
      <c r="AI433" s="0" t="n">
        <v>14.94</v>
      </c>
      <c r="AJ433" s="0" t="n">
        <v>7.62</v>
      </c>
      <c r="AR433" s="0" t="n">
        <v>5.08</v>
      </c>
      <c r="AS433" s="0" t="n">
        <v>5.09</v>
      </c>
      <c r="AT433" s="0" t="n">
        <v>2.72</v>
      </c>
    </row>
    <row r="434" customFormat="false" ht="14.25" hidden="false" customHeight="false" outlineLevel="0" collapsed="false">
      <c r="A434" s="0" t="n">
        <v>11.96</v>
      </c>
      <c r="B434" s="0" t="n">
        <v>2.7</v>
      </c>
      <c r="C434" s="0" t="n">
        <v>5.57</v>
      </c>
      <c r="D434" s="0" t="n">
        <v>9.41</v>
      </c>
      <c r="H434" s="0" t="n">
        <v>2.87</v>
      </c>
      <c r="I434" s="0" t="n">
        <v>668.15</v>
      </c>
      <c r="AB434" s="0" t="n">
        <v>3.65</v>
      </c>
      <c r="AC434" s="0" t="n">
        <v>4.63</v>
      </c>
      <c r="AH434" s="0" t="n">
        <v>12.53</v>
      </c>
      <c r="AI434" s="0" t="n">
        <v>14.9</v>
      </c>
      <c r="AJ434" s="0" t="n">
        <v>7.64</v>
      </c>
      <c r="AR434" s="0" t="n">
        <v>5.05</v>
      </c>
      <c r="AS434" s="0" t="n">
        <v>5.08</v>
      </c>
      <c r="AT434" s="0" t="n">
        <v>2.73</v>
      </c>
    </row>
    <row r="435" customFormat="false" ht="14.25" hidden="false" customHeight="false" outlineLevel="0" collapsed="false">
      <c r="A435" s="0" t="n">
        <v>11.94</v>
      </c>
      <c r="B435" s="0" t="n">
        <v>2.76</v>
      </c>
      <c r="C435" s="0" t="n">
        <v>5.58</v>
      </c>
      <c r="D435" s="0" t="n">
        <v>9.41</v>
      </c>
      <c r="H435" s="0" t="n">
        <v>2.89</v>
      </c>
      <c r="I435" s="0" t="n">
        <v>668.14</v>
      </c>
      <c r="AB435" s="0" t="n">
        <v>3.68</v>
      </c>
      <c r="AC435" s="0" t="n">
        <v>4.63</v>
      </c>
      <c r="AH435" s="0" t="n">
        <v>12.51</v>
      </c>
      <c r="AI435" s="0" t="n">
        <v>14.97</v>
      </c>
      <c r="AJ435" s="0" t="n">
        <v>7.66</v>
      </c>
      <c r="AR435" s="0" t="n">
        <v>5.07</v>
      </c>
      <c r="AS435" s="0" t="n">
        <v>5.09</v>
      </c>
      <c r="AT435" s="0" t="n">
        <v>2.7</v>
      </c>
    </row>
    <row r="436" customFormat="false" ht="14.25" hidden="false" customHeight="false" outlineLevel="0" collapsed="false">
      <c r="A436" s="0" t="n">
        <v>11.98</v>
      </c>
      <c r="B436" s="0" t="n">
        <v>2.75</v>
      </c>
      <c r="C436" s="0" t="n">
        <v>5.58</v>
      </c>
      <c r="D436" s="0" t="n">
        <v>9.41</v>
      </c>
      <c r="H436" s="0" t="n">
        <v>2.89</v>
      </c>
      <c r="I436" s="0" t="n">
        <v>668.12</v>
      </c>
      <c r="AB436" s="0" t="n">
        <v>3.68</v>
      </c>
      <c r="AC436" s="0" t="n">
        <v>4.61</v>
      </c>
      <c r="AH436" s="0" t="n">
        <v>12.52</v>
      </c>
      <c r="AI436" s="0" t="n">
        <v>14.94</v>
      </c>
      <c r="AJ436" s="0" t="n">
        <v>7.65</v>
      </c>
      <c r="AR436" s="0" t="n">
        <v>5.07</v>
      </c>
      <c r="AS436" s="0" t="n">
        <v>5.07</v>
      </c>
      <c r="AT436" s="0" t="n">
        <v>2.69</v>
      </c>
    </row>
    <row r="437" customFormat="false" ht="14.25" hidden="false" customHeight="false" outlineLevel="0" collapsed="false">
      <c r="A437" s="0" t="n">
        <v>11.96</v>
      </c>
      <c r="B437" s="0" t="n">
        <v>2.75</v>
      </c>
      <c r="C437" s="0" t="n">
        <v>5.58</v>
      </c>
      <c r="D437" s="0" t="n">
        <v>9.43</v>
      </c>
      <c r="H437" s="0" t="n">
        <v>2.89</v>
      </c>
      <c r="I437" s="0" t="n">
        <v>668.12</v>
      </c>
      <c r="AB437" s="0" t="n">
        <v>3.69</v>
      </c>
      <c r="AC437" s="0" t="n">
        <v>4.6</v>
      </c>
      <c r="AH437" s="0" t="n">
        <v>12.52</v>
      </c>
      <c r="AI437" s="0" t="n">
        <v>14.94</v>
      </c>
      <c r="AJ437" s="0" t="n">
        <v>7.66</v>
      </c>
      <c r="AR437" s="0" t="n">
        <v>5.01</v>
      </c>
      <c r="AS437" s="0" t="n">
        <v>5.08</v>
      </c>
      <c r="AT437" s="0" t="n">
        <v>2.71</v>
      </c>
    </row>
    <row r="438" customFormat="false" ht="14.25" hidden="false" customHeight="false" outlineLevel="0" collapsed="false">
      <c r="A438" s="0" t="n">
        <v>11.98</v>
      </c>
      <c r="B438" s="0" t="n">
        <v>2.75</v>
      </c>
      <c r="C438" s="0" t="n">
        <v>5.57</v>
      </c>
      <c r="D438" s="0" t="n">
        <v>9.44</v>
      </c>
      <c r="H438" s="0" t="n">
        <v>2.88</v>
      </c>
      <c r="I438" s="0" t="n">
        <v>668.15</v>
      </c>
      <c r="AB438" s="0" t="n">
        <v>3.68</v>
      </c>
      <c r="AC438" s="0" t="n">
        <v>4.65</v>
      </c>
      <c r="AH438" s="0" t="n">
        <v>12.52</v>
      </c>
      <c r="AI438" s="0" t="n">
        <v>14.93</v>
      </c>
      <c r="AJ438" s="0" t="n">
        <v>7.65</v>
      </c>
      <c r="AR438" s="0" t="n">
        <v>5.01</v>
      </c>
      <c r="AS438" s="0" t="n">
        <v>5.08</v>
      </c>
      <c r="AT438" s="0" t="n">
        <v>2.65</v>
      </c>
    </row>
    <row r="439" customFormat="false" ht="14.25" hidden="false" customHeight="false" outlineLevel="0" collapsed="false">
      <c r="A439" s="0" t="n">
        <v>12</v>
      </c>
      <c r="B439" s="0" t="n">
        <v>2.77</v>
      </c>
      <c r="C439" s="0" t="n">
        <v>5.57</v>
      </c>
      <c r="D439" s="0" t="n">
        <v>9.45</v>
      </c>
      <c r="H439" s="0" t="n">
        <v>2.88</v>
      </c>
      <c r="I439" s="0" t="n">
        <v>668.11</v>
      </c>
      <c r="AB439" s="0" t="n">
        <v>3.7</v>
      </c>
      <c r="AC439" s="0" t="n">
        <v>4.67</v>
      </c>
      <c r="AH439" s="0" t="n">
        <v>12.54</v>
      </c>
      <c r="AI439" s="0" t="n">
        <v>15</v>
      </c>
      <c r="AJ439" s="0" t="n">
        <v>7.68</v>
      </c>
      <c r="AR439" s="0" t="n">
        <v>5.01</v>
      </c>
      <c r="AS439" s="0" t="n">
        <v>5.06</v>
      </c>
      <c r="AT439" s="0" t="n">
        <v>2.65</v>
      </c>
    </row>
    <row r="440" customFormat="false" ht="14.25" hidden="false" customHeight="false" outlineLevel="0" collapsed="false">
      <c r="A440" s="0" t="n">
        <v>11.99</v>
      </c>
      <c r="B440" s="0" t="n">
        <v>2.77</v>
      </c>
      <c r="C440" s="0" t="n">
        <v>5.57</v>
      </c>
      <c r="D440" s="0" t="n">
        <v>9.45</v>
      </c>
      <c r="H440" s="0" t="n">
        <v>2.88</v>
      </c>
      <c r="I440" s="0" t="n">
        <v>668.12</v>
      </c>
      <c r="AB440" s="0" t="n">
        <v>3.67</v>
      </c>
      <c r="AC440" s="0" t="n">
        <v>4.69</v>
      </c>
      <c r="AH440" s="0" t="n">
        <v>12.53</v>
      </c>
      <c r="AI440" s="0" t="n">
        <v>14.95</v>
      </c>
      <c r="AJ440" s="0" t="n">
        <v>7.69</v>
      </c>
      <c r="AR440" s="0" t="n">
        <v>4.98</v>
      </c>
      <c r="AS440" s="0" t="n">
        <v>5.1</v>
      </c>
      <c r="AT440" s="0" t="n">
        <v>2.64</v>
      </c>
    </row>
    <row r="441" customFormat="false" ht="14.25" hidden="false" customHeight="false" outlineLevel="0" collapsed="false">
      <c r="A441" s="0" t="n">
        <v>12.03</v>
      </c>
      <c r="B441" s="0" t="n">
        <v>2.74</v>
      </c>
      <c r="C441" s="0" t="n">
        <v>5.58</v>
      </c>
      <c r="D441" s="0" t="n">
        <v>9.45</v>
      </c>
      <c r="H441" s="0" t="n">
        <v>2.88</v>
      </c>
      <c r="I441" s="0" t="n">
        <v>668.14</v>
      </c>
      <c r="AB441" s="0" t="n">
        <v>3.67</v>
      </c>
      <c r="AC441" s="0" t="n">
        <v>4.63</v>
      </c>
      <c r="AH441" s="0" t="n">
        <v>12.53</v>
      </c>
      <c r="AI441" s="0" t="n">
        <v>14.96</v>
      </c>
      <c r="AJ441" s="0" t="n">
        <v>7.69</v>
      </c>
      <c r="AR441" s="0" t="n">
        <v>5.04</v>
      </c>
      <c r="AS441" s="0" t="n">
        <v>5.08</v>
      </c>
      <c r="AT441" s="0" t="n">
        <v>2.64</v>
      </c>
    </row>
    <row r="442" customFormat="false" ht="14.25" hidden="false" customHeight="false" outlineLevel="0" collapsed="false">
      <c r="A442" s="0" t="n">
        <v>12</v>
      </c>
      <c r="B442" s="0" t="n">
        <v>2.75</v>
      </c>
      <c r="C442" s="0" t="n">
        <v>5.58</v>
      </c>
      <c r="D442" s="0" t="n">
        <v>9.46</v>
      </c>
      <c r="H442" s="0" t="n">
        <v>2.86</v>
      </c>
      <c r="I442" s="0" t="n">
        <v>668.15</v>
      </c>
      <c r="AB442" s="0" t="n">
        <v>3.67</v>
      </c>
      <c r="AC442" s="0" t="n">
        <v>4.65</v>
      </c>
      <c r="AH442" s="0" t="n">
        <v>12.52</v>
      </c>
      <c r="AI442" s="0" t="n">
        <v>14.95</v>
      </c>
      <c r="AJ442" s="0" t="n">
        <v>7.66</v>
      </c>
      <c r="AR442" s="0" t="n">
        <v>5.06</v>
      </c>
      <c r="AS442" s="0" t="n">
        <v>5.09</v>
      </c>
      <c r="AT442" s="0" t="n">
        <v>2.65</v>
      </c>
    </row>
    <row r="443" customFormat="false" ht="14.25" hidden="false" customHeight="false" outlineLevel="0" collapsed="false">
      <c r="A443" s="0" t="n">
        <v>11.98</v>
      </c>
      <c r="B443" s="0" t="n">
        <v>2.76</v>
      </c>
      <c r="C443" s="0" t="n">
        <v>5.58</v>
      </c>
      <c r="D443" s="0" t="n">
        <v>9.48</v>
      </c>
      <c r="H443" s="0" t="n">
        <v>2.88</v>
      </c>
      <c r="I443" s="0" t="n">
        <v>668.15</v>
      </c>
      <c r="AB443" s="0" t="n">
        <v>3.66</v>
      </c>
      <c r="AC443" s="0" t="n">
        <v>4.69</v>
      </c>
      <c r="AH443" s="0" t="n">
        <v>12.52</v>
      </c>
      <c r="AI443" s="0" t="n">
        <v>15.01</v>
      </c>
      <c r="AJ443" s="0" t="n">
        <v>7.67</v>
      </c>
      <c r="AR443" s="0" t="n">
        <v>5.08</v>
      </c>
      <c r="AS443" s="0" t="n">
        <v>5.1</v>
      </c>
      <c r="AT443" s="0" t="n">
        <v>2.64</v>
      </c>
    </row>
    <row r="444" customFormat="false" ht="14.25" hidden="false" customHeight="false" outlineLevel="0" collapsed="false">
      <c r="A444" s="0" t="n">
        <v>11.97</v>
      </c>
      <c r="B444" s="0" t="n">
        <v>2.75</v>
      </c>
      <c r="C444" s="0" t="n">
        <v>5.57</v>
      </c>
      <c r="D444" s="0" t="n">
        <v>9.48</v>
      </c>
      <c r="H444" s="0" t="n">
        <v>2.88</v>
      </c>
      <c r="I444" s="0" t="n">
        <v>668.14</v>
      </c>
      <c r="AB444" s="0" t="n">
        <v>3.66</v>
      </c>
      <c r="AC444" s="0" t="n">
        <v>4.68</v>
      </c>
      <c r="AH444" s="0" t="n">
        <v>12.53</v>
      </c>
      <c r="AI444" s="0" t="n">
        <v>14.95</v>
      </c>
      <c r="AJ444" s="0" t="n">
        <v>7.7</v>
      </c>
      <c r="AR444" s="0" t="n">
        <v>5.09</v>
      </c>
      <c r="AS444" s="0" t="n">
        <v>5.1</v>
      </c>
      <c r="AT444" s="0" t="n">
        <v>2.63</v>
      </c>
    </row>
    <row r="445" customFormat="false" ht="14.25" hidden="false" customHeight="false" outlineLevel="0" collapsed="false">
      <c r="A445" s="0" t="n">
        <v>11.95</v>
      </c>
      <c r="B445" s="0" t="n">
        <v>2.75</v>
      </c>
      <c r="C445" s="0" t="n">
        <v>5.56</v>
      </c>
      <c r="D445" s="0" t="n">
        <v>9.49</v>
      </c>
      <c r="H445" s="0" t="n">
        <v>2.9</v>
      </c>
      <c r="I445" s="0" t="n">
        <v>668.12</v>
      </c>
      <c r="AB445" s="0" t="n">
        <v>3.67</v>
      </c>
      <c r="AC445" s="0" t="n">
        <v>4.65</v>
      </c>
      <c r="AH445" s="0" t="n">
        <v>12.53</v>
      </c>
      <c r="AI445" s="0" t="n">
        <v>14.94</v>
      </c>
      <c r="AJ445" s="0" t="n">
        <v>7.69</v>
      </c>
      <c r="AR445" s="0" t="n">
        <v>5.09</v>
      </c>
      <c r="AS445" s="0" t="n">
        <v>5.1</v>
      </c>
      <c r="AT445" s="0" t="n">
        <v>2.61</v>
      </c>
    </row>
    <row r="446" customFormat="false" ht="14.25" hidden="false" customHeight="false" outlineLevel="0" collapsed="false">
      <c r="A446" s="0" t="n">
        <v>11.94</v>
      </c>
      <c r="B446" s="0" t="n">
        <v>2.76</v>
      </c>
      <c r="C446" s="0" t="n">
        <v>5.57</v>
      </c>
      <c r="D446" s="0" t="n">
        <v>9.52</v>
      </c>
      <c r="H446" s="0" t="n">
        <v>2.9</v>
      </c>
      <c r="I446" s="0" t="n">
        <v>668.11</v>
      </c>
      <c r="AB446" s="0" t="n">
        <v>3.66</v>
      </c>
      <c r="AC446" s="0" t="n">
        <v>4.65</v>
      </c>
      <c r="AH446" s="0" t="n">
        <v>12.53</v>
      </c>
      <c r="AI446" s="0" t="n">
        <v>14.91</v>
      </c>
      <c r="AJ446" s="0" t="n">
        <v>7.71</v>
      </c>
      <c r="AR446" s="0" t="n">
        <v>5.1</v>
      </c>
      <c r="AS446" s="0" t="n">
        <v>5.1</v>
      </c>
      <c r="AT446" s="0" t="n">
        <v>2.62</v>
      </c>
    </row>
    <row r="447" customFormat="false" ht="14.25" hidden="false" customHeight="false" outlineLevel="0" collapsed="false">
      <c r="A447" s="0" t="n">
        <v>11.94</v>
      </c>
      <c r="B447" s="0" t="n">
        <v>2.75</v>
      </c>
      <c r="C447" s="0" t="n">
        <v>5.57</v>
      </c>
      <c r="D447" s="0" t="n">
        <v>9.53</v>
      </c>
      <c r="H447" s="0" t="n">
        <v>2.9</v>
      </c>
      <c r="I447" s="0" t="n">
        <v>668.12</v>
      </c>
      <c r="AB447" s="0" t="n">
        <v>3.67</v>
      </c>
      <c r="AC447" s="0" t="n">
        <v>4.65</v>
      </c>
      <c r="AH447" s="0" t="n">
        <v>12.53</v>
      </c>
      <c r="AI447" s="0" t="n">
        <v>15</v>
      </c>
      <c r="AJ447" s="0" t="n">
        <v>7.69</v>
      </c>
      <c r="AR447" s="0" t="n">
        <v>5.09</v>
      </c>
      <c r="AS447" s="0" t="n">
        <v>5.11</v>
      </c>
      <c r="AT447" s="0" t="n">
        <v>2.61</v>
      </c>
    </row>
    <row r="448" customFormat="false" ht="14.25" hidden="false" customHeight="false" outlineLevel="0" collapsed="false">
      <c r="A448" s="0" t="n">
        <v>11.92</v>
      </c>
      <c r="B448" s="0" t="n">
        <v>2.77</v>
      </c>
      <c r="C448" s="0" t="n">
        <v>5.56</v>
      </c>
      <c r="D448" s="0" t="n">
        <v>9.52</v>
      </c>
      <c r="H448" s="0" t="n">
        <v>2.91</v>
      </c>
      <c r="I448" s="0" t="n">
        <v>668.12</v>
      </c>
      <c r="AB448" s="0" t="n">
        <v>3.67</v>
      </c>
      <c r="AC448" s="0" t="n">
        <v>4.66</v>
      </c>
      <c r="AH448" s="0" t="n">
        <v>12.53</v>
      </c>
      <c r="AI448" s="0" t="n">
        <v>14.98</v>
      </c>
      <c r="AJ448" s="0" t="n">
        <v>7.7</v>
      </c>
      <c r="AR448" s="0" t="n">
        <v>5.09</v>
      </c>
      <c r="AS448" s="0" t="n">
        <v>5.1</v>
      </c>
      <c r="AT448" s="0" t="n">
        <v>2.61</v>
      </c>
    </row>
    <row r="449" customFormat="false" ht="14.25" hidden="false" customHeight="false" outlineLevel="0" collapsed="false">
      <c r="A449" s="0" t="n">
        <v>11.9</v>
      </c>
      <c r="B449" s="0" t="n">
        <v>2.75</v>
      </c>
      <c r="C449" s="0" t="n">
        <v>5.57</v>
      </c>
      <c r="D449" s="0" t="n">
        <v>9.51</v>
      </c>
      <c r="H449" s="0" t="n">
        <v>2.88</v>
      </c>
      <c r="I449" s="0" t="n">
        <v>668.11</v>
      </c>
      <c r="AB449" s="0" t="n">
        <v>3.67</v>
      </c>
      <c r="AC449" s="0" t="n">
        <v>4.64</v>
      </c>
      <c r="AH449" s="0" t="n">
        <v>12.52</v>
      </c>
      <c r="AI449" s="0" t="n">
        <v>14.95</v>
      </c>
      <c r="AJ449" s="0" t="n">
        <v>7.72</v>
      </c>
      <c r="AR449" s="0" t="n">
        <v>5.1</v>
      </c>
      <c r="AS449" s="0" t="n">
        <v>5.09</v>
      </c>
      <c r="AT449" s="0" t="n">
        <v>2.6</v>
      </c>
    </row>
    <row r="450" customFormat="false" ht="14.25" hidden="false" customHeight="false" outlineLevel="0" collapsed="false">
      <c r="A450" s="0" t="n">
        <v>11.9</v>
      </c>
      <c r="B450" s="0" t="n">
        <v>2.76</v>
      </c>
      <c r="C450" s="0" t="n">
        <v>5.57</v>
      </c>
      <c r="D450" s="0" t="n">
        <v>9.53</v>
      </c>
      <c r="H450" s="0" t="n">
        <v>2.89</v>
      </c>
      <c r="I450" s="0" t="n">
        <v>668.11</v>
      </c>
      <c r="AB450" s="0" t="n">
        <v>3.66</v>
      </c>
      <c r="AC450" s="0" t="n">
        <v>4.65</v>
      </c>
      <c r="AH450" s="0" t="n">
        <v>12.51</v>
      </c>
      <c r="AI450" s="0" t="n">
        <v>15.01</v>
      </c>
      <c r="AJ450" s="0" t="n">
        <v>7.71</v>
      </c>
      <c r="AR450" s="0" t="n">
        <v>5.09</v>
      </c>
      <c r="AS450" s="0" t="n">
        <v>5.06</v>
      </c>
      <c r="AT450" s="0" t="n">
        <v>2.59</v>
      </c>
    </row>
    <row r="451" customFormat="false" ht="14.25" hidden="false" customHeight="false" outlineLevel="0" collapsed="false">
      <c r="A451" s="0" t="n">
        <v>11.89</v>
      </c>
      <c r="B451" s="0" t="n">
        <v>2.77</v>
      </c>
      <c r="C451" s="0" t="n">
        <v>5.56</v>
      </c>
      <c r="D451" s="0" t="n">
        <v>9.51</v>
      </c>
      <c r="H451" s="0" t="n">
        <v>2.9</v>
      </c>
      <c r="I451" s="0" t="n">
        <v>668.11</v>
      </c>
      <c r="AB451" s="0" t="n">
        <v>3.65</v>
      </c>
      <c r="AC451" s="0" t="n">
        <v>4.64</v>
      </c>
      <c r="AH451" s="0" t="n">
        <v>12.52</v>
      </c>
      <c r="AI451" s="0" t="n">
        <v>15</v>
      </c>
      <c r="AJ451" s="0" t="n">
        <v>7.71</v>
      </c>
      <c r="AR451" s="0" t="n">
        <v>5.1</v>
      </c>
      <c r="AS451" s="0" t="n">
        <v>5</v>
      </c>
      <c r="AT451" s="0" t="n">
        <v>2.59</v>
      </c>
    </row>
    <row r="452" customFormat="false" ht="14.25" hidden="false" customHeight="false" outlineLevel="0" collapsed="false">
      <c r="A452" s="0" t="n">
        <v>11.89</v>
      </c>
      <c r="B452" s="0" t="n">
        <v>2.77</v>
      </c>
      <c r="C452" s="0" t="n">
        <v>5.56</v>
      </c>
      <c r="D452" s="0" t="n">
        <v>9.51</v>
      </c>
      <c r="H452" s="0" t="n">
        <v>2.88</v>
      </c>
      <c r="I452" s="0" t="n">
        <v>668.12</v>
      </c>
      <c r="AB452" s="0" t="n">
        <v>3.66</v>
      </c>
      <c r="AC452" s="0" t="n">
        <v>4.63</v>
      </c>
      <c r="AH452" s="0" t="n">
        <v>12.52</v>
      </c>
      <c r="AI452" s="0" t="n">
        <v>14.95</v>
      </c>
      <c r="AJ452" s="0" t="n">
        <v>7.7</v>
      </c>
      <c r="AR452" s="0" t="n">
        <v>5.07</v>
      </c>
      <c r="AS452" s="0" t="n">
        <v>4.97</v>
      </c>
      <c r="AT452" s="0" t="n">
        <v>2.57</v>
      </c>
    </row>
    <row r="453" customFormat="false" ht="14.25" hidden="false" customHeight="false" outlineLevel="0" collapsed="false">
      <c r="A453" s="0" t="n">
        <v>11.87</v>
      </c>
      <c r="B453" s="0" t="n">
        <v>2.79</v>
      </c>
      <c r="C453" s="0" t="n">
        <v>5.57</v>
      </c>
      <c r="D453" s="0" t="n">
        <v>9.53</v>
      </c>
      <c r="H453" s="0" t="n">
        <v>2.9</v>
      </c>
      <c r="I453" s="0" t="n">
        <v>668.12</v>
      </c>
      <c r="AB453" s="0" t="n">
        <v>3.67</v>
      </c>
      <c r="AC453" s="0" t="n">
        <v>4.63</v>
      </c>
      <c r="AH453" s="0" t="n">
        <v>12.52</v>
      </c>
      <c r="AI453" s="0" t="n">
        <v>14.94</v>
      </c>
      <c r="AJ453" s="0" t="n">
        <v>7.67</v>
      </c>
      <c r="AR453" s="0" t="n">
        <v>5.05</v>
      </c>
      <c r="AS453" s="0" t="n">
        <v>5.04</v>
      </c>
      <c r="AT453" s="0" t="n">
        <v>2.57</v>
      </c>
    </row>
    <row r="454" customFormat="false" ht="14.25" hidden="false" customHeight="false" outlineLevel="0" collapsed="false">
      <c r="A454" s="0" t="n">
        <v>11.87</v>
      </c>
      <c r="B454" s="0" t="n">
        <v>2.78</v>
      </c>
      <c r="C454" s="0" t="n">
        <v>5.57</v>
      </c>
      <c r="D454" s="0" t="n">
        <v>9.54</v>
      </c>
      <c r="H454" s="0" t="n">
        <v>2.93</v>
      </c>
      <c r="I454" s="0" t="n">
        <v>668.12</v>
      </c>
      <c r="AB454" s="0" t="n">
        <v>3.65</v>
      </c>
      <c r="AC454" s="0" t="n">
        <v>4.63</v>
      </c>
      <c r="AH454" s="0" t="n">
        <v>12.51</v>
      </c>
      <c r="AI454" s="0" t="n">
        <v>14.98</v>
      </c>
      <c r="AJ454" s="0" t="n">
        <v>7.65</v>
      </c>
      <c r="AR454" s="0" t="n">
        <v>5.04</v>
      </c>
      <c r="AS454" s="0" t="n">
        <v>5.09</v>
      </c>
      <c r="AT454" s="0" t="n">
        <v>2.57</v>
      </c>
    </row>
    <row r="455" customFormat="false" ht="14.25" hidden="false" customHeight="false" outlineLevel="0" collapsed="false">
      <c r="A455" s="0" t="n">
        <v>11.88</v>
      </c>
      <c r="B455" s="0" t="n">
        <v>2.76</v>
      </c>
      <c r="C455" s="0" t="n">
        <v>5.57</v>
      </c>
      <c r="D455" s="0" t="n">
        <v>9.53</v>
      </c>
      <c r="H455" s="0" t="n">
        <v>2.92</v>
      </c>
      <c r="I455" s="0" t="n">
        <v>668.12</v>
      </c>
      <c r="AB455" s="0" t="n">
        <v>3.65</v>
      </c>
      <c r="AC455" s="0" t="n">
        <v>4.61</v>
      </c>
      <c r="AH455" s="0" t="n">
        <v>12.51</v>
      </c>
      <c r="AI455" s="0" t="n">
        <v>14.98</v>
      </c>
      <c r="AJ455" s="0" t="n">
        <v>7.62</v>
      </c>
      <c r="AR455" s="0" t="n">
        <v>5.08</v>
      </c>
      <c r="AS455" s="0" t="n">
        <v>5.09</v>
      </c>
      <c r="AT455" s="0" t="n">
        <v>2.56</v>
      </c>
    </row>
    <row r="456" customFormat="false" ht="14.25" hidden="false" customHeight="false" outlineLevel="0" collapsed="false">
      <c r="A456" s="0" t="n">
        <v>11.89</v>
      </c>
      <c r="B456" s="0" t="n">
        <v>2.78</v>
      </c>
      <c r="C456" s="0" t="n">
        <v>5.57</v>
      </c>
      <c r="D456" s="0" t="n">
        <v>9.52</v>
      </c>
      <c r="H456" s="0" t="n">
        <v>2.91</v>
      </c>
      <c r="I456" s="0" t="n">
        <v>668.14</v>
      </c>
      <c r="AB456" s="0" t="n">
        <v>3.66</v>
      </c>
      <c r="AC456" s="0" t="n">
        <v>4.61</v>
      </c>
      <c r="AH456" s="0" t="n">
        <v>12.51</v>
      </c>
      <c r="AI456" s="0" t="n">
        <v>15.01</v>
      </c>
      <c r="AJ456" s="0" t="n">
        <v>7.62</v>
      </c>
      <c r="AR456" s="0" t="n">
        <v>5.08</v>
      </c>
      <c r="AS456" s="0" t="n">
        <v>5.07</v>
      </c>
      <c r="AT456" s="0" t="n">
        <v>2.55</v>
      </c>
    </row>
    <row r="457" customFormat="false" ht="14.25" hidden="false" customHeight="false" outlineLevel="0" collapsed="false">
      <c r="A457" s="0" t="n">
        <v>11.91</v>
      </c>
      <c r="B457" s="0" t="n">
        <v>2.76</v>
      </c>
      <c r="C457" s="0" t="n">
        <v>5.57</v>
      </c>
      <c r="D457" s="0" t="n">
        <v>9.52</v>
      </c>
      <c r="H457" s="0" t="n">
        <v>2.92</v>
      </c>
      <c r="I457" s="0" t="n">
        <v>668.16</v>
      </c>
      <c r="AB457" s="0" t="n">
        <v>3.66</v>
      </c>
      <c r="AC457" s="0" t="n">
        <v>4.6</v>
      </c>
      <c r="AH457" s="0" t="n">
        <v>12.52</v>
      </c>
      <c r="AI457" s="0" t="n">
        <v>15.02</v>
      </c>
      <c r="AJ457" s="0" t="n">
        <v>7.65</v>
      </c>
      <c r="AR457" s="0" t="n">
        <v>5.08</v>
      </c>
      <c r="AS457" s="0" t="n">
        <v>5.07</v>
      </c>
      <c r="AT457" s="0" t="n">
        <v>2.55</v>
      </c>
    </row>
    <row r="458" customFormat="false" ht="14.25" hidden="false" customHeight="false" outlineLevel="0" collapsed="false">
      <c r="A458" s="0" t="n">
        <v>11.88</v>
      </c>
      <c r="B458" s="0" t="n">
        <v>2.75</v>
      </c>
      <c r="C458" s="0" t="n">
        <v>5.57</v>
      </c>
      <c r="D458" s="0" t="n">
        <v>9.5</v>
      </c>
      <c r="H458" s="0" t="n">
        <v>2.92</v>
      </c>
      <c r="I458" s="0" t="n">
        <v>668.14</v>
      </c>
      <c r="AB458" s="0" t="n">
        <v>3.65</v>
      </c>
      <c r="AC458" s="0" t="n">
        <v>4.59</v>
      </c>
      <c r="AH458" s="0" t="n">
        <v>12.52</v>
      </c>
      <c r="AI458" s="0" t="n">
        <v>15.01</v>
      </c>
      <c r="AJ458" s="0" t="n">
        <v>7.63</v>
      </c>
      <c r="AR458" s="0" t="n">
        <v>5.09</v>
      </c>
      <c r="AS458" s="0" t="n">
        <v>5.16</v>
      </c>
      <c r="AT458" s="0" t="n">
        <v>2.54</v>
      </c>
    </row>
    <row r="459" customFormat="false" ht="14.25" hidden="false" customHeight="false" outlineLevel="0" collapsed="false">
      <c r="A459" s="0" t="n">
        <v>11.83</v>
      </c>
      <c r="B459" s="0" t="n">
        <v>2.72</v>
      </c>
      <c r="C459" s="0" t="n">
        <v>5.57</v>
      </c>
      <c r="D459" s="0" t="n">
        <v>9.51</v>
      </c>
      <c r="H459" s="0" t="n">
        <v>2.93</v>
      </c>
      <c r="I459" s="0" t="n">
        <v>668.17</v>
      </c>
      <c r="AB459" s="0" t="n">
        <v>3.65</v>
      </c>
      <c r="AC459" s="0" t="n">
        <v>4.61</v>
      </c>
      <c r="AH459" s="0" t="n">
        <v>12.51</v>
      </c>
      <c r="AI459" s="0" t="n">
        <v>15</v>
      </c>
      <c r="AJ459" s="0" t="n">
        <v>7.66</v>
      </c>
      <c r="AR459" s="0" t="n">
        <v>5.08</v>
      </c>
      <c r="AS459" s="0" t="n">
        <v>5.14</v>
      </c>
      <c r="AT459" s="0" t="n">
        <v>2.53</v>
      </c>
    </row>
    <row r="460" customFormat="false" ht="14.25" hidden="false" customHeight="false" outlineLevel="0" collapsed="false">
      <c r="A460" s="0" t="n">
        <v>11.82</v>
      </c>
      <c r="B460" s="0" t="n">
        <v>2.76</v>
      </c>
      <c r="C460" s="0" t="n">
        <v>5.57</v>
      </c>
      <c r="D460" s="0" t="n">
        <v>9.51</v>
      </c>
      <c r="H460" s="0" t="n">
        <v>2.91</v>
      </c>
      <c r="I460" s="0" t="n">
        <v>668.15</v>
      </c>
      <c r="AB460" s="0" t="n">
        <v>3.65</v>
      </c>
      <c r="AC460" s="0" t="n">
        <v>4.63</v>
      </c>
      <c r="AH460" s="0" t="n">
        <v>12.52</v>
      </c>
      <c r="AI460" s="0" t="n">
        <v>15.01</v>
      </c>
      <c r="AJ460" s="0" t="n">
        <v>7.64</v>
      </c>
      <c r="AR460" s="0" t="n">
        <v>5.08</v>
      </c>
      <c r="AS460" s="0" t="n">
        <v>5.13</v>
      </c>
      <c r="AT460" s="0" t="n">
        <v>2.52</v>
      </c>
    </row>
    <row r="461" customFormat="false" ht="14.25" hidden="false" customHeight="false" outlineLevel="0" collapsed="false">
      <c r="A461" s="0" t="n">
        <v>11.87</v>
      </c>
      <c r="B461" s="0" t="n">
        <v>2.74</v>
      </c>
      <c r="C461" s="0" t="n">
        <v>5.57</v>
      </c>
      <c r="D461" s="0" t="n">
        <v>9.45</v>
      </c>
      <c r="H461" s="0" t="n">
        <v>2.92</v>
      </c>
      <c r="I461" s="0" t="n">
        <v>668.14</v>
      </c>
      <c r="AB461" s="0" t="n">
        <v>3.65</v>
      </c>
      <c r="AC461" s="0" t="n">
        <v>4.62</v>
      </c>
      <c r="AH461" s="0" t="n">
        <v>12.51</v>
      </c>
      <c r="AI461" s="0" t="n">
        <v>15</v>
      </c>
      <c r="AJ461" s="0" t="n">
        <v>7.61</v>
      </c>
      <c r="AR461" s="0" t="n">
        <v>5.08</v>
      </c>
      <c r="AS461" s="0" t="n">
        <v>5.12</v>
      </c>
      <c r="AT461" s="0" t="n">
        <v>2.52</v>
      </c>
    </row>
    <row r="462" customFormat="false" ht="14.25" hidden="false" customHeight="false" outlineLevel="0" collapsed="false">
      <c r="A462" s="0" t="n">
        <v>11.85</v>
      </c>
      <c r="B462" s="0" t="n">
        <v>2.74</v>
      </c>
      <c r="C462" s="0" t="n">
        <v>5.57</v>
      </c>
      <c r="D462" s="0" t="n">
        <v>9.49</v>
      </c>
      <c r="H462" s="0" t="n">
        <v>2.92</v>
      </c>
      <c r="I462" s="0" t="n">
        <v>668.12</v>
      </c>
      <c r="AB462" s="0" t="n">
        <v>3.65</v>
      </c>
      <c r="AC462" s="0" t="n">
        <v>4.61</v>
      </c>
      <c r="AH462" s="0" t="n">
        <v>12.52</v>
      </c>
      <c r="AI462" s="0" t="n">
        <v>14.98</v>
      </c>
      <c r="AJ462" s="0" t="n">
        <v>7.56</v>
      </c>
      <c r="AR462" s="0" t="n">
        <v>5.09</v>
      </c>
      <c r="AS462" s="0" t="n">
        <v>5.08</v>
      </c>
      <c r="AT462" s="0" t="n">
        <v>2.52</v>
      </c>
    </row>
    <row r="463" customFormat="false" ht="14.25" hidden="false" customHeight="false" outlineLevel="0" collapsed="false">
      <c r="A463" s="0" t="n">
        <v>11.86</v>
      </c>
      <c r="B463" s="0" t="n">
        <v>2.75</v>
      </c>
      <c r="C463" s="0" t="n">
        <v>5.57</v>
      </c>
      <c r="D463" s="0" t="n">
        <v>9.53</v>
      </c>
      <c r="H463" s="0" t="n">
        <v>2.92</v>
      </c>
      <c r="I463" s="0" t="n">
        <v>668.12</v>
      </c>
      <c r="AB463" s="0" t="n">
        <v>3.65</v>
      </c>
      <c r="AC463" s="0" t="n">
        <v>4.62</v>
      </c>
      <c r="AH463" s="0" t="n">
        <v>12.5</v>
      </c>
      <c r="AI463" s="0" t="n">
        <v>15</v>
      </c>
      <c r="AJ463" s="0" t="n">
        <v>7.6</v>
      </c>
      <c r="AR463" s="0" t="n">
        <v>5.09</v>
      </c>
      <c r="AS463" s="0" t="n">
        <v>5.06</v>
      </c>
      <c r="AT463" s="0" t="n">
        <v>2.5</v>
      </c>
    </row>
    <row r="464" customFormat="false" ht="14.25" hidden="false" customHeight="false" outlineLevel="0" collapsed="false">
      <c r="A464" s="0" t="n">
        <v>11.86</v>
      </c>
      <c r="B464" s="0" t="n">
        <v>2.75</v>
      </c>
      <c r="C464" s="0" t="n">
        <v>5.56</v>
      </c>
      <c r="D464" s="0" t="n">
        <v>9.52</v>
      </c>
      <c r="H464" s="0" t="n">
        <v>2.98</v>
      </c>
      <c r="I464" s="0" t="n">
        <v>668.14</v>
      </c>
      <c r="AB464" s="0" t="n">
        <v>3.65</v>
      </c>
      <c r="AC464" s="0" t="n">
        <v>4.62</v>
      </c>
      <c r="AH464" s="0" t="n">
        <v>12.52</v>
      </c>
      <c r="AI464" s="0" t="n">
        <v>14.99</v>
      </c>
      <c r="AJ464" s="0" t="n">
        <v>7.6</v>
      </c>
      <c r="AR464" s="0" t="n">
        <v>5.08</v>
      </c>
      <c r="AS464" s="0" t="n">
        <v>5.12</v>
      </c>
      <c r="AT464" s="0" t="n">
        <v>2.49</v>
      </c>
    </row>
    <row r="465" customFormat="false" ht="14.25" hidden="false" customHeight="false" outlineLevel="0" collapsed="false">
      <c r="A465" s="0" t="n">
        <v>11.84</v>
      </c>
      <c r="B465" s="0" t="n">
        <v>2.75</v>
      </c>
      <c r="C465" s="0" t="n">
        <v>5.56</v>
      </c>
      <c r="D465" s="0" t="n">
        <v>9.51</v>
      </c>
      <c r="H465" s="0" t="n">
        <v>2.97</v>
      </c>
      <c r="I465" s="0" t="n">
        <v>668.16</v>
      </c>
      <c r="AB465" s="0" t="n">
        <v>3.64</v>
      </c>
      <c r="AC465" s="0" t="n">
        <v>4.62</v>
      </c>
      <c r="AH465" s="0" t="n">
        <v>12.51</v>
      </c>
      <c r="AI465" s="0" t="n">
        <v>15.02</v>
      </c>
      <c r="AJ465" s="0" t="n">
        <v>7.59</v>
      </c>
      <c r="AR465" s="0" t="n">
        <v>5.1</v>
      </c>
      <c r="AS465" s="0" t="n">
        <v>5.11</v>
      </c>
      <c r="AT465" s="0" t="n">
        <v>2.48</v>
      </c>
    </row>
    <row r="466" customFormat="false" ht="14.25" hidden="false" customHeight="false" outlineLevel="0" collapsed="false">
      <c r="A466" s="0" t="n">
        <v>11.85</v>
      </c>
      <c r="B466" s="0" t="n">
        <v>2.75</v>
      </c>
      <c r="C466" s="0" t="n">
        <v>5.57</v>
      </c>
      <c r="D466" s="0" t="n">
        <v>9.51</v>
      </c>
      <c r="H466" s="0" t="n">
        <v>2.93</v>
      </c>
      <c r="I466" s="0" t="n">
        <v>668.12</v>
      </c>
      <c r="AB466" s="0" t="n">
        <v>3.65</v>
      </c>
      <c r="AC466" s="0" t="n">
        <v>4.62</v>
      </c>
      <c r="AH466" s="0" t="n">
        <v>12.51</v>
      </c>
      <c r="AI466" s="0" t="n">
        <v>15.02</v>
      </c>
      <c r="AJ466" s="0" t="n">
        <v>7.6</v>
      </c>
      <c r="AR466" s="0" t="n">
        <v>5.08</v>
      </c>
      <c r="AS466" s="0" t="n">
        <v>5.1</v>
      </c>
      <c r="AT466" s="0" t="n">
        <v>2.49</v>
      </c>
    </row>
    <row r="467" customFormat="false" ht="14.25" hidden="false" customHeight="false" outlineLevel="0" collapsed="false">
      <c r="A467" s="0" t="n">
        <v>11.84</v>
      </c>
      <c r="B467" s="0" t="n">
        <v>2.74</v>
      </c>
      <c r="C467" s="0" t="n">
        <v>5.57</v>
      </c>
      <c r="D467" s="0" t="n">
        <v>9.49</v>
      </c>
      <c r="H467" s="0" t="n">
        <v>2.92</v>
      </c>
      <c r="I467" s="0" t="n">
        <v>668.14</v>
      </c>
      <c r="AB467" s="0" t="n">
        <v>3.67</v>
      </c>
      <c r="AC467" s="0" t="n">
        <v>4.65</v>
      </c>
      <c r="AH467" s="0" t="n">
        <v>12.5</v>
      </c>
      <c r="AI467" s="0" t="n">
        <v>15.01</v>
      </c>
      <c r="AJ467" s="0" t="n">
        <v>7.6</v>
      </c>
      <c r="AR467" s="0" t="n">
        <v>5.08</v>
      </c>
      <c r="AS467" s="0" t="n">
        <v>5.09</v>
      </c>
      <c r="AT467" s="0" t="n">
        <v>2.47</v>
      </c>
    </row>
    <row r="468" customFormat="false" ht="14.25" hidden="false" customHeight="false" outlineLevel="0" collapsed="false">
      <c r="A468" s="0" t="n">
        <v>11.83</v>
      </c>
      <c r="B468" s="0" t="n">
        <v>2.75</v>
      </c>
      <c r="C468" s="0" t="n">
        <v>5.57</v>
      </c>
      <c r="D468" s="0" t="n">
        <v>9.5</v>
      </c>
      <c r="H468" s="0" t="n">
        <v>2.92</v>
      </c>
      <c r="I468" s="0" t="n">
        <v>668.12</v>
      </c>
      <c r="AB468" s="0" t="n">
        <v>3.65</v>
      </c>
      <c r="AC468" s="0" t="n">
        <v>4.64</v>
      </c>
      <c r="AH468" s="0" t="n">
        <v>12.5</v>
      </c>
      <c r="AI468" s="0" t="n">
        <v>15.01</v>
      </c>
      <c r="AJ468" s="0" t="n">
        <v>7.58</v>
      </c>
      <c r="AR468" s="0" t="n">
        <v>5.12</v>
      </c>
      <c r="AS468" s="0" t="n">
        <v>5.13</v>
      </c>
      <c r="AT468" s="0" t="n">
        <v>2.46</v>
      </c>
    </row>
    <row r="469" customFormat="false" ht="14.25" hidden="false" customHeight="false" outlineLevel="0" collapsed="false">
      <c r="A469" s="0" t="n">
        <v>11.84</v>
      </c>
      <c r="B469" s="0" t="n">
        <v>2.75</v>
      </c>
      <c r="C469" s="0" t="n">
        <v>5.56</v>
      </c>
      <c r="D469" s="0" t="n">
        <v>9.48</v>
      </c>
      <c r="H469" s="0" t="n">
        <v>2.92</v>
      </c>
      <c r="I469" s="0" t="n">
        <v>668.16</v>
      </c>
      <c r="AB469" s="0" t="n">
        <v>3.66</v>
      </c>
      <c r="AC469" s="0" t="n">
        <v>4.57</v>
      </c>
      <c r="AH469" s="0" t="n">
        <v>12.51</v>
      </c>
      <c r="AI469" s="0" t="n">
        <v>15.01</v>
      </c>
      <c r="AJ469" s="0" t="n">
        <v>7.6</v>
      </c>
      <c r="AR469" s="0" t="n">
        <v>5.09</v>
      </c>
      <c r="AS469" s="0" t="n">
        <v>5.08</v>
      </c>
    </row>
    <row r="470" customFormat="false" ht="14.25" hidden="false" customHeight="false" outlineLevel="0" collapsed="false">
      <c r="A470" s="0" t="n">
        <v>11.81</v>
      </c>
      <c r="B470" s="0" t="n">
        <v>2.75</v>
      </c>
      <c r="C470" s="0" t="n">
        <v>5.56</v>
      </c>
      <c r="D470" s="0" t="n">
        <v>9.48</v>
      </c>
      <c r="H470" s="0" t="n">
        <v>2.89</v>
      </c>
      <c r="I470" s="0" t="n">
        <v>668.14</v>
      </c>
      <c r="AB470" s="0" t="n">
        <v>3.67</v>
      </c>
      <c r="AC470" s="0" t="n">
        <v>4.65</v>
      </c>
      <c r="AH470" s="0" t="n">
        <v>12.51</v>
      </c>
      <c r="AI470" s="0" t="n">
        <v>15</v>
      </c>
      <c r="AJ470" s="0" t="n">
        <v>7.61</v>
      </c>
      <c r="AR470" s="0" t="n">
        <v>5.08</v>
      </c>
      <c r="AS470" s="0" t="n">
        <v>5.06</v>
      </c>
    </row>
    <row r="471" customFormat="false" ht="14.25" hidden="false" customHeight="false" outlineLevel="0" collapsed="false">
      <c r="A471" s="0" t="n">
        <v>11.81</v>
      </c>
      <c r="B471" s="0" t="n">
        <v>2.75</v>
      </c>
      <c r="C471" s="0" t="n">
        <v>5.56</v>
      </c>
      <c r="D471" s="0" t="n">
        <v>9.48</v>
      </c>
      <c r="H471" s="0" t="n">
        <v>2.92</v>
      </c>
      <c r="I471" s="0" t="n">
        <v>668.12</v>
      </c>
      <c r="AB471" s="0" t="n">
        <v>3.66</v>
      </c>
      <c r="AC471" s="0" t="n">
        <v>4.62</v>
      </c>
      <c r="AH471" s="0" t="n">
        <v>12.51</v>
      </c>
      <c r="AI471" s="0" t="n">
        <v>15</v>
      </c>
      <c r="AR471" s="0" t="n">
        <v>5.08</v>
      </c>
      <c r="AS471" s="0" t="n">
        <v>5.11</v>
      </c>
    </row>
    <row r="472" customFormat="false" ht="14.25" hidden="false" customHeight="false" outlineLevel="0" collapsed="false">
      <c r="A472" s="0" t="n">
        <v>11.81</v>
      </c>
      <c r="B472" s="0" t="n">
        <v>2.74</v>
      </c>
      <c r="C472" s="0" t="n">
        <v>5.56</v>
      </c>
      <c r="D472" s="0" t="n">
        <v>9.45</v>
      </c>
      <c r="H472" s="0" t="n">
        <v>2.91</v>
      </c>
      <c r="I472" s="0" t="n">
        <v>668.11</v>
      </c>
      <c r="AB472" s="0" t="n">
        <v>3.66</v>
      </c>
      <c r="AC472" s="0" t="n">
        <v>4.64</v>
      </c>
      <c r="AH472" s="0" t="n">
        <v>12.5</v>
      </c>
      <c r="AI472" s="0" t="n">
        <v>14.97</v>
      </c>
      <c r="AR472" s="0" t="n">
        <v>5.09</v>
      </c>
      <c r="AS472" s="0" t="n">
        <v>5.13</v>
      </c>
    </row>
    <row r="473" customFormat="false" ht="14.25" hidden="false" customHeight="false" outlineLevel="0" collapsed="false">
      <c r="A473" s="0" t="n">
        <v>11.81</v>
      </c>
      <c r="B473" s="0" t="n">
        <v>2.74</v>
      </c>
      <c r="C473" s="0" t="n">
        <v>5.56</v>
      </c>
      <c r="D473" s="0" t="n">
        <v>9.47</v>
      </c>
      <c r="H473" s="0" t="n">
        <v>2.91</v>
      </c>
      <c r="I473" s="0" t="n">
        <v>668.12</v>
      </c>
      <c r="AB473" s="0" t="n">
        <v>3.66</v>
      </c>
      <c r="AC473" s="0" t="n">
        <v>4.64</v>
      </c>
      <c r="AH473" s="0" t="n">
        <v>12.5</v>
      </c>
      <c r="AI473" s="0" t="n">
        <v>14.94</v>
      </c>
      <c r="AR473" s="0" t="n">
        <v>5.09</v>
      </c>
      <c r="AS473" s="0" t="n">
        <v>5.15</v>
      </c>
    </row>
    <row r="474" customFormat="false" ht="14.25" hidden="false" customHeight="false" outlineLevel="0" collapsed="false">
      <c r="A474" s="0" t="n">
        <v>11.8</v>
      </c>
      <c r="B474" s="0" t="n">
        <v>2.74</v>
      </c>
      <c r="C474" s="0" t="n">
        <v>5.56</v>
      </c>
      <c r="D474" s="0" t="n">
        <v>9.45</v>
      </c>
      <c r="H474" s="0" t="n">
        <v>2.97</v>
      </c>
      <c r="I474" s="0" t="n">
        <v>668.12</v>
      </c>
      <c r="AB474" s="0" t="n">
        <v>3.67</v>
      </c>
      <c r="AC474" s="0" t="n">
        <v>4.66</v>
      </c>
      <c r="AH474" s="0" t="n">
        <v>12.51</v>
      </c>
      <c r="AI474" s="0" t="n">
        <v>14.97</v>
      </c>
      <c r="AR474" s="0" t="n">
        <v>5.07</v>
      </c>
      <c r="AS474" s="0" t="n">
        <v>5.14</v>
      </c>
    </row>
    <row r="475" customFormat="false" ht="14.25" hidden="false" customHeight="false" outlineLevel="0" collapsed="false">
      <c r="A475" s="0" t="n">
        <v>11.79</v>
      </c>
      <c r="B475" s="0" t="n">
        <v>2.74</v>
      </c>
      <c r="C475" s="0" t="n">
        <v>5.56</v>
      </c>
      <c r="D475" s="0" t="n">
        <v>9.46</v>
      </c>
      <c r="H475" s="0" t="n">
        <v>2.97</v>
      </c>
      <c r="I475" s="0" t="n">
        <v>668.11</v>
      </c>
      <c r="AB475" s="0" t="n">
        <v>3.64</v>
      </c>
      <c r="AC475" s="0" t="n">
        <v>4.7</v>
      </c>
      <c r="AH475" s="0" t="n">
        <v>12.51</v>
      </c>
      <c r="AI475" s="0" t="n">
        <v>14.99</v>
      </c>
      <c r="AR475" s="0" t="n">
        <v>5</v>
      </c>
      <c r="AS475" s="0" t="n">
        <v>5.12</v>
      </c>
    </row>
    <row r="476" customFormat="false" ht="14.25" hidden="false" customHeight="false" outlineLevel="0" collapsed="false">
      <c r="A476" s="0" t="n">
        <v>11.77</v>
      </c>
      <c r="B476" s="0" t="n">
        <v>2.74</v>
      </c>
      <c r="C476" s="0" t="n">
        <v>5.56</v>
      </c>
      <c r="D476" s="0" t="n">
        <v>9.47</v>
      </c>
      <c r="H476" s="0" t="n">
        <v>2.94</v>
      </c>
      <c r="I476" s="0" t="n">
        <v>668.12</v>
      </c>
      <c r="AB476" s="0" t="n">
        <v>3.65</v>
      </c>
      <c r="AC476" s="0" t="n">
        <v>4.6</v>
      </c>
      <c r="AH476" s="0" t="n">
        <v>12.51</v>
      </c>
      <c r="AI476" s="0" t="n">
        <v>14.99</v>
      </c>
      <c r="AR476" s="0" t="n">
        <v>5.11</v>
      </c>
      <c r="AS476" s="0" t="n">
        <v>5.16</v>
      </c>
    </row>
    <row r="477" customFormat="false" ht="14.25" hidden="false" customHeight="false" outlineLevel="0" collapsed="false">
      <c r="A477" s="0" t="n">
        <v>11.75</v>
      </c>
      <c r="B477" s="0" t="n">
        <v>2.74</v>
      </c>
      <c r="C477" s="0" t="n">
        <v>5.56</v>
      </c>
      <c r="D477" s="0" t="n">
        <v>9.47</v>
      </c>
      <c r="H477" s="0" t="n">
        <v>2.92</v>
      </c>
      <c r="I477" s="0" t="n">
        <v>668.12</v>
      </c>
      <c r="AB477" s="0" t="n">
        <v>3.64</v>
      </c>
      <c r="AC477" s="0" t="n">
        <v>4.61</v>
      </c>
      <c r="AH477" s="0" t="n">
        <v>12.5</v>
      </c>
      <c r="AI477" s="0" t="n">
        <v>15</v>
      </c>
      <c r="AR477" s="0" t="n">
        <v>5.12</v>
      </c>
      <c r="AS477" s="0" t="n">
        <v>5.1</v>
      </c>
    </row>
    <row r="478" customFormat="false" ht="14.25" hidden="false" customHeight="false" outlineLevel="0" collapsed="false">
      <c r="A478" s="0" t="n">
        <v>11.73</v>
      </c>
      <c r="B478" s="0" t="n">
        <v>2.73</v>
      </c>
      <c r="C478" s="0" t="n">
        <v>5.56</v>
      </c>
      <c r="D478" s="0" t="n">
        <v>9.45</v>
      </c>
      <c r="H478" s="0" t="n">
        <v>2.92</v>
      </c>
      <c r="I478" s="0" t="n">
        <v>668.14</v>
      </c>
      <c r="AB478" s="0" t="n">
        <v>3.65</v>
      </c>
      <c r="AC478" s="0" t="n">
        <v>4.61</v>
      </c>
      <c r="AH478" s="0" t="n">
        <v>12.5</v>
      </c>
      <c r="AR478" s="0" t="n">
        <v>5.14</v>
      </c>
      <c r="AS478" s="0" t="n">
        <v>5.09</v>
      </c>
    </row>
    <row r="479" customFormat="false" ht="14.25" hidden="false" customHeight="false" outlineLevel="0" collapsed="false">
      <c r="A479" s="0" t="n">
        <v>11.72</v>
      </c>
      <c r="B479" s="0" t="n">
        <v>2.73</v>
      </c>
      <c r="C479" s="0" t="n">
        <v>5.56</v>
      </c>
      <c r="D479" s="0" t="n">
        <v>9.45</v>
      </c>
      <c r="H479" s="0" t="n">
        <v>2.91</v>
      </c>
      <c r="I479" s="0" t="n">
        <v>668.14</v>
      </c>
      <c r="AB479" s="0" t="n">
        <v>3.64</v>
      </c>
      <c r="AC479" s="0" t="n">
        <v>4.62</v>
      </c>
      <c r="AH479" s="0" t="n">
        <v>12.51</v>
      </c>
      <c r="AR479" s="0" t="n">
        <v>5.13</v>
      </c>
      <c r="AS479" s="0" t="n">
        <v>5.11</v>
      </c>
    </row>
    <row r="480" customFormat="false" ht="14.25" hidden="false" customHeight="false" outlineLevel="0" collapsed="false">
      <c r="A480" s="0" t="n">
        <v>11.73</v>
      </c>
      <c r="B480" s="0" t="n">
        <v>2.73</v>
      </c>
      <c r="C480" s="0" t="n">
        <v>5.55</v>
      </c>
      <c r="D480" s="0" t="n">
        <v>9.46</v>
      </c>
      <c r="H480" s="0" t="n">
        <v>2.92</v>
      </c>
      <c r="I480" s="0" t="n">
        <v>668.12</v>
      </c>
      <c r="AB480" s="0" t="n">
        <v>3.65</v>
      </c>
      <c r="AC480" s="0" t="n">
        <v>4.62</v>
      </c>
      <c r="AH480" s="0" t="n">
        <v>12.51</v>
      </c>
      <c r="AR480" s="0" t="n">
        <v>5.12</v>
      </c>
    </row>
    <row r="481" customFormat="false" ht="14.25" hidden="false" customHeight="false" outlineLevel="0" collapsed="false">
      <c r="A481" s="0" t="n">
        <v>11.72</v>
      </c>
      <c r="B481" s="0" t="n">
        <v>2.73</v>
      </c>
      <c r="C481" s="0" t="n">
        <v>5.55</v>
      </c>
      <c r="D481" s="0" t="n">
        <v>9.45</v>
      </c>
      <c r="H481" s="0" t="n">
        <v>2.92</v>
      </c>
      <c r="I481" s="0" t="n">
        <v>668.11</v>
      </c>
      <c r="AB481" s="0" t="n">
        <v>3.64</v>
      </c>
      <c r="AC481" s="0" t="n">
        <v>4.61</v>
      </c>
      <c r="AH481" s="0" t="n">
        <v>12.51</v>
      </c>
    </row>
    <row r="482" customFormat="false" ht="14.25" hidden="false" customHeight="false" outlineLevel="0" collapsed="false">
      <c r="A482" s="0" t="n">
        <v>11.73</v>
      </c>
      <c r="B482" s="0" t="n">
        <v>2.72</v>
      </c>
      <c r="C482" s="0" t="n">
        <v>5.54</v>
      </c>
      <c r="D482" s="0" t="n">
        <v>9.45</v>
      </c>
      <c r="H482" s="0" t="n">
        <v>2.91</v>
      </c>
      <c r="I482" s="0" t="n">
        <v>668.1</v>
      </c>
      <c r="AB482" s="0" t="n">
        <v>3.65</v>
      </c>
      <c r="AC482" s="0" t="n">
        <v>4.6</v>
      </c>
      <c r="AH482" s="0" t="n">
        <v>12.52</v>
      </c>
    </row>
    <row r="483" customFormat="false" ht="14.25" hidden="false" customHeight="false" outlineLevel="0" collapsed="false">
      <c r="A483" s="0" t="n">
        <v>11.73</v>
      </c>
      <c r="B483" s="0" t="n">
        <v>2.72</v>
      </c>
      <c r="C483" s="0" t="n">
        <v>5.55</v>
      </c>
      <c r="D483" s="0" t="n">
        <v>9.45</v>
      </c>
      <c r="H483" s="0" t="n">
        <v>2.93</v>
      </c>
      <c r="I483" s="0" t="n">
        <v>668.08</v>
      </c>
      <c r="AB483" s="0" t="n">
        <v>3.63</v>
      </c>
      <c r="AC483" s="0" t="n">
        <v>4.61</v>
      </c>
      <c r="AH483" s="0" t="n">
        <v>12.52</v>
      </c>
    </row>
    <row r="484" customFormat="false" ht="14.25" hidden="false" customHeight="false" outlineLevel="0" collapsed="false">
      <c r="A484" s="0" t="n">
        <v>11.73</v>
      </c>
      <c r="B484" s="0" t="n">
        <v>2.72</v>
      </c>
      <c r="C484" s="0" t="n">
        <v>5.55</v>
      </c>
      <c r="D484" s="0" t="n">
        <v>9.44</v>
      </c>
      <c r="H484" s="0" t="n">
        <v>2.91</v>
      </c>
      <c r="I484" s="0" t="n">
        <v>668.03</v>
      </c>
      <c r="AB484" s="0" t="n">
        <v>3.63</v>
      </c>
      <c r="AC484" s="0" t="n">
        <v>4.62</v>
      </c>
      <c r="AH484" s="0" t="n">
        <v>12.51</v>
      </c>
    </row>
    <row r="485" customFormat="false" ht="14.25" hidden="false" customHeight="false" outlineLevel="0" collapsed="false">
      <c r="A485" s="0" t="n">
        <v>11.73</v>
      </c>
      <c r="B485" s="0" t="n">
        <v>2.72</v>
      </c>
      <c r="C485" s="0" t="n">
        <v>5.54</v>
      </c>
      <c r="D485" s="0" t="n">
        <v>9.45</v>
      </c>
      <c r="H485" s="0" t="n">
        <v>2.91</v>
      </c>
      <c r="I485" s="0" t="n">
        <v>668.03</v>
      </c>
      <c r="AB485" s="0" t="n">
        <v>3.64</v>
      </c>
      <c r="AC485" s="0" t="n">
        <v>4.61</v>
      </c>
      <c r="AH485" s="0" t="n">
        <v>12.51</v>
      </c>
    </row>
    <row r="486" customFormat="false" ht="14.25" hidden="false" customHeight="false" outlineLevel="0" collapsed="false">
      <c r="A486" s="0" t="n">
        <v>11.74</v>
      </c>
      <c r="B486" s="0" t="n">
        <v>2.72</v>
      </c>
      <c r="C486" s="0" t="n">
        <v>5.55</v>
      </c>
      <c r="D486" s="0" t="n">
        <v>9.45</v>
      </c>
      <c r="H486" s="0" t="n">
        <v>2.93</v>
      </c>
      <c r="I486" s="0" t="n">
        <v>668.04</v>
      </c>
      <c r="AB486" s="0" t="n">
        <v>3.64</v>
      </c>
      <c r="AC486" s="0" t="n">
        <v>4.61</v>
      </c>
      <c r="AH486" s="0" t="n">
        <v>12.51</v>
      </c>
    </row>
    <row r="487" customFormat="false" ht="14.25" hidden="false" customHeight="false" outlineLevel="0" collapsed="false">
      <c r="A487" s="0" t="n">
        <v>11.75</v>
      </c>
      <c r="B487" s="0" t="n">
        <v>2.73</v>
      </c>
      <c r="C487" s="0" t="n">
        <v>5.54</v>
      </c>
      <c r="D487" s="0" t="n">
        <v>9.44</v>
      </c>
      <c r="H487" s="0" t="n">
        <v>2.94</v>
      </c>
      <c r="I487" s="0" t="n">
        <v>668.04</v>
      </c>
      <c r="AB487" s="0" t="n">
        <v>3.64</v>
      </c>
      <c r="AC487" s="0" t="n">
        <v>4.61</v>
      </c>
      <c r="AH487" s="0" t="n">
        <v>12.5</v>
      </c>
    </row>
    <row r="488" customFormat="false" ht="14.25" hidden="false" customHeight="false" outlineLevel="0" collapsed="false">
      <c r="A488" s="0" t="n">
        <v>11.77</v>
      </c>
      <c r="B488" s="0" t="n">
        <v>2.73</v>
      </c>
      <c r="C488" s="0" t="n">
        <v>5.54</v>
      </c>
      <c r="D488" s="0" t="n">
        <v>9.44</v>
      </c>
      <c r="H488" s="0" t="n">
        <v>2.94</v>
      </c>
      <c r="I488" s="0" t="n">
        <v>668.05</v>
      </c>
      <c r="AB488" s="0" t="n">
        <v>3.63</v>
      </c>
      <c r="AC488" s="0" t="n">
        <v>4.62</v>
      </c>
      <c r="AH488" s="0" t="n">
        <v>12.51</v>
      </c>
    </row>
    <row r="489" customFormat="false" ht="14.25" hidden="false" customHeight="false" outlineLevel="0" collapsed="false">
      <c r="A489" s="0" t="n">
        <v>11.76</v>
      </c>
      <c r="B489" s="0" t="n">
        <v>2.73</v>
      </c>
      <c r="C489" s="0" t="n">
        <v>5.54</v>
      </c>
      <c r="D489" s="0" t="n">
        <v>9.45</v>
      </c>
      <c r="H489" s="0" t="n">
        <v>2.92</v>
      </c>
      <c r="I489" s="0" t="n">
        <v>668.06</v>
      </c>
      <c r="AB489" s="0" t="n">
        <v>3.65</v>
      </c>
      <c r="AC489" s="0" t="n">
        <v>4.62</v>
      </c>
      <c r="AH489" s="0" t="n">
        <v>12.51</v>
      </c>
    </row>
    <row r="490" customFormat="false" ht="14.25" hidden="false" customHeight="false" outlineLevel="0" collapsed="false">
      <c r="A490" s="0" t="n">
        <v>11.76</v>
      </c>
      <c r="B490" s="0" t="n">
        <v>2.73</v>
      </c>
      <c r="C490" s="0" t="n">
        <v>5.53</v>
      </c>
      <c r="D490" s="0" t="n">
        <v>9.43</v>
      </c>
      <c r="H490" s="0" t="n">
        <v>2.91</v>
      </c>
      <c r="I490" s="0" t="n">
        <v>668.06</v>
      </c>
      <c r="AB490" s="0" t="n">
        <v>3.63</v>
      </c>
      <c r="AC490" s="0" t="n">
        <v>4.62</v>
      </c>
      <c r="AH490" s="0" t="n">
        <v>12.52</v>
      </c>
    </row>
    <row r="491" customFormat="false" ht="14.25" hidden="false" customHeight="false" outlineLevel="0" collapsed="false">
      <c r="A491" s="0" t="n">
        <v>11.78</v>
      </c>
      <c r="B491" s="0" t="n">
        <v>2.72</v>
      </c>
      <c r="C491" s="0" t="n">
        <v>5.54</v>
      </c>
      <c r="D491" s="0" t="n">
        <v>9.43</v>
      </c>
      <c r="H491" s="0" t="n">
        <v>2.92</v>
      </c>
      <c r="I491" s="0" t="n">
        <v>668.05</v>
      </c>
      <c r="AB491" s="0" t="n">
        <v>3.64</v>
      </c>
      <c r="AC491" s="0" t="n">
        <v>4.61</v>
      </c>
      <c r="AH491" s="0" t="n">
        <v>12.52</v>
      </c>
    </row>
    <row r="492" customFormat="false" ht="14.25" hidden="false" customHeight="false" outlineLevel="0" collapsed="false">
      <c r="A492" s="0" t="n">
        <v>11.76</v>
      </c>
      <c r="B492" s="0" t="n">
        <v>2.73</v>
      </c>
      <c r="C492" s="0" t="n">
        <v>5.54</v>
      </c>
      <c r="D492" s="0" t="n">
        <v>9.44</v>
      </c>
      <c r="H492" s="0" t="n">
        <v>2.9</v>
      </c>
      <c r="I492" s="0" t="n">
        <v>668.03</v>
      </c>
      <c r="AB492" s="0" t="n">
        <v>3.62</v>
      </c>
      <c r="AC492" s="0" t="n">
        <v>4.61</v>
      </c>
      <c r="AH492" s="0" t="n">
        <v>12.51</v>
      </c>
    </row>
    <row r="493" customFormat="false" ht="14.25" hidden="false" customHeight="false" outlineLevel="0" collapsed="false">
      <c r="A493" s="0" t="n">
        <v>11.74</v>
      </c>
      <c r="B493" s="0" t="n">
        <v>2.72</v>
      </c>
      <c r="C493" s="0" t="n">
        <v>5.53</v>
      </c>
      <c r="D493" s="0" t="n">
        <v>9.43</v>
      </c>
      <c r="H493" s="0" t="n">
        <v>2.92</v>
      </c>
      <c r="I493" s="0" t="n">
        <v>668.03</v>
      </c>
      <c r="AB493" s="0" t="n">
        <v>3.62</v>
      </c>
      <c r="AC493" s="0" t="n">
        <v>4.62</v>
      </c>
      <c r="AH493" s="0" t="n">
        <v>12.51</v>
      </c>
    </row>
    <row r="494" customFormat="false" ht="14.25" hidden="false" customHeight="false" outlineLevel="0" collapsed="false">
      <c r="A494" s="0" t="n">
        <v>11.71</v>
      </c>
      <c r="B494" s="0" t="n">
        <v>2.71</v>
      </c>
      <c r="C494" s="0" t="n">
        <v>5.54</v>
      </c>
      <c r="D494" s="0" t="n">
        <v>9.44</v>
      </c>
      <c r="H494" s="0" t="n">
        <v>2.93</v>
      </c>
      <c r="I494" s="0" t="n">
        <v>668.03</v>
      </c>
      <c r="AB494" s="0" t="n">
        <v>3.62</v>
      </c>
      <c r="AC494" s="0" t="n">
        <v>4.62</v>
      </c>
      <c r="AH494" s="0" t="n">
        <v>12.51</v>
      </c>
    </row>
    <row r="495" customFormat="false" ht="14.25" hidden="false" customHeight="false" outlineLevel="0" collapsed="false">
      <c r="A495" s="0" t="n">
        <v>11.67</v>
      </c>
      <c r="B495" s="0" t="n">
        <v>2.71</v>
      </c>
      <c r="C495" s="0" t="n">
        <v>5.54</v>
      </c>
      <c r="D495" s="0" t="n">
        <v>9.46</v>
      </c>
      <c r="H495" s="0" t="n">
        <v>2.92</v>
      </c>
      <c r="I495" s="0" t="n">
        <v>668.03</v>
      </c>
      <c r="AB495" s="0" t="n">
        <v>3.63</v>
      </c>
      <c r="AC495" s="0" t="n">
        <v>4.6</v>
      </c>
      <c r="AH495" s="0" t="n">
        <v>12.53</v>
      </c>
    </row>
    <row r="496" customFormat="false" ht="14.25" hidden="false" customHeight="false" outlineLevel="0" collapsed="false">
      <c r="A496" s="0" t="n">
        <v>11.61</v>
      </c>
      <c r="B496" s="0" t="n">
        <v>2.7</v>
      </c>
      <c r="C496" s="0" t="n">
        <v>5.54</v>
      </c>
      <c r="D496" s="0" t="n">
        <v>9.45</v>
      </c>
      <c r="H496" s="0" t="n">
        <v>2.91</v>
      </c>
      <c r="I496" s="0" t="n">
        <v>668.03</v>
      </c>
      <c r="AB496" s="0" t="n">
        <v>3.63</v>
      </c>
      <c r="AC496" s="0" t="n">
        <v>4.59</v>
      </c>
      <c r="AH496" s="0" t="n">
        <v>12.53</v>
      </c>
    </row>
    <row r="497" customFormat="false" ht="14.25" hidden="false" customHeight="false" outlineLevel="0" collapsed="false">
      <c r="A497" s="0" t="n">
        <v>11.58</v>
      </c>
      <c r="B497" s="0" t="n">
        <v>2.67</v>
      </c>
      <c r="C497" s="0" t="n">
        <v>5.53</v>
      </c>
      <c r="D497" s="0" t="n">
        <v>9.46</v>
      </c>
      <c r="H497" s="0" t="n">
        <v>2.93</v>
      </c>
      <c r="I497" s="0" t="n">
        <v>668.03</v>
      </c>
      <c r="AB497" s="0" t="n">
        <v>3.63</v>
      </c>
      <c r="AC497" s="0" t="n">
        <v>4.62</v>
      </c>
      <c r="AH497" s="0" t="n">
        <v>12.53</v>
      </c>
    </row>
    <row r="498" customFormat="false" ht="14.25" hidden="false" customHeight="false" outlineLevel="0" collapsed="false">
      <c r="A498" s="0" t="n">
        <v>11.65</v>
      </c>
      <c r="B498" s="0" t="n">
        <v>2.68</v>
      </c>
      <c r="C498" s="0" t="n">
        <v>5.54</v>
      </c>
      <c r="D498" s="0" t="n">
        <v>9.45</v>
      </c>
      <c r="H498" s="0" t="n">
        <v>2.92</v>
      </c>
      <c r="I498" s="0" t="n">
        <v>668.05</v>
      </c>
      <c r="AB498" s="0" t="n">
        <v>3.62</v>
      </c>
      <c r="AC498" s="0" t="n">
        <v>4.63</v>
      </c>
      <c r="AH498" s="0" t="n">
        <v>12.52</v>
      </c>
    </row>
    <row r="499" customFormat="false" ht="14.25" hidden="false" customHeight="false" outlineLevel="0" collapsed="false">
      <c r="A499" s="0" t="n">
        <v>11.68</v>
      </c>
      <c r="B499" s="0" t="n">
        <v>2.74</v>
      </c>
      <c r="C499" s="0" t="n">
        <v>5.54</v>
      </c>
      <c r="D499" s="0" t="n">
        <v>9.43</v>
      </c>
      <c r="H499" s="0" t="n">
        <v>2.97</v>
      </c>
      <c r="I499" s="0" t="n">
        <v>668.07</v>
      </c>
      <c r="AB499" s="0" t="n">
        <v>3.62</v>
      </c>
      <c r="AC499" s="0" t="n">
        <v>4.61</v>
      </c>
      <c r="AH499" s="0" t="n">
        <v>12.54</v>
      </c>
    </row>
    <row r="500" customFormat="false" ht="14.25" hidden="false" customHeight="false" outlineLevel="0" collapsed="false">
      <c r="A500" s="0" t="n">
        <v>11.71</v>
      </c>
      <c r="B500" s="0" t="n">
        <v>2.68</v>
      </c>
      <c r="C500" s="0" t="n">
        <v>5.52</v>
      </c>
      <c r="D500" s="0" t="n">
        <v>9.44</v>
      </c>
      <c r="H500" s="0" t="n">
        <v>2.92</v>
      </c>
      <c r="I500" s="0" t="n">
        <v>668.07</v>
      </c>
      <c r="AB500" s="0" t="n">
        <v>3.63</v>
      </c>
      <c r="AC500" s="0" t="n">
        <v>4.63</v>
      </c>
      <c r="AH500" s="0" t="n">
        <v>12.53</v>
      </c>
    </row>
    <row r="501" customFormat="false" ht="14.25" hidden="false" customHeight="false" outlineLevel="0" collapsed="false">
      <c r="A501" s="0" t="n">
        <v>11.75</v>
      </c>
      <c r="B501" s="0" t="n">
        <v>2.67</v>
      </c>
      <c r="C501" s="0" t="n">
        <v>5.51</v>
      </c>
      <c r="D501" s="0" t="n">
        <v>9.44</v>
      </c>
      <c r="H501" s="0" t="n">
        <v>2.91</v>
      </c>
      <c r="I501" s="0" t="n">
        <v>668.06</v>
      </c>
      <c r="AB501" s="0" t="n">
        <v>3.62</v>
      </c>
      <c r="AC501" s="0" t="n">
        <v>4.61</v>
      </c>
      <c r="AH501" s="0" t="n">
        <v>12.54</v>
      </c>
    </row>
    <row r="502" customFormat="false" ht="14.25" hidden="false" customHeight="false" outlineLevel="0" collapsed="false">
      <c r="A502" s="0" t="n">
        <v>11.81</v>
      </c>
      <c r="B502" s="0" t="n">
        <v>2.68</v>
      </c>
      <c r="C502" s="0" t="n">
        <v>5.5</v>
      </c>
      <c r="D502" s="0" t="n">
        <v>9.45</v>
      </c>
      <c r="H502" s="0" t="n">
        <v>2.91</v>
      </c>
      <c r="I502" s="0" t="n">
        <v>668.05</v>
      </c>
      <c r="AB502" s="0" t="n">
        <v>3.61</v>
      </c>
      <c r="AC502" s="0" t="n">
        <v>4.63</v>
      </c>
      <c r="AH502" s="0" t="n">
        <v>12.55</v>
      </c>
    </row>
    <row r="503" customFormat="false" ht="14.25" hidden="false" customHeight="false" outlineLevel="0" collapsed="false">
      <c r="A503" s="0" t="n">
        <v>11.88</v>
      </c>
      <c r="B503" s="0" t="n">
        <v>2.7</v>
      </c>
      <c r="C503" s="0" t="n">
        <v>5.5</v>
      </c>
      <c r="D503" s="0" t="n">
        <v>9.45</v>
      </c>
      <c r="H503" s="0" t="n">
        <v>2.91</v>
      </c>
      <c r="I503" s="0" t="n">
        <v>668.04</v>
      </c>
      <c r="AB503" s="0" t="n">
        <v>3.61</v>
      </c>
      <c r="AC503" s="0" t="n">
        <v>4.63</v>
      </c>
      <c r="AH503" s="0" t="n">
        <v>12.53</v>
      </c>
    </row>
    <row r="504" customFormat="false" ht="14.25" hidden="false" customHeight="false" outlineLevel="0" collapsed="false">
      <c r="A504" s="0" t="n">
        <v>11.92</v>
      </c>
      <c r="B504" s="0" t="n">
        <v>2.69</v>
      </c>
      <c r="C504" s="0" t="n">
        <v>5.53</v>
      </c>
      <c r="D504" s="0" t="n">
        <v>9.45</v>
      </c>
      <c r="H504" s="0" t="n">
        <v>2.91</v>
      </c>
      <c r="I504" s="0" t="n">
        <v>668.01</v>
      </c>
      <c r="AB504" s="0" t="n">
        <v>3.63</v>
      </c>
      <c r="AC504" s="0" t="n">
        <v>4.62</v>
      </c>
      <c r="AH504" s="0" t="n">
        <v>12.54</v>
      </c>
    </row>
    <row r="505" customFormat="false" ht="14.25" hidden="false" customHeight="false" outlineLevel="0" collapsed="false">
      <c r="A505" s="0" t="n">
        <v>11.96</v>
      </c>
      <c r="B505" s="0" t="n">
        <v>2.69</v>
      </c>
      <c r="C505" s="0" t="n">
        <v>5.51</v>
      </c>
      <c r="D505" s="0" t="n">
        <v>9.45</v>
      </c>
      <c r="H505" s="0" t="n">
        <v>2.91</v>
      </c>
      <c r="I505" s="0" t="n">
        <v>668.01</v>
      </c>
      <c r="AB505" s="0" t="n">
        <v>3.62</v>
      </c>
      <c r="AC505" s="0" t="n">
        <v>4.61</v>
      </c>
      <c r="AH505" s="0" t="n">
        <v>12.55</v>
      </c>
    </row>
    <row r="506" customFormat="false" ht="14.25" hidden="false" customHeight="false" outlineLevel="0" collapsed="false">
      <c r="A506" s="0" t="n">
        <v>11.91</v>
      </c>
      <c r="B506" s="0" t="n">
        <v>2.74</v>
      </c>
      <c r="C506" s="0" t="n">
        <v>5.51</v>
      </c>
      <c r="D506" s="0" t="n">
        <v>9.43</v>
      </c>
      <c r="H506" s="0" t="n">
        <v>2.91</v>
      </c>
      <c r="I506" s="0" t="n">
        <v>668</v>
      </c>
      <c r="AB506" s="0" t="n">
        <v>3.61</v>
      </c>
      <c r="AC506" s="0" t="n">
        <v>4.61</v>
      </c>
      <c r="AH506" s="0" t="n">
        <v>12.55</v>
      </c>
    </row>
    <row r="507" customFormat="false" ht="14.25" hidden="false" customHeight="false" outlineLevel="0" collapsed="false">
      <c r="A507" s="0" t="n">
        <v>11.82</v>
      </c>
      <c r="B507" s="0" t="n">
        <v>2.81</v>
      </c>
      <c r="C507" s="0" t="n">
        <v>5.51</v>
      </c>
      <c r="D507" s="0" t="n">
        <v>9.42</v>
      </c>
      <c r="H507" s="0" t="n">
        <v>2.92</v>
      </c>
      <c r="I507" s="0" t="n">
        <v>668.01</v>
      </c>
      <c r="AB507" s="0" t="n">
        <v>3.63</v>
      </c>
      <c r="AC507" s="0" t="n">
        <v>4.61</v>
      </c>
      <c r="AH507" s="0" t="n">
        <v>12.54</v>
      </c>
    </row>
    <row r="508" customFormat="false" ht="14.25" hidden="false" customHeight="false" outlineLevel="0" collapsed="false">
      <c r="A508" s="0" t="n">
        <v>11.76</v>
      </c>
      <c r="B508" s="0" t="n">
        <v>2.73</v>
      </c>
      <c r="C508" s="0" t="n">
        <v>5.5</v>
      </c>
      <c r="D508" s="0" t="n">
        <v>9.42</v>
      </c>
      <c r="H508" s="0" t="n">
        <v>2.91</v>
      </c>
      <c r="I508" s="0" t="n">
        <v>668.06</v>
      </c>
      <c r="AB508" s="0" t="n">
        <v>3.63</v>
      </c>
      <c r="AC508" s="0" t="n">
        <v>4.61</v>
      </c>
      <c r="AH508" s="0" t="n">
        <v>12.55</v>
      </c>
    </row>
    <row r="509" customFormat="false" ht="14.25" hidden="false" customHeight="false" outlineLevel="0" collapsed="false">
      <c r="A509" s="0" t="n">
        <v>11.72</v>
      </c>
      <c r="B509" s="0" t="n">
        <v>2.73</v>
      </c>
      <c r="C509" s="0" t="n">
        <v>5.51</v>
      </c>
      <c r="D509" s="0" t="n">
        <v>9.4</v>
      </c>
      <c r="H509" s="0" t="n">
        <v>2.92</v>
      </c>
      <c r="I509" s="0" t="n">
        <v>668.08</v>
      </c>
      <c r="AB509" s="0" t="n">
        <v>3.47</v>
      </c>
      <c r="AC509" s="0" t="n">
        <v>4.59</v>
      </c>
      <c r="AH509" s="0" t="n">
        <v>12.56</v>
      </c>
    </row>
    <row r="510" customFormat="false" ht="14.25" hidden="false" customHeight="false" outlineLevel="0" collapsed="false">
      <c r="A510" s="0" t="n">
        <v>11.53</v>
      </c>
      <c r="B510" s="0" t="n">
        <v>2.74</v>
      </c>
      <c r="C510" s="0" t="n">
        <v>5.51</v>
      </c>
      <c r="D510" s="0" t="n">
        <v>9.43</v>
      </c>
      <c r="H510" s="0" t="n">
        <v>2.92</v>
      </c>
      <c r="I510" s="0" t="n">
        <v>668.08</v>
      </c>
      <c r="AB510" s="0" t="n">
        <v>3.62</v>
      </c>
      <c r="AC510" s="0" t="n">
        <v>4.58</v>
      </c>
      <c r="AH510" s="0" t="n">
        <v>12.55</v>
      </c>
    </row>
    <row r="511" customFormat="false" ht="14.25" hidden="false" customHeight="false" outlineLevel="0" collapsed="false">
      <c r="A511" s="0" t="n">
        <v>11.35</v>
      </c>
      <c r="B511" s="0" t="n">
        <v>2.72</v>
      </c>
      <c r="C511" s="0" t="n">
        <v>5.5</v>
      </c>
      <c r="D511" s="0" t="n">
        <v>9.38</v>
      </c>
      <c r="H511" s="0" t="n">
        <v>2.92</v>
      </c>
      <c r="I511" s="0" t="n">
        <v>668.08</v>
      </c>
      <c r="AB511" s="0" t="n">
        <v>3.59</v>
      </c>
      <c r="AC511" s="0" t="n">
        <v>4.59</v>
      </c>
      <c r="AH511" s="0" t="n">
        <v>12.54</v>
      </c>
    </row>
    <row r="512" customFormat="false" ht="14.25" hidden="false" customHeight="false" outlineLevel="0" collapsed="false">
      <c r="A512" s="0" t="n">
        <v>11.44</v>
      </c>
      <c r="B512" s="0" t="n">
        <v>2.72</v>
      </c>
      <c r="C512" s="0" t="n">
        <v>5.5</v>
      </c>
      <c r="D512" s="0" t="n">
        <v>9.39</v>
      </c>
      <c r="H512" s="0" t="n">
        <v>2.92</v>
      </c>
      <c r="I512" s="0" t="n">
        <v>668.08</v>
      </c>
      <c r="AB512" s="0" t="n">
        <v>3.67</v>
      </c>
      <c r="AC512" s="0" t="n">
        <v>4.59</v>
      </c>
      <c r="AH512" s="0" t="n">
        <v>12.55</v>
      </c>
    </row>
    <row r="513" customFormat="false" ht="14.25" hidden="false" customHeight="false" outlineLevel="0" collapsed="false">
      <c r="A513" s="0" t="n">
        <v>11.46</v>
      </c>
      <c r="B513" s="0" t="n">
        <v>2.72</v>
      </c>
      <c r="C513" s="0" t="n">
        <v>5.5</v>
      </c>
      <c r="D513" s="0" t="n">
        <v>9.37</v>
      </c>
      <c r="H513" s="0" t="n">
        <v>2.93</v>
      </c>
      <c r="I513" s="0" t="n">
        <v>668.05</v>
      </c>
      <c r="AB513" s="0" t="n">
        <v>3.62</v>
      </c>
      <c r="AC513" s="0" t="n">
        <v>4.59</v>
      </c>
      <c r="AH513" s="0" t="n">
        <v>12.55</v>
      </c>
    </row>
    <row r="514" customFormat="false" ht="14.25" hidden="false" customHeight="false" outlineLevel="0" collapsed="false">
      <c r="A514" s="0" t="n">
        <v>11.46</v>
      </c>
      <c r="B514" s="0" t="n">
        <v>2.72</v>
      </c>
      <c r="C514" s="0" t="n">
        <v>5.5</v>
      </c>
      <c r="D514" s="0" t="n">
        <v>9.4</v>
      </c>
      <c r="H514" s="0" t="n">
        <v>2.91</v>
      </c>
      <c r="I514" s="0" t="n">
        <v>668.01</v>
      </c>
      <c r="AB514" s="0" t="n">
        <v>3.63</v>
      </c>
      <c r="AC514" s="0" t="n">
        <v>4.58</v>
      </c>
      <c r="AH514" s="0" t="n">
        <v>12.56</v>
      </c>
    </row>
    <row r="515" customFormat="false" ht="14.25" hidden="false" customHeight="false" outlineLevel="0" collapsed="false">
      <c r="A515" s="0" t="n">
        <v>11.47</v>
      </c>
      <c r="B515" s="0" t="n">
        <v>2.73</v>
      </c>
      <c r="C515" s="0" t="n">
        <v>5.51</v>
      </c>
      <c r="D515" s="0" t="n">
        <v>9.38</v>
      </c>
      <c r="H515" s="0" t="n">
        <v>2.93</v>
      </c>
      <c r="I515" s="0" t="n">
        <v>668</v>
      </c>
      <c r="AB515" s="0" t="n">
        <v>3.61</v>
      </c>
      <c r="AC515" s="0" t="n">
        <v>4.57</v>
      </c>
      <c r="AH515" s="0" t="n">
        <v>12.55</v>
      </c>
    </row>
    <row r="516" customFormat="false" ht="14.25" hidden="false" customHeight="false" outlineLevel="0" collapsed="false">
      <c r="A516" s="0" t="n">
        <v>11.48</v>
      </c>
      <c r="B516" s="0" t="n">
        <v>2.72</v>
      </c>
      <c r="C516" s="0" t="n">
        <v>5.51</v>
      </c>
      <c r="D516" s="0" t="n">
        <v>9.37</v>
      </c>
      <c r="H516" s="0" t="n">
        <v>2.93</v>
      </c>
      <c r="I516" s="0" t="n">
        <v>668.01</v>
      </c>
      <c r="AB516" s="0" t="n">
        <v>3.65</v>
      </c>
      <c r="AC516" s="0" t="n">
        <v>4.57</v>
      </c>
      <c r="AH516" s="0" t="n">
        <v>12.57</v>
      </c>
    </row>
    <row r="517" customFormat="false" ht="14.25" hidden="false" customHeight="false" outlineLevel="0" collapsed="false">
      <c r="A517" s="0" t="n">
        <v>11.49</v>
      </c>
      <c r="B517" s="0" t="n">
        <v>2.71</v>
      </c>
      <c r="C517" s="0" t="n">
        <v>5.51</v>
      </c>
      <c r="D517" s="0" t="n">
        <v>9.38</v>
      </c>
      <c r="H517" s="0" t="n">
        <v>2.93</v>
      </c>
      <c r="I517" s="0" t="n">
        <v>668.06</v>
      </c>
      <c r="AB517" s="0" t="n">
        <v>3.6</v>
      </c>
      <c r="AC517" s="0" t="n">
        <v>4.57</v>
      </c>
      <c r="AH517" s="0" t="n">
        <v>12.55</v>
      </c>
    </row>
    <row r="518" customFormat="false" ht="14.25" hidden="false" customHeight="false" outlineLevel="0" collapsed="false">
      <c r="A518" s="0" t="n">
        <v>11.49</v>
      </c>
      <c r="B518" s="0" t="n">
        <v>2.72</v>
      </c>
      <c r="C518" s="0" t="n">
        <v>5.5</v>
      </c>
      <c r="D518" s="0" t="n">
        <v>9.38</v>
      </c>
      <c r="H518" s="0" t="n">
        <v>2.93</v>
      </c>
      <c r="I518" s="0" t="n">
        <v>668.11</v>
      </c>
      <c r="AB518" s="0" t="n">
        <v>3.59</v>
      </c>
      <c r="AC518" s="0" t="n">
        <v>4.56</v>
      </c>
      <c r="AH518" s="0" t="n">
        <v>12.55</v>
      </c>
    </row>
    <row r="519" customFormat="false" ht="14.25" hidden="false" customHeight="false" outlineLevel="0" collapsed="false">
      <c r="A519" s="0" t="n">
        <v>11.5</v>
      </c>
      <c r="B519" s="0" t="n">
        <v>2.71</v>
      </c>
      <c r="C519" s="0" t="n">
        <v>5.5</v>
      </c>
      <c r="D519" s="0" t="n">
        <v>9.38</v>
      </c>
      <c r="H519" s="0" t="n">
        <v>2.93</v>
      </c>
      <c r="I519" s="0" t="n">
        <v>668.16</v>
      </c>
      <c r="AB519" s="0" t="n">
        <v>3.6</v>
      </c>
      <c r="AC519" s="0" t="n">
        <v>4.37</v>
      </c>
      <c r="AH519" s="0" t="n">
        <v>12.55</v>
      </c>
    </row>
    <row r="520" customFormat="false" ht="14.25" hidden="false" customHeight="false" outlineLevel="0" collapsed="false">
      <c r="A520" s="0" t="n">
        <v>11.5</v>
      </c>
      <c r="B520" s="0" t="n">
        <v>2.71</v>
      </c>
      <c r="C520" s="0" t="n">
        <v>5.49</v>
      </c>
      <c r="D520" s="0" t="n">
        <v>9.36</v>
      </c>
      <c r="H520" s="0" t="n">
        <v>2.94</v>
      </c>
      <c r="I520" s="0" t="n">
        <v>668.19</v>
      </c>
      <c r="AB520" s="0" t="n">
        <v>3.6</v>
      </c>
      <c r="AC520" s="0" t="n">
        <v>4.55</v>
      </c>
      <c r="AH520" s="0" t="n">
        <v>12.55</v>
      </c>
    </row>
    <row r="521" customFormat="false" ht="14.25" hidden="false" customHeight="false" outlineLevel="0" collapsed="false">
      <c r="A521" s="0" t="n">
        <v>11.49</v>
      </c>
      <c r="B521" s="0" t="n">
        <v>2.7</v>
      </c>
      <c r="C521" s="0" t="n">
        <v>5.51</v>
      </c>
      <c r="D521" s="0" t="n">
        <v>9.37</v>
      </c>
      <c r="H521" s="0" t="n">
        <v>2.92</v>
      </c>
      <c r="I521" s="0" t="n">
        <v>668.22</v>
      </c>
      <c r="AB521" s="0" t="n">
        <v>3.62</v>
      </c>
      <c r="AC521" s="0" t="n">
        <v>4.55</v>
      </c>
      <c r="AH521" s="0" t="n">
        <v>12.55</v>
      </c>
    </row>
    <row r="522" customFormat="false" ht="14.25" hidden="false" customHeight="false" outlineLevel="0" collapsed="false">
      <c r="A522" s="0" t="n">
        <v>11.49</v>
      </c>
      <c r="B522" s="0" t="n">
        <v>2.71</v>
      </c>
      <c r="C522" s="0" t="n">
        <v>5.51</v>
      </c>
      <c r="D522" s="0" t="n">
        <v>9.36</v>
      </c>
      <c r="H522" s="0" t="n">
        <v>2.91</v>
      </c>
      <c r="I522" s="0" t="n">
        <v>668.19</v>
      </c>
      <c r="AB522" s="0" t="n">
        <v>3.62</v>
      </c>
      <c r="AC522" s="0" t="n">
        <v>4.61</v>
      </c>
      <c r="AH522" s="0" t="n">
        <v>12.55</v>
      </c>
    </row>
    <row r="523" customFormat="false" ht="14.25" hidden="false" customHeight="false" outlineLevel="0" collapsed="false">
      <c r="A523" s="0" t="n">
        <v>11.47</v>
      </c>
      <c r="B523" s="0" t="n">
        <v>2.71</v>
      </c>
      <c r="C523" s="0" t="n">
        <v>5.51</v>
      </c>
      <c r="D523" s="0" t="n">
        <v>9.35</v>
      </c>
      <c r="H523" s="0" t="n">
        <v>2.91</v>
      </c>
      <c r="I523" s="0" t="n">
        <v>668.18</v>
      </c>
      <c r="AB523" s="0" t="n">
        <v>3.61</v>
      </c>
      <c r="AC523" s="0" t="n">
        <v>4.55</v>
      </c>
      <c r="AH523" s="0" t="n">
        <v>12.55</v>
      </c>
    </row>
    <row r="524" customFormat="false" ht="14.25" hidden="false" customHeight="false" outlineLevel="0" collapsed="false">
      <c r="A524" s="0" t="n">
        <v>11.46</v>
      </c>
      <c r="B524" s="0" t="n">
        <v>2.72</v>
      </c>
      <c r="C524" s="0" t="n">
        <v>5.51</v>
      </c>
      <c r="D524" s="0" t="n">
        <v>9.38</v>
      </c>
      <c r="H524" s="0" t="n">
        <v>2.9</v>
      </c>
      <c r="I524" s="0" t="n">
        <v>668.19</v>
      </c>
      <c r="AB524" s="0" t="n">
        <v>3.61</v>
      </c>
      <c r="AC524" s="0" t="n">
        <v>4.53</v>
      </c>
      <c r="AH524" s="0" t="n">
        <v>12.55</v>
      </c>
    </row>
    <row r="525" customFormat="false" ht="14.25" hidden="false" customHeight="false" outlineLevel="0" collapsed="false">
      <c r="A525" s="0" t="n">
        <v>11.44</v>
      </c>
      <c r="B525" s="0" t="n">
        <v>2.72</v>
      </c>
      <c r="C525" s="0" t="n">
        <v>5.5</v>
      </c>
      <c r="D525" s="0" t="n">
        <v>9.36</v>
      </c>
      <c r="H525" s="0" t="n">
        <v>2.91</v>
      </c>
      <c r="I525" s="0" t="n">
        <v>668.11</v>
      </c>
      <c r="AB525" s="0" t="n">
        <v>3.61</v>
      </c>
      <c r="AC525" s="0" t="n">
        <v>4.55</v>
      </c>
      <c r="AH525" s="0" t="n">
        <v>12.54</v>
      </c>
    </row>
    <row r="526" customFormat="false" ht="14.25" hidden="false" customHeight="false" outlineLevel="0" collapsed="false">
      <c r="A526" s="0" t="n">
        <v>11.41</v>
      </c>
      <c r="B526" s="0" t="n">
        <v>2.72</v>
      </c>
      <c r="C526" s="0" t="n">
        <v>5.5</v>
      </c>
      <c r="D526" s="0" t="n">
        <v>9.36</v>
      </c>
      <c r="H526" s="0" t="n">
        <v>2.91</v>
      </c>
      <c r="I526" s="0" t="n">
        <v>667.99</v>
      </c>
      <c r="AB526" s="0" t="n">
        <v>3.59</v>
      </c>
      <c r="AC526" s="0" t="n">
        <v>4.53</v>
      </c>
      <c r="AH526" s="0" t="n">
        <v>12.56</v>
      </c>
    </row>
    <row r="527" customFormat="false" ht="14.25" hidden="false" customHeight="false" outlineLevel="0" collapsed="false">
      <c r="A527" s="0" t="n">
        <v>11.43</v>
      </c>
      <c r="B527" s="0" t="n">
        <v>2.73</v>
      </c>
      <c r="C527" s="0" t="n">
        <v>5.5</v>
      </c>
      <c r="D527" s="0" t="n">
        <v>9.35</v>
      </c>
      <c r="H527" s="0" t="n">
        <v>2.88</v>
      </c>
      <c r="I527" s="0" t="n">
        <v>667.92</v>
      </c>
      <c r="AB527" s="0" t="n">
        <v>3.6</v>
      </c>
      <c r="AC527" s="0" t="n">
        <v>4.53</v>
      </c>
      <c r="AH527" s="0" t="n">
        <v>12.55</v>
      </c>
    </row>
    <row r="528" customFormat="false" ht="14.25" hidden="false" customHeight="false" outlineLevel="0" collapsed="false">
      <c r="A528" s="0" t="n">
        <v>11.42</v>
      </c>
      <c r="B528" s="0" t="n">
        <v>2.72</v>
      </c>
      <c r="C528" s="0" t="n">
        <v>5.51</v>
      </c>
      <c r="D528" s="0" t="n">
        <v>9.37</v>
      </c>
      <c r="H528" s="0" t="n">
        <v>2.89</v>
      </c>
      <c r="I528" s="0" t="n">
        <v>667.97</v>
      </c>
      <c r="AB528" s="0" t="n">
        <v>3.6</v>
      </c>
      <c r="AC528" s="0" t="n">
        <v>4.54</v>
      </c>
      <c r="AH528" s="0" t="n">
        <v>12.55</v>
      </c>
    </row>
    <row r="529" customFormat="false" ht="14.25" hidden="false" customHeight="false" outlineLevel="0" collapsed="false">
      <c r="A529" s="0" t="n">
        <v>11.43</v>
      </c>
      <c r="B529" s="0" t="n">
        <v>2.72</v>
      </c>
      <c r="C529" s="0" t="n">
        <v>5.52</v>
      </c>
      <c r="D529" s="0" t="n">
        <v>9.36</v>
      </c>
      <c r="H529" s="0" t="n">
        <v>2.96</v>
      </c>
      <c r="I529" s="0" t="n">
        <v>667.98</v>
      </c>
      <c r="AB529" s="0" t="n">
        <v>3.6</v>
      </c>
      <c r="AC529" s="0" t="n">
        <v>4.51</v>
      </c>
      <c r="AH529" s="0" t="n">
        <v>12.55</v>
      </c>
    </row>
    <row r="530" customFormat="false" ht="14.25" hidden="false" customHeight="false" outlineLevel="0" collapsed="false">
      <c r="A530" s="0" t="n">
        <v>11.37</v>
      </c>
      <c r="B530" s="0" t="n">
        <v>2.74</v>
      </c>
      <c r="C530" s="0" t="n">
        <v>5.51</v>
      </c>
      <c r="D530" s="0" t="n">
        <v>9.35</v>
      </c>
      <c r="H530" s="0" t="n">
        <v>2.79</v>
      </c>
      <c r="I530" s="0" t="n">
        <v>668.03</v>
      </c>
      <c r="AB530" s="0" t="n">
        <v>3.6</v>
      </c>
      <c r="AC530" s="0" t="n">
        <v>4.53</v>
      </c>
      <c r="AH530" s="0" t="n">
        <v>12.56</v>
      </c>
    </row>
    <row r="531" customFormat="false" ht="14.25" hidden="false" customHeight="false" outlineLevel="0" collapsed="false">
      <c r="A531" s="0" t="n">
        <v>11.45</v>
      </c>
      <c r="B531" s="0" t="n">
        <v>2.75</v>
      </c>
      <c r="C531" s="0" t="n">
        <v>5.5</v>
      </c>
      <c r="D531" s="0" t="n">
        <v>9.36</v>
      </c>
      <c r="H531" s="0" t="n">
        <v>2.92</v>
      </c>
      <c r="I531" s="0" t="n">
        <v>668.05</v>
      </c>
      <c r="AB531" s="0" t="n">
        <v>3.59</v>
      </c>
      <c r="AC531" s="0" t="n">
        <v>4.51</v>
      </c>
      <c r="AH531" s="0" t="n">
        <v>12.56</v>
      </c>
    </row>
    <row r="532" customFormat="false" ht="14.25" hidden="false" customHeight="false" outlineLevel="0" collapsed="false">
      <c r="A532" s="0" t="n">
        <v>11.44</v>
      </c>
      <c r="B532" s="0" t="n">
        <v>2.73</v>
      </c>
      <c r="C532" s="0" t="n">
        <v>5.51</v>
      </c>
      <c r="D532" s="0" t="n">
        <v>9.36</v>
      </c>
      <c r="H532" s="0" t="n">
        <v>2.89</v>
      </c>
      <c r="I532" s="0" t="n">
        <v>668.05</v>
      </c>
      <c r="AB532" s="0" t="n">
        <v>3.6</v>
      </c>
      <c r="AC532" s="0" t="n">
        <v>4.51</v>
      </c>
      <c r="AH532" s="0" t="n">
        <v>12.56</v>
      </c>
    </row>
    <row r="533" customFormat="false" ht="14.25" hidden="false" customHeight="false" outlineLevel="0" collapsed="false">
      <c r="A533" s="0" t="n">
        <v>11.44</v>
      </c>
      <c r="B533" s="0" t="n">
        <v>2.75</v>
      </c>
      <c r="C533" s="0" t="n">
        <v>5.51</v>
      </c>
      <c r="D533" s="0" t="n">
        <v>9.36</v>
      </c>
      <c r="H533" s="0" t="n">
        <v>2.9</v>
      </c>
      <c r="I533" s="0" t="n">
        <v>668.08</v>
      </c>
      <c r="AB533" s="0" t="n">
        <v>3.61</v>
      </c>
      <c r="AC533" s="0" t="n">
        <v>4.53</v>
      </c>
      <c r="AH533" s="0" t="n">
        <v>12.55</v>
      </c>
    </row>
    <row r="534" customFormat="false" ht="14.25" hidden="false" customHeight="false" outlineLevel="0" collapsed="false">
      <c r="A534" s="0" t="n">
        <v>11.45</v>
      </c>
      <c r="B534" s="0" t="n">
        <v>2.78</v>
      </c>
      <c r="C534" s="0" t="n">
        <v>5.5</v>
      </c>
      <c r="D534" s="0" t="n">
        <v>9.36</v>
      </c>
      <c r="H534" s="0" t="n">
        <v>2.9</v>
      </c>
      <c r="I534" s="0" t="n">
        <v>668.06</v>
      </c>
      <c r="AB534" s="0" t="n">
        <v>3.59</v>
      </c>
      <c r="AC534" s="0" t="n">
        <v>4.52</v>
      </c>
      <c r="AH534" s="0" t="n">
        <v>12.57</v>
      </c>
    </row>
    <row r="535" customFormat="false" ht="14.25" hidden="false" customHeight="false" outlineLevel="0" collapsed="false">
      <c r="A535" s="0" t="n">
        <v>11.46</v>
      </c>
      <c r="B535" s="0" t="n">
        <v>2.75</v>
      </c>
      <c r="C535" s="0" t="n">
        <v>5.51</v>
      </c>
      <c r="D535" s="0" t="n">
        <v>9.29</v>
      </c>
      <c r="H535" s="0" t="n">
        <v>2.9</v>
      </c>
      <c r="I535" s="0" t="n">
        <v>668.05</v>
      </c>
      <c r="AB535" s="0" t="n">
        <v>3.58</v>
      </c>
      <c r="AC535" s="0" t="n">
        <v>4.37</v>
      </c>
      <c r="AH535" s="0" t="n">
        <v>12.56</v>
      </c>
    </row>
    <row r="536" customFormat="false" ht="14.25" hidden="false" customHeight="false" outlineLevel="0" collapsed="false">
      <c r="A536" s="0" t="n">
        <v>11.45</v>
      </c>
      <c r="B536" s="0" t="n">
        <v>2.76</v>
      </c>
      <c r="C536" s="0" t="n">
        <v>5.51</v>
      </c>
      <c r="D536" s="0" t="n">
        <v>9.37</v>
      </c>
      <c r="H536" s="0" t="n">
        <v>2.91</v>
      </c>
      <c r="I536" s="0" t="n">
        <v>668.04</v>
      </c>
      <c r="AB536" s="0" t="n">
        <v>3.57</v>
      </c>
      <c r="AC536" s="0" t="n">
        <v>4.4</v>
      </c>
      <c r="AH536" s="0" t="n">
        <v>12.55</v>
      </c>
    </row>
    <row r="537" customFormat="false" ht="14.25" hidden="false" customHeight="false" outlineLevel="0" collapsed="false">
      <c r="A537" s="0" t="n">
        <v>11.46</v>
      </c>
      <c r="B537" s="0" t="n">
        <v>2.74</v>
      </c>
      <c r="C537" s="0" t="n">
        <v>5.52</v>
      </c>
      <c r="D537" s="0" t="n">
        <v>9.37</v>
      </c>
      <c r="H537" s="0" t="n">
        <v>2.92</v>
      </c>
      <c r="I537" s="0" t="n">
        <v>668.01</v>
      </c>
      <c r="AB537" s="0" t="n">
        <v>3.56</v>
      </c>
      <c r="AC537" s="0" t="n">
        <v>4.5</v>
      </c>
      <c r="AH537" s="0" t="n">
        <v>12.57</v>
      </c>
    </row>
    <row r="538" customFormat="false" ht="14.25" hidden="false" customHeight="false" outlineLevel="0" collapsed="false">
      <c r="A538" s="0" t="n">
        <v>11.44</v>
      </c>
      <c r="B538" s="0" t="n">
        <v>2.75</v>
      </c>
      <c r="C538" s="0" t="n">
        <v>5.53</v>
      </c>
      <c r="D538" s="0" t="n">
        <v>9.35</v>
      </c>
      <c r="H538" s="0" t="n">
        <v>2.9</v>
      </c>
      <c r="I538" s="0" t="n">
        <v>668.03</v>
      </c>
      <c r="AB538" s="0" t="n">
        <v>3.47</v>
      </c>
      <c r="AC538" s="0" t="n">
        <v>4.49</v>
      </c>
      <c r="AH538" s="0" t="n">
        <v>12.56</v>
      </c>
    </row>
    <row r="539" customFormat="false" ht="14.25" hidden="false" customHeight="false" outlineLevel="0" collapsed="false">
      <c r="A539" s="0" t="n">
        <v>11.5</v>
      </c>
      <c r="B539" s="0" t="n">
        <v>2.74</v>
      </c>
      <c r="C539" s="0" t="n">
        <v>5.54</v>
      </c>
      <c r="D539" s="0" t="n">
        <v>9.35</v>
      </c>
      <c r="H539" s="0" t="n">
        <v>2.91</v>
      </c>
      <c r="I539" s="0" t="n">
        <v>668.05</v>
      </c>
      <c r="AB539" s="0" t="n">
        <v>3.41</v>
      </c>
      <c r="AC539" s="0" t="n">
        <v>4.49</v>
      </c>
      <c r="AH539" s="0" t="n">
        <v>12.55</v>
      </c>
    </row>
    <row r="540" customFormat="false" ht="14.25" hidden="false" customHeight="false" outlineLevel="0" collapsed="false">
      <c r="A540" s="0" t="n">
        <v>11.48</v>
      </c>
      <c r="B540" s="0" t="n">
        <v>2.74</v>
      </c>
      <c r="C540" s="0" t="n">
        <v>5.55</v>
      </c>
      <c r="D540" s="0" t="n">
        <v>9.37</v>
      </c>
      <c r="H540" s="0" t="n">
        <v>2.89</v>
      </c>
      <c r="I540" s="0" t="n">
        <v>668.06</v>
      </c>
      <c r="AB540" s="0" t="n">
        <v>3.41</v>
      </c>
      <c r="AC540" s="0" t="n">
        <v>4.29</v>
      </c>
      <c r="AH540" s="0" t="n">
        <v>12.56</v>
      </c>
    </row>
    <row r="541" customFormat="false" ht="14.25" hidden="false" customHeight="false" outlineLevel="0" collapsed="false">
      <c r="A541" s="0" t="n">
        <v>11.48</v>
      </c>
      <c r="B541" s="0" t="n">
        <v>2.73</v>
      </c>
      <c r="C541" s="0" t="n">
        <v>5.54</v>
      </c>
      <c r="D541" s="0" t="n">
        <v>9.36</v>
      </c>
      <c r="H541" s="0" t="n">
        <v>2.91</v>
      </c>
      <c r="I541" s="0" t="n">
        <v>668.08</v>
      </c>
      <c r="AB541" s="0" t="n">
        <v>3.43</v>
      </c>
      <c r="AC541" s="0" t="n">
        <v>4.3</v>
      </c>
      <c r="AH541" s="0" t="n">
        <v>12.57</v>
      </c>
    </row>
    <row r="542" customFormat="false" ht="14.25" hidden="false" customHeight="false" outlineLevel="0" collapsed="false">
      <c r="A542" s="0" t="n">
        <v>11.49</v>
      </c>
      <c r="B542" s="0" t="n">
        <v>2.73</v>
      </c>
      <c r="C542" s="0" t="n">
        <v>5.53</v>
      </c>
      <c r="D542" s="0" t="n">
        <v>9.32</v>
      </c>
      <c r="H542" s="0" t="n">
        <v>2.9</v>
      </c>
      <c r="I542" s="0" t="n">
        <v>668.03</v>
      </c>
      <c r="AB542" s="0" t="n">
        <v>3.43</v>
      </c>
      <c r="AC542" s="0" t="n">
        <v>4.28</v>
      </c>
      <c r="AH542" s="0" t="n">
        <v>12.56</v>
      </c>
    </row>
    <row r="543" customFormat="false" ht="14.25" hidden="false" customHeight="false" outlineLevel="0" collapsed="false">
      <c r="A543" s="0" t="n">
        <v>11.5</v>
      </c>
      <c r="B543" s="0" t="n">
        <v>2.73</v>
      </c>
      <c r="C543" s="0" t="n">
        <v>5.53</v>
      </c>
      <c r="D543" s="0" t="n">
        <v>9.37</v>
      </c>
      <c r="H543" s="0" t="n">
        <v>2.91</v>
      </c>
      <c r="I543" s="0" t="n">
        <v>668.03</v>
      </c>
      <c r="AB543" s="0" t="n">
        <v>3.44</v>
      </c>
      <c r="AC543" s="0" t="n">
        <v>4.27</v>
      </c>
      <c r="AH543" s="0" t="n">
        <v>12.56</v>
      </c>
    </row>
    <row r="544" customFormat="false" ht="14.25" hidden="false" customHeight="false" outlineLevel="0" collapsed="false">
      <c r="A544" s="0" t="n">
        <v>11.45</v>
      </c>
      <c r="B544" s="0" t="n">
        <v>2.73</v>
      </c>
      <c r="C544" s="0" t="n">
        <v>5.54</v>
      </c>
      <c r="D544" s="0" t="n">
        <v>9.37</v>
      </c>
      <c r="H544" s="0" t="n">
        <v>2.93</v>
      </c>
      <c r="I544" s="0" t="n">
        <v>668.06</v>
      </c>
      <c r="AB544" s="0" t="n">
        <v>3.44</v>
      </c>
      <c r="AC544" s="0" t="n">
        <v>4.27</v>
      </c>
      <c r="AH544" s="0" t="n">
        <v>12.55</v>
      </c>
    </row>
    <row r="545" customFormat="false" ht="14.25" hidden="false" customHeight="false" outlineLevel="0" collapsed="false">
      <c r="A545" s="0" t="n">
        <v>11.5</v>
      </c>
      <c r="B545" s="0" t="n">
        <v>2.73</v>
      </c>
      <c r="C545" s="0" t="n">
        <v>5.54</v>
      </c>
      <c r="D545" s="0" t="n">
        <v>9.35</v>
      </c>
      <c r="H545" s="0" t="n">
        <v>2.92</v>
      </c>
      <c r="I545" s="0" t="n">
        <v>668.01</v>
      </c>
      <c r="AB545" s="0" t="n">
        <v>3.41</v>
      </c>
      <c r="AC545" s="0" t="n">
        <v>4.27</v>
      </c>
      <c r="AH545" s="0" t="n">
        <v>12.56</v>
      </c>
    </row>
    <row r="546" customFormat="false" ht="14.25" hidden="false" customHeight="false" outlineLevel="0" collapsed="false">
      <c r="A546" s="0" t="n">
        <v>11.51</v>
      </c>
      <c r="B546" s="0" t="n">
        <v>2.73</v>
      </c>
      <c r="C546" s="0" t="n">
        <v>5.54</v>
      </c>
      <c r="D546" s="0" t="n">
        <v>9.36</v>
      </c>
      <c r="H546" s="0" t="n">
        <v>2.93</v>
      </c>
      <c r="I546" s="0" t="n">
        <v>668.05</v>
      </c>
      <c r="AB546" s="0" t="n">
        <v>3.41</v>
      </c>
      <c r="AC546" s="0" t="n">
        <v>4.28</v>
      </c>
      <c r="AH546" s="0" t="n">
        <v>12.56</v>
      </c>
    </row>
    <row r="547" customFormat="false" ht="14.25" hidden="false" customHeight="false" outlineLevel="0" collapsed="false">
      <c r="A547" s="0" t="n">
        <v>11.51</v>
      </c>
      <c r="B547" s="0" t="n">
        <v>2.74</v>
      </c>
      <c r="C547" s="0" t="n">
        <v>5.57</v>
      </c>
      <c r="D547" s="0" t="n">
        <v>9.38</v>
      </c>
      <c r="H547" s="0" t="n">
        <v>2.92</v>
      </c>
      <c r="I547" s="0" t="n">
        <v>668.05</v>
      </c>
      <c r="AB547" s="0" t="n">
        <v>3.42</v>
      </c>
      <c r="AC547" s="0" t="n">
        <v>4.27</v>
      </c>
      <c r="AH547" s="0" t="n">
        <v>12.55</v>
      </c>
    </row>
    <row r="548" customFormat="false" ht="14.25" hidden="false" customHeight="false" outlineLevel="0" collapsed="false">
      <c r="A548" s="0" t="n">
        <v>11.53</v>
      </c>
      <c r="B548" s="0" t="n">
        <v>2.74</v>
      </c>
      <c r="C548" s="0" t="n">
        <v>5.56</v>
      </c>
      <c r="D548" s="0" t="n">
        <v>9.37</v>
      </c>
      <c r="H548" s="0" t="n">
        <v>2.9</v>
      </c>
      <c r="I548" s="0" t="n">
        <v>668.04</v>
      </c>
      <c r="AB548" s="0" t="n">
        <v>3.41</v>
      </c>
      <c r="AC548" s="0" t="n">
        <v>4.29</v>
      </c>
      <c r="AH548" s="0" t="n">
        <v>12.56</v>
      </c>
    </row>
    <row r="549" customFormat="false" ht="14.25" hidden="false" customHeight="false" outlineLevel="0" collapsed="false">
      <c r="A549" s="0" t="n">
        <v>11.49</v>
      </c>
      <c r="B549" s="0" t="n">
        <v>2.74</v>
      </c>
      <c r="C549" s="0" t="n">
        <v>5.56</v>
      </c>
      <c r="D549" s="0" t="n">
        <v>9.37</v>
      </c>
      <c r="H549" s="0" t="n">
        <v>2.92</v>
      </c>
      <c r="I549" s="0" t="n">
        <v>668.04</v>
      </c>
      <c r="AB549" s="0" t="n">
        <v>3.41</v>
      </c>
      <c r="AC549" s="0" t="n">
        <v>4.28</v>
      </c>
      <c r="AH549" s="0" t="n">
        <v>12.56</v>
      </c>
    </row>
    <row r="550" customFormat="false" ht="14.25" hidden="false" customHeight="false" outlineLevel="0" collapsed="false">
      <c r="A550" s="0" t="n">
        <v>11.51</v>
      </c>
      <c r="B550" s="0" t="n">
        <v>2.74</v>
      </c>
      <c r="C550" s="0" t="n">
        <v>5.56</v>
      </c>
      <c r="D550" s="0" t="n">
        <v>9.37</v>
      </c>
      <c r="H550" s="0" t="n">
        <v>2.89</v>
      </c>
      <c r="I550" s="0" t="n">
        <v>668.07</v>
      </c>
      <c r="AB550" s="0" t="n">
        <v>3.41</v>
      </c>
      <c r="AC550" s="0" t="n">
        <v>4.29</v>
      </c>
      <c r="AH550" s="0" t="n">
        <v>12.54</v>
      </c>
    </row>
    <row r="551" customFormat="false" ht="14.25" hidden="false" customHeight="false" outlineLevel="0" collapsed="false">
      <c r="A551" s="0" t="n">
        <v>11.54</v>
      </c>
      <c r="B551" s="0" t="n">
        <v>2.73</v>
      </c>
      <c r="C551" s="0" t="n">
        <v>5.56</v>
      </c>
      <c r="D551" s="0" t="n">
        <v>9.37</v>
      </c>
      <c r="H551" s="0" t="n">
        <v>2.9</v>
      </c>
      <c r="I551" s="0" t="n">
        <v>668.07</v>
      </c>
      <c r="AB551" s="0" t="n">
        <v>3.42</v>
      </c>
      <c r="AC551" s="0" t="n">
        <v>4.29</v>
      </c>
      <c r="AH551" s="0" t="n">
        <v>12.56</v>
      </c>
    </row>
    <row r="552" customFormat="false" ht="14.25" hidden="false" customHeight="false" outlineLevel="0" collapsed="false">
      <c r="A552" s="0" t="n">
        <v>11.56</v>
      </c>
      <c r="B552" s="0" t="n">
        <v>2.73</v>
      </c>
      <c r="C552" s="0" t="n">
        <v>5.56</v>
      </c>
      <c r="D552" s="0" t="n">
        <v>9.38</v>
      </c>
      <c r="H552" s="0" t="n">
        <v>2.89</v>
      </c>
      <c r="I552" s="0" t="n">
        <v>668.06</v>
      </c>
      <c r="AB552" s="0" t="n">
        <v>3.41</v>
      </c>
      <c r="AC552" s="0" t="n">
        <v>4.28</v>
      </c>
      <c r="AH552" s="0" t="n">
        <v>12.55</v>
      </c>
    </row>
    <row r="553" customFormat="false" ht="14.25" hidden="false" customHeight="false" outlineLevel="0" collapsed="false">
      <c r="A553" s="0" t="n">
        <v>11.57</v>
      </c>
      <c r="B553" s="0" t="n">
        <v>2.74</v>
      </c>
      <c r="C553" s="0" t="n">
        <v>5.56</v>
      </c>
      <c r="D553" s="0" t="n">
        <v>9.38</v>
      </c>
      <c r="H553" s="0" t="n">
        <v>2.94</v>
      </c>
      <c r="I553" s="0" t="n">
        <v>668.04</v>
      </c>
      <c r="AB553" s="0" t="n">
        <v>3.42</v>
      </c>
      <c r="AC553" s="0" t="n">
        <v>4.27</v>
      </c>
      <c r="AH553" s="0" t="n">
        <v>12.57</v>
      </c>
    </row>
    <row r="554" customFormat="false" ht="14.25" hidden="false" customHeight="false" outlineLevel="0" collapsed="false">
      <c r="A554" s="0" t="n">
        <v>11.6</v>
      </c>
      <c r="B554" s="0" t="n">
        <v>2.74</v>
      </c>
      <c r="C554" s="0" t="n">
        <v>5.56</v>
      </c>
      <c r="D554" s="0" t="n">
        <v>9.39</v>
      </c>
      <c r="H554" s="0" t="n">
        <v>2.97</v>
      </c>
      <c r="I554" s="0" t="n">
        <v>668.04</v>
      </c>
      <c r="AB554" s="0" t="n">
        <v>3.41</v>
      </c>
      <c r="AC554" s="0" t="n">
        <v>4.28</v>
      </c>
      <c r="AH554" s="0" t="n">
        <v>12.55</v>
      </c>
    </row>
    <row r="555" customFormat="false" ht="14.25" hidden="false" customHeight="false" outlineLevel="0" collapsed="false">
      <c r="A555" s="0" t="n">
        <v>11.59</v>
      </c>
      <c r="B555" s="0" t="n">
        <v>2.75</v>
      </c>
      <c r="C555" s="0" t="n">
        <v>5.57</v>
      </c>
      <c r="D555" s="0" t="n">
        <v>9.38</v>
      </c>
      <c r="H555" s="0" t="n">
        <v>2.91</v>
      </c>
      <c r="I555" s="0" t="n">
        <v>668.06</v>
      </c>
      <c r="AB555" s="0" t="n">
        <v>3.41</v>
      </c>
      <c r="AC555" s="0" t="n">
        <v>4.29</v>
      </c>
      <c r="AH555" s="0" t="n">
        <v>12.56</v>
      </c>
    </row>
    <row r="556" customFormat="false" ht="14.25" hidden="false" customHeight="false" outlineLevel="0" collapsed="false">
      <c r="A556" s="0" t="n">
        <v>11.6</v>
      </c>
      <c r="B556" s="0" t="n">
        <v>2.74</v>
      </c>
      <c r="C556" s="0" t="n">
        <v>5.57</v>
      </c>
      <c r="D556" s="0" t="n">
        <v>9.36</v>
      </c>
      <c r="H556" s="0" t="n">
        <v>2.89</v>
      </c>
      <c r="I556" s="0" t="n">
        <v>668.06</v>
      </c>
      <c r="AB556" s="0" t="n">
        <v>3.41</v>
      </c>
      <c r="AC556" s="0" t="n">
        <v>4.27</v>
      </c>
      <c r="AH556" s="0" t="n">
        <v>12.56</v>
      </c>
    </row>
    <row r="557" customFormat="false" ht="14.25" hidden="false" customHeight="false" outlineLevel="0" collapsed="false">
      <c r="A557" s="0" t="n">
        <v>11.6</v>
      </c>
      <c r="B557" s="0" t="n">
        <v>2.74</v>
      </c>
      <c r="C557" s="0" t="n">
        <v>5.57</v>
      </c>
      <c r="D557" s="0" t="n">
        <v>9.36</v>
      </c>
      <c r="H557" s="0" t="n">
        <v>2.9</v>
      </c>
      <c r="I557" s="0" t="n">
        <v>668.08</v>
      </c>
      <c r="AB557" s="0" t="n">
        <v>3.42</v>
      </c>
      <c r="AC557" s="0" t="n">
        <v>4.27</v>
      </c>
      <c r="AH557" s="0" t="n">
        <v>12.54</v>
      </c>
    </row>
    <row r="558" customFormat="false" ht="14.25" hidden="false" customHeight="false" outlineLevel="0" collapsed="false">
      <c r="A558" s="0" t="n">
        <v>11.6</v>
      </c>
      <c r="B558" s="0" t="n">
        <v>2.74</v>
      </c>
      <c r="C558" s="0" t="n">
        <v>5.57</v>
      </c>
      <c r="D558" s="0" t="n">
        <v>9.37</v>
      </c>
      <c r="H558" s="0" t="n">
        <v>2.91</v>
      </c>
      <c r="I558" s="0" t="n">
        <v>668.06</v>
      </c>
      <c r="AB558" s="0" t="n">
        <v>3.43</v>
      </c>
      <c r="AC558" s="0" t="n">
        <v>4.28</v>
      </c>
      <c r="AH558" s="0" t="n">
        <v>12.56</v>
      </c>
    </row>
    <row r="559" customFormat="false" ht="14.25" hidden="false" customHeight="false" outlineLevel="0" collapsed="false">
      <c r="A559" s="0" t="n">
        <v>11.59</v>
      </c>
      <c r="B559" s="0" t="n">
        <v>2.75</v>
      </c>
      <c r="C559" s="0" t="n">
        <v>5.56</v>
      </c>
      <c r="D559" s="0" t="n">
        <v>9.37</v>
      </c>
      <c r="H559" s="0" t="n">
        <v>2.88</v>
      </c>
      <c r="I559" s="0" t="n">
        <v>668.06</v>
      </c>
      <c r="AB559" s="0" t="n">
        <v>3.42</v>
      </c>
      <c r="AC559" s="0" t="n">
        <v>4.28</v>
      </c>
      <c r="AH559" s="0" t="n">
        <v>12.54</v>
      </c>
    </row>
    <row r="560" customFormat="false" ht="14.25" hidden="false" customHeight="false" outlineLevel="0" collapsed="false">
      <c r="A560" s="0" t="n">
        <v>11.58</v>
      </c>
      <c r="B560" s="0" t="n">
        <v>2.74</v>
      </c>
      <c r="C560" s="0" t="n">
        <v>5.55</v>
      </c>
      <c r="D560" s="0" t="n">
        <v>9.38</v>
      </c>
      <c r="H560" s="0" t="n">
        <v>2.89</v>
      </c>
      <c r="I560" s="0" t="n">
        <v>668.08</v>
      </c>
      <c r="AB560" s="0" t="n">
        <v>3.43</v>
      </c>
      <c r="AC560" s="0" t="n">
        <v>4.29</v>
      </c>
      <c r="AH560" s="0" t="n">
        <v>12.54</v>
      </c>
    </row>
    <row r="561" customFormat="false" ht="14.25" hidden="false" customHeight="false" outlineLevel="0" collapsed="false">
      <c r="A561" s="0" t="n">
        <v>11.57</v>
      </c>
      <c r="B561" s="0" t="n">
        <v>2.74</v>
      </c>
      <c r="C561" s="0" t="n">
        <v>5.56</v>
      </c>
      <c r="D561" s="0" t="n">
        <v>9.35</v>
      </c>
      <c r="H561" s="0" t="n">
        <v>2.92</v>
      </c>
      <c r="I561" s="0" t="n">
        <v>668.08</v>
      </c>
      <c r="AB561" s="0" t="n">
        <v>3.44</v>
      </c>
      <c r="AC561" s="0" t="n">
        <v>4.29</v>
      </c>
      <c r="AH561" s="0" t="n">
        <v>12.55</v>
      </c>
    </row>
    <row r="562" customFormat="false" ht="14.25" hidden="false" customHeight="false" outlineLevel="0" collapsed="false">
      <c r="A562" s="0" t="n">
        <v>11.57</v>
      </c>
      <c r="B562" s="0" t="n">
        <v>2.75</v>
      </c>
      <c r="C562" s="0" t="n">
        <v>5.55</v>
      </c>
      <c r="D562" s="0" t="n">
        <v>9.38</v>
      </c>
      <c r="H562" s="0" t="n">
        <v>2.9</v>
      </c>
      <c r="I562" s="0" t="n">
        <v>668.07</v>
      </c>
      <c r="AB562" s="0" t="n">
        <v>3.5</v>
      </c>
      <c r="AC562" s="0" t="n">
        <v>4.3</v>
      </c>
      <c r="AH562" s="0" t="n">
        <v>12.54</v>
      </c>
    </row>
    <row r="563" customFormat="false" ht="14.25" hidden="false" customHeight="false" outlineLevel="0" collapsed="false">
      <c r="A563" s="0" t="n">
        <v>11.56</v>
      </c>
      <c r="B563" s="0" t="n">
        <v>2.74</v>
      </c>
      <c r="C563" s="0" t="n">
        <v>5.56</v>
      </c>
      <c r="D563" s="0" t="n">
        <v>9.39</v>
      </c>
      <c r="H563" s="0" t="n">
        <v>2.9</v>
      </c>
      <c r="I563" s="0" t="n">
        <v>668.06</v>
      </c>
      <c r="AB563" s="0" t="n">
        <v>3.41</v>
      </c>
      <c r="AC563" s="0" t="n">
        <v>4.31</v>
      </c>
      <c r="AH563" s="0" t="n">
        <v>12.54</v>
      </c>
    </row>
    <row r="564" customFormat="false" ht="14.25" hidden="false" customHeight="false" outlineLevel="0" collapsed="false">
      <c r="A564" s="0" t="n">
        <v>11.58</v>
      </c>
      <c r="B564" s="0" t="n">
        <v>2.74</v>
      </c>
      <c r="C564" s="0" t="n">
        <v>5.55</v>
      </c>
      <c r="D564" s="0" t="n">
        <v>9.37</v>
      </c>
      <c r="H564" s="0" t="n">
        <v>2.9</v>
      </c>
      <c r="I564" s="0" t="n">
        <v>668.07</v>
      </c>
      <c r="AB564" s="0" t="n">
        <v>3.42</v>
      </c>
      <c r="AC564" s="0" t="n">
        <v>4.29</v>
      </c>
      <c r="AH564" s="0" t="n">
        <v>12.55</v>
      </c>
    </row>
    <row r="565" customFormat="false" ht="14.25" hidden="false" customHeight="false" outlineLevel="0" collapsed="false">
      <c r="A565" s="0" t="n">
        <v>11.59</v>
      </c>
      <c r="B565" s="0" t="n">
        <v>2.75</v>
      </c>
      <c r="C565" s="0" t="n">
        <v>5.54</v>
      </c>
      <c r="D565" s="0" t="n">
        <v>9.37</v>
      </c>
      <c r="H565" s="0" t="n">
        <v>2.91</v>
      </c>
      <c r="I565" s="0" t="n">
        <v>668.04</v>
      </c>
      <c r="AB565" s="0" t="n">
        <v>3.43</v>
      </c>
      <c r="AC565" s="0" t="n">
        <v>4.29</v>
      </c>
      <c r="AH565" s="0" t="n">
        <v>12.54</v>
      </c>
    </row>
    <row r="566" customFormat="false" ht="14.25" hidden="false" customHeight="false" outlineLevel="0" collapsed="false">
      <c r="A566" s="0" t="n">
        <v>11.61</v>
      </c>
      <c r="B566" s="0" t="n">
        <v>2.74</v>
      </c>
      <c r="C566" s="0" t="n">
        <v>5.55</v>
      </c>
      <c r="D566" s="0" t="n">
        <v>9.36</v>
      </c>
      <c r="H566" s="0" t="n">
        <v>2.9</v>
      </c>
      <c r="I566" s="0" t="n">
        <v>668.04</v>
      </c>
      <c r="AB566" s="0" t="n">
        <v>3.42</v>
      </c>
      <c r="AC566" s="0" t="n">
        <v>4.31</v>
      </c>
      <c r="AH566" s="0" t="n">
        <v>12.55</v>
      </c>
    </row>
    <row r="567" customFormat="false" ht="14.25" hidden="false" customHeight="false" outlineLevel="0" collapsed="false">
      <c r="A567" s="0" t="n">
        <v>11.62</v>
      </c>
      <c r="B567" s="0" t="n">
        <v>2.73</v>
      </c>
      <c r="C567" s="0" t="n">
        <v>5.56</v>
      </c>
      <c r="D567" s="0" t="n">
        <v>9.38</v>
      </c>
      <c r="H567" s="0" t="n">
        <v>2.9</v>
      </c>
      <c r="I567" s="0" t="n">
        <v>668.06</v>
      </c>
      <c r="AB567" s="0" t="n">
        <v>3.39</v>
      </c>
      <c r="AC567" s="0" t="n">
        <v>4.32</v>
      </c>
      <c r="AH567" s="0" t="n">
        <v>12.55</v>
      </c>
    </row>
    <row r="568" customFormat="false" ht="14.25" hidden="false" customHeight="false" outlineLevel="0" collapsed="false">
      <c r="A568" s="0" t="n">
        <v>11.65</v>
      </c>
      <c r="B568" s="0" t="n">
        <v>2.74</v>
      </c>
      <c r="C568" s="0" t="n">
        <v>5.56</v>
      </c>
      <c r="D568" s="0" t="n">
        <v>9.36</v>
      </c>
      <c r="H568" s="0" t="n">
        <v>2.89</v>
      </c>
      <c r="I568" s="0" t="n">
        <v>668.08</v>
      </c>
      <c r="AB568" s="0" t="n">
        <v>3.42</v>
      </c>
      <c r="AC568" s="0" t="n">
        <v>4.29</v>
      </c>
      <c r="AH568" s="0" t="n">
        <v>12.54</v>
      </c>
    </row>
    <row r="569" customFormat="false" ht="14.25" hidden="false" customHeight="false" outlineLevel="0" collapsed="false">
      <c r="A569" s="0" t="n">
        <v>11.68</v>
      </c>
      <c r="B569" s="0" t="n">
        <v>2.73</v>
      </c>
      <c r="C569" s="0" t="n">
        <v>5.57</v>
      </c>
      <c r="D569" s="0" t="n">
        <v>9.39</v>
      </c>
      <c r="H569" s="0" t="n">
        <v>2.91</v>
      </c>
      <c r="I569" s="0" t="n">
        <v>668.07</v>
      </c>
      <c r="AB569" s="0" t="n">
        <v>3.45</v>
      </c>
      <c r="AC569" s="0" t="n">
        <v>4.31</v>
      </c>
      <c r="AH569" s="0" t="n">
        <v>12.53</v>
      </c>
    </row>
    <row r="570" customFormat="false" ht="14.25" hidden="false" customHeight="false" outlineLevel="0" collapsed="false">
      <c r="A570" s="0" t="n">
        <v>11.73</v>
      </c>
      <c r="B570" s="0" t="n">
        <v>2.73</v>
      </c>
      <c r="C570" s="0" t="n">
        <v>5.57</v>
      </c>
      <c r="D570" s="0" t="n">
        <v>9.4</v>
      </c>
      <c r="H570" s="0" t="n">
        <v>2.88</v>
      </c>
      <c r="I570" s="0" t="n">
        <v>668.07</v>
      </c>
      <c r="AB570" s="0" t="n">
        <v>3.44</v>
      </c>
      <c r="AC570" s="0" t="n">
        <v>4.31</v>
      </c>
      <c r="AH570" s="0" t="n">
        <v>12.56</v>
      </c>
    </row>
    <row r="571" customFormat="false" ht="14.25" hidden="false" customHeight="false" outlineLevel="0" collapsed="false">
      <c r="A571" s="0" t="n">
        <v>11.77</v>
      </c>
      <c r="B571" s="0" t="n">
        <v>2.74</v>
      </c>
      <c r="C571" s="0" t="n">
        <v>5.56</v>
      </c>
      <c r="D571" s="0" t="n">
        <v>9.43</v>
      </c>
      <c r="H571" s="0" t="n">
        <v>2.93</v>
      </c>
      <c r="I571" s="0" t="n">
        <v>668.08</v>
      </c>
      <c r="AB571" s="0" t="n">
        <v>3.43</v>
      </c>
      <c r="AC571" s="0" t="n">
        <v>4.3</v>
      </c>
      <c r="AH571" s="0" t="n">
        <v>12.53</v>
      </c>
    </row>
    <row r="572" customFormat="false" ht="14.25" hidden="false" customHeight="false" outlineLevel="0" collapsed="false">
      <c r="A572" s="0" t="n">
        <v>11.8</v>
      </c>
      <c r="B572" s="0" t="n">
        <v>2.73</v>
      </c>
      <c r="C572" s="0" t="n">
        <v>5.56</v>
      </c>
      <c r="D572" s="0" t="n">
        <v>9.42</v>
      </c>
      <c r="H572" s="0" t="n">
        <v>2.89</v>
      </c>
      <c r="I572" s="0" t="n">
        <v>668.08</v>
      </c>
      <c r="AB572" s="0" t="n">
        <v>3.42</v>
      </c>
      <c r="AC572" s="0" t="n">
        <v>4.31</v>
      </c>
      <c r="AH572" s="0" t="n">
        <v>12.54</v>
      </c>
    </row>
    <row r="573" customFormat="false" ht="14.25" hidden="false" customHeight="false" outlineLevel="0" collapsed="false">
      <c r="A573" s="0" t="n">
        <v>11.81</v>
      </c>
      <c r="B573" s="0" t="n">
        <v>2.73</v>
      </c>
      <c r="C573" s="0" t="n">
        <v>5.56</v>
      </c>
      <c r="D573" s="0" t="n">
        <v>9.4</v>
      </c>
      <c r="H573" s="0" t="n">
        <v>2.89</v>
      </c>
      <c r="I573" s="0" t="n">
        <v>668.1</v>
      </c>
      <c r="AB573" s="0" t="n">
        <v>3.42</v>
      </c>
      <c r="AC573" s="0" t="n">
        <v>4.31</v>
      </c>
      <c r="AH573" s="0" t="n">
        <v>12.54</v>
      </c>
    </row>
    <row r="574" customFormat="false" ht="14.25" hidden="false" customHeight="false" outlineLevel="0" collapsed="false">
      <c r="A574" s="0" t="n">
        <v>11.8</v>
      </c>
      <c r="B574" s="0" t="n">
        <v>2.7</v>
      </c>
      <c r="C574" s="0" t="n">
        <v>5.57</v>
      </c>
      <c r="D574" s="0" t="n">
        <v>9.44</v>
      </c>
      <c r="H574" s="0" t="n">
        <v>2.9</v>
      </c>
      <c r="I574" s="0" t="n">
        <v>668.08</v>
      </c>
      <c r="AB574" s="0" t="n">
        <v>3.41</v>
      </c>
      <c r="AC574" s="0" t="n">
        <v>4.31</v>
      </c>
      <c r="AH574" s="0" t="n">
        <v>12.55</v>
      </c>
    </row>
    <row r="575" customFormat="false" ht="14.25" hidden="false" customHeight="false" outlineLevel="0" collapsed="false">
      <c r="A575" s="0" t="n">
        <v>11.81</v>
      </c>
      <c r="B575" s="0" t="n">
        <v>2.75</v>
      </c>
      <c r="C575" s="0" t="n">
        <v>5.56</v>
      </c>
      <c r="D575" s="0" t="n">
        <v>9.43</v>
      </c>
      <c r="H575" s="0" t="n">
        <v>2.9</v>
      </c>
      <c r="I575" s="0" t="n">
        <v>668.08</v>
      </c>
      <c r="AB575" s="0" t="n">
        <v>3.43</v>
      </c>
      <c r="AC575" s="0" t="n">
        <v>4.31</v>
      </c>
      <c r="AH575" s="0" t="n">
        <v>12.55</v>
      </c>
    </row>
    <row r="576" customFormat="false" ht="14.25" hidden="false" customHeight="false" outlineLevel="0" collapsed="false">
      <c r="A576" s="0" t="n">
        <v>11.82</v>
      </c>
      <c r="B576" s="0" t="n">
        <v>2.71</v>
      </c>
      <c r="C576" s="0" t="n">
        <v>5.56</v>
      </c>
      <c r="D576" s="0" t="n">
        <v>9.43</v>
      </c>
      <c r="H576" s="0" t="n">
        <v>2.9</v>
      </c>
      <c r="I576" s="0" t="n">
        <v>668.08</v>
      </c>
      <c r="AB576" s="0" t="n">
        <v>3.42</v>
      </c>
      <c r="AC576" s="0" t="n">
        <v>4.31</v>
      </c>
      <c r="AH576" s="0" t="n">
        <v>12.54</v>
      </c>
    </row>
    <row r="577" customFormat="false" ht="14.25" hidden="false" customHeight="false" outlineLevel="0" collapsed="false">
      <c r="A577" s="0" t="n">
        <v>11.78</v>
      </c>
      <c r="B577" s="0" t="n">
        <v>2.74</v>
      </c>
      <c r="C577" s="0" t="n">
        <v>5.56</v>
      </c>
      <c r="D577" s="0" t="n">
        <v>9.44</v>
      </c>
      <c r="H577" s="0" t="n">
        <v>2.89</v>
      </c>
      <c r="I577" s="0" t="n">
        <v>668.06</v>
      </c>
      <c r="AB577" s="0" t="n">
        <v>3.43</v>
      </c>
      <c r="AC577" s="0" t="n">
        <v>4.31</v>
      </c>
      <c r="AH577" s="0" t="n">
        <v>12.54</v>
      </c>
    </row>
    <row r="578" customFormat="false" ht="14.25" hidden="false" customHeight="false" outlineLevel="0" collapsed="false">
      <c r="A578" s="0" t="n">
        <v>11.74</v>
      </c>
      <c r="B578" s="0" t="n">
        <v>2.73</v>
      </c>
      <c r="C578" s="0" t="n">
        <v>5.56</v>
      </c>
      <c r="D578" s="0" t="n">
        <v>9.43</v>
      </c>
      <c r="H578" s="0" t="n">
        <v>2.9</v>
      </c>
      <c r="I578" s="0" t="n">
        <v>668.05</v>
      </c>
      <c r="AB578" s="0" t="n">
        <v>3.43</v>
      </c>
      <c r="AC578" s="0" t="n">
        <v>4.32</v>
      </c>
      <c r="AH578" s="0" t="n">
        <v>12.54</v>
      </c>
    </row>
    <row r="579" customFormat="false" ht="14.25" hidden="false" customHeight="false" outlineLevel="0" collapsed="false">
      <c r="A579" s="0" t="n">
        <v>11.64</v>
      </c>
      <c r="B579" s="0" t="n">
        <v>2.73</v>
      </c>
      <c r="C579" s="0" t="n">
        <v>5.56</v>
      </c>
      <c r="D579" s="0" t="n">
        <v>9.42</v>
      </c>
      <c r="H579" s="0" t="n">
        <v>2.9</v>
      </c>
      <c r="I579" s="0" t="n">
        <v>668.05</v>
      </c>
      <c r="AB579" s="0" t="n">
        <v>3.43</v>
      </c>
      <c r="AC579" s="0" t="n">
        <v>4.31</v>
      </c>
      <c r="AH579" s="0" t="n">
        <v>12.54</v>
      </c>
    </row>
    <row r="580" customFormat="false" ht="14.25" hidden="false" customHeight="false" outlineLevel="0" collapsed="false">
      <c r="A580" s="0" t="n">
        <v>11.63</v>
      </c>
      <c r="B580" s="0" t="n">
        <v>2.74</v>
      </c>
      <c r="C580" s="0" t="n">
        <v>5.56</v>
      </c>
      <c r="D580" s="0" t="n">
        <v>9.43</v>
      </c>
      <c r="H580" s="0" t="n">
        <v>2.9</v>
      </c>
      <c r="I580" s="0" t="n">
        <v>668.06</v>
      </c>
      <c r="AB580" s="0" t="n">
        <v>3.43</v>
      </c>
      <c r="AC580" s="0" t="n">
        <v>4.31</v>
      </c>
      <c r="AH580" s="0" t="n">
        <v>12.53</v>
      </c>
    </row>
    <row r="581" customFormat="false" ht="14.25" hidden="false" customHeight="false" outlineLevel="0" collapsed="false">
      <c r="A581" s="0" t="n">
        <v>11.63</v>
      </c>
      <c r="B581" s="0" t="n">
        <v>2.74</v>
      </c>
      <c r="C581" s="0" t="n">
        <v>5.56</v>
      </c>
      <c r="D581" s="0" t="n">
        <v>9.42</v>
      </c>
      <c r="H581" s="0" t="n">
        <v>2.9</v>
      </c>
      <c r="I581" s="0" t="n">
        <v>668.07</v>
      </c>
      <c r="AB581" s="0" t="n">
        <v>3.42</v>
      </c>
      <c r="AC581" s="0" t="n">
        <v>4.32</v>
      </c>
      <c r="AH581" s="0" t="n">
        <v>12.56</v>
      </c>
    </row>
    <row r="582" customFormat="false" ht="14.25" hidden="false" customHeight="false" outlineLevel="0" collapsed="false">
      <c r="A582" s="0" t="n">
        <v>11.62</v>
      </c>
      <c r="B582" s="0" t="n">
        <v>2.75</v>
      </c>
      <c r="C582" s="0" t="n">
        <v>5.57</v>
      </c>
      <c r="D582" s="0" t="n">
        <v>9.41</v>
      </c>
      <c r="H582" s="0" t="n">
        <v>2.9</v>
      </c>
      <c r="I582" s="0" t="n">
        <v>668.07</v>
      </c>
      <c r="AB582" s="0" t="n">
        <v>3.43</v>
      </c>
      <c r="AC582" s="0" t="n">
        <v>4.31</v>
      </c>
      <c r="AH582" s="0" t="n">
        <v>12.55</v>
      </c>
    </row>
    <row r="583" customFormat="false" ht="14.25" hidden="false" customHeight="false" outlineLevel="0" collapsed="false">
      <c r="A583" s="0" t="n">
        <v>11.61</v>
      </c>
      <c r="B583" s="0" t="n">
        <v>2.74</v>
      </c>
      <c r="C583" s="0" t="n">
        <v>5.56</v>
      </c>
      <c r="D583" s="0" t="n">
        <v>9.42</v>
      </c>
      <c r="H583" s="0" t="n">
        <v>2.9</v>
      </c>
      <c r="I583" s="0" t="n">
        <v>668.07</v>
      </c>
      <c r="AB583" s="0" t="n">
        <v>3.42</v>
      </c>
      <c r="AC583" s="0" t="n">
        <v>4.33</v>
      </c>
      <c r="AH583" s="0" t="n">
        <v>12.55</v>
      </c>
    </row>
    <row r="584" customFormat="false" ht="14.25" hidden="false" customHeight="false" outlineLevel="0" collapsed="false">
      <c r="A584" s="0" t="n">
        <v>11.62</v>
      </c>
      <c r="B584" s="0" t="n">
        <v>2.74</v>
      </c>
      <c r="C584" s="0" t="n">
        <v>5.57</v>
      </c>
      <c r="D584" s="0" t="n">
        <v>9.42</v>
      </c>
      <c r="H584" s="0" t="n">
        <v>2.9</v>
      </c>
      <c r="I584" s="0" t="n">
        <v>668.08</v>
      </c>
      <c r="AB584" s="0" t="n">
        <v>3.45</v>
      </c>
      <c r="AC584" s="0" t="n">
        <v>4.31</v>
      </c>
      <c r="AH584" s="0" t="n">
        <v>12.55</v>
      </c>
    </row>
    <row r="585" customFormat="false" ht="14.25" hidden="false" customHeight="false" outlineLevel="0" collapsed="false">
      <c r="A585" s="0" t="n">
        <v>11.63</v>
      </c>
      <c r="B585" s="0" t="n">
        <v>2.74</v>
      </c>
      <c r="C585" s="0" t="n">
        <v>5.57</v>
      </c>
      <c r="D585" s="0" t="n">
        <v>9.41</v>
      </c>
      <c r="H585" s="0" t="n">
        <v>2.91</v>
      </c>
      <c r="I585" s="0" t="n">
        <v>668.08</v>
      </c>
      <c r="AB585" s="0" t="n">
        <v>3.45</v>
      </c>
      <c r="AC585" s="0" t="n">
        <v>4.33</v>
      </c>
      <c r="AH585" s="0" t="n">
        <v>12.55</v>
      </c>
    </row>
    <row r="586" customFormat="false" ht="14.25" hidden="false" customHeight="false" outlineLevel="0" collapsed="false">
      <c r="A586" s="0" t="n">
        <v>11.64</v>
      </c>
      <c r="B586" s="0" t="n">
        <v>2.74</v>
      </c>
      <c r="C586" s="0" t="n">
        <v>5.57</v>
      </c>
      <c r="D586" s="0" t="n">
        <v>9.41</v>
      </c>
      <c r="H586" s="0" t="n">
        <v>2.9</v>
      </c>
      <c r="I586" s="0" t="n">
        <v>668.05</v>
      </c>
      <c r="AB586" s="0" t="n">
        <v>3.44</v>
      </c>
      <c r="AC586" s="0" t="n">
        <v>4.32</v>
      </c>
      <c r="AH586" s="0" t="n">
        <v>12.55</v>
      </c>
    </row>
    <row r="587" customFormat="false" ht="14.25" hidden="false" customHeight="false" outlineLevel="0" collapsed="false">
      <c r="A587" s="0" t="n">
        <v>11.66</v>
      </c>
      <c r="B587" s="0" t="n">
        <v>2.77</v>
      </c>
      <c r="C587" s="0" t="n">
        <v>5.56</v>
      </c>
      <c r="D587" s="0" t="n">
        <v>9.4</v>
      </c>
      <c r="H587" s="0" t="n">
        <v>2.91</v>
      </c>
      <c r="I587" s="0" t="n">
        <v>668.04</v>
      </c>
      <c r="AB587" s="0" t="n">
        <v>3.44</v>
      </c>
      <c r="AC587" s="0" t="n">
        <v>4.32</v>
      </c>
      <c r="AH587" s="0" t="n">
        <v>12.56</v>
      </c>
    </row>
    <row r="588" customFormat="false" ht="14.25" hidden="false" customHeight="false" outlineLevel="0" collapsed="false">
      <c r="A588" s="0" t="n">
        <v>11.65</v>
      </c>
      <c r="B588" s="0" t="n">
        <v>2.75</v>
      </c>
      <c r="C588" s="0" t="n">
        <v>5.56</v>
      </c>
      <c r="D588" s="0" t="n">
        <v>9.41</v>
      </c>
      <c r="H588" s="0" t="n">
        <v>2.91</v>
      </c>
      <c r="I588" s="0" t="n">
        <v>668.07</v>
      </c>
      <c r="AB588" s="0" t="n">
        <v>3.43</v>
      </c>
      <c r="AC588" s="0" t="n">
        <v>4.33</v>
      </c>
      <c r="AH588" s="0" t="n">
        <v>12.55</v>
      </c>
    </row>
    <row r="589" customFormat="false" ht="14.25" hidden="false" customHeight="false" outlineLevel="0" collapsed="false">
      <c r="A589" s="0" t="n">
        <v>11.64</v>
      </c>
      <c r="B589" s="0" t="n">
        <v>2.75</v>
      </c>
      <c r="C589" s="0" t="n">
        <v>5.55</v>
      </c>
      <c r="D589" s="0" t="n">
        <v>9.43</v>
      </c>
      <c r="H589" s="0" t="n">
        <v>2.92</v>
      </c>
      <c r="I589" s="0" t="n">
        <v>668.08</v>
      </c>
      <c r="AB589" s="0" t="n">
        <v>3.44</v>
      </c>
      <c r="AC589" s="0" t="n">
        <v>4.31</v>
      </c>
      <c r="AH589" s="0" t="n">
        <v>12.57</v>
      </c>
    </row>
    <row r="590" customFormat="false" ht="14.25" hidden="false" customHeight="false" outlineLevel="0" collapsed="false">
      <c r="A590" s="0" t="n">
        <v>11.67</v>
      </c>
      <c r="B590" s="0" t="n">
        <v>2.74</v>
      </c>
      <c r="C590" s="0" t="n">
        <v>5.55</v>
      </c>
      <c r="D590" s="0" t="n">
        <v>9.42</v>
      </c>
      <c r="H590" s="0" t="n">
        <v>2.9</v>
      </c>
      <c r="I590" s="0" t="n">
        <v>668.08</v>
      </c>
      <c r="AB590" s="0" t="n">
        <v>3.42</v>
      </c>
      <c r="AC590" s="0" t="n">
        <v>4.32</v>
      </c>
      <c r="AH590" s="0" t="n">
        <v>12.56</v>
      </c>
    </row>
    <row r="591" customFormat="false" ht="14.25" hidden="false" customHeight="false" outlineLevel="0" collapsed="false">
      <c r="A591" s="0" t="n">
        <v>11.72</v>
      </c>
      <c r="B591" s="0" t="n">
        <v>2.74</v>
      </c>
      <c r="C591" s="0" t="n">
        <v>5.58</v>
      </c>
      <c r="D591" s="0" t="n">
        <v>9.42</v>
      </c>
      <c r="H591" s="0" t="n">
        <v>2.91</v>
      </c>
      <c r="I591" s="0" t="n">
        <v>668.11</v>
      </c>
      <c r="AB591" s="0" t="n">
        <v>3.42</v>
      </c>
      <c r="AC591" s="0" t="n">
        <v>4.33</v>
      </c>
      <c r="AH591" s="0" t="n">
        <v>12.56</v>
      </c>
    </row>
    <row r="592" customFormat="false" ht="14.25" hidden="false" customHeight="false" outlineLevel="0" collapsed="false">
      <c r="A592" s="0" t="n">
        <v>11.72</v>
      </c>
      <c r="B592" s="0" t="n">
        <v>2.74</v>
      </c>
      <c r="C592" s="0" t="n">
        <v>5.58</v>
      </c>
      <c r="D592" s="0" t="n">
        <v>9.41</v>
      </c>
      <c r="H592" s="0" t="n">
        <v>2.92</v>
      </c>
      <c r="I592" s="0" t="n">
        <v>668.12</v>
      </c>
      <c r="AB592" s="0" t="n">
        <v>3.43</v>
      </c>
      <c r="AC592" s="0" t="n">
        <v>4.31</v>
      </c>
      <c r="AH592" s="0" t="n">
        <v>12.57</v>
      </c>
    </row>
    <row r="593" customFormat="false" ht="14.25" hidden="false" customHeight="false" outlineLevel="0" collapsed="false">
      <c r="A593" s="0" t="n">
        <v>11.7</v>
      </c>
      <c r="B593" s="0" t="n">
        <v>2.73</v>
      </c>
      <c r="C593" s="0" t="n">
        <v>5.57</v>
      </c>
      <c r="D593" s="0" t="n">
        <v>9.41</v>
      </c>
      <c r="H593" s="0" t="n">
        <v>2.94</v>
      </c>
      <c r="I593" s="0" t="n">
        <v>668.16</v>
      </c>
      <c r="AB593" s="0" t="n">
        <v>3.43</v>
      </c>
      <c r="AC593" s="0" t="n">
        <v>4.32</v>
      </c>
      <c r="AH593" s="0" t="n">
        <v>12.55</v>
      </c>
    </row>
    <row r="594" customFormat="false" ht="14.25" hidden="false" customHeight="false" outlineLevel="0" collapsed="false">
      <c r="A594" s="0" t="n">
        <v>11.69</v>
      </c>
      <c r="B594" s="0" t="n">
        <v>2.74</v>
      </c>
      <c r="C594" s="0" t="n">
        <v>5.57</v>
      </c>
      <c r="D594" s="0" t="n">
        <v>9.41</v>
      </c>
      <c r="H594" s="0" t="n">
        <v>2.9</v>
      </c>
      <c r="I594" s="0" t="n">
        <v>668.18</v>
      </c>
      <c r="AB594" s="0" t="n">
        <v>3.42</v>
      </c>
      <c r="AC594" s="0" t="n">
        <v>4.31</v>
      </c>
      <c r="AH594" s="0" t="n">
        <v>12.56</v>
      </c>
    </row>
    <row r="595" customFormat="false" ht="14.25" hidden="false" customHeight="false" outlineLevel="0" collapsed="false">
      <c r="A595" s="0" t="n">
        <v>11.73</v>
      </c>
      <c r="B595" s="0" t="n">
        <v>2.73</v>
      </c>
      <c r="C595" s="0" t="n">
        <v>5.57</v>
      </c>
      <c r="D595" s="0" t="n">
        <v>9.44</v>
      </c>
      <c r="H595" s="0" t="n">
        <v>2.9</v>
      </c>
      <c r="I595" s="0" t="n">
        <v>668.19</v>
      </c>
      <c r="AB595" s="0" t="n">
        <v>3.42</v>
      </c>
      <c r="AC595" s="0" t="n">
        <v>4.33</v>
      </c>
      <c r="AH595" s="0" t="n">
        <v>12.56</v>
      </c>
    </row>
    <row r="596" customFormat="false" ht="14.25" hidden="false" customHeight="false" outlineLevel="0" collapsed="false">
      <c r="A596" s="0" t="n">
        <v>11.75</v>
      </c>
      <c r="B596" s="0" t="n">
        <v>2.72</v>
      </c>
      <c r="C596" s="0" t="n">
        <v>5.57</v>
      </c>
      <c r="D596" s="0" t="n">
        <v>9.41</v>
      </c>
      <c r="H596" s="0" t="n">
        <v>2.91</v>
      </c>
      <c r="I596" s="0" t="n">
        <v>668.21</v>
      </c>
      <c r="AB596" s="0" t="n">
        <v>3.42</v>
      </c>
      <c r="AC596" s="0" t="n">
        <v>4.31</v>
      </c>
      <c r="AH596" s="0" t="n">
        <v>12.56</v>
      </c>
    </row>
    <row r="597" customFormat="false" ht="14.25" hidden="false" customHeight="false" outlineLevel="0" collapsed="false">
      <c r="A597" s="0" t="n">
        <v>11.76</v>
      </c>
      <c r="B597" s="0" t="n">
        <v>2.73</v>
      </c>
      <c r="C597" s="0" t="n">
        <v>5.57</v>
      </c>
      <c r="D597" s="0" t="n">
        <v>9.39</v>
      </c>
      <c r="H597" s="0" t="n">
        <v>2.9</v>
      </c>
      <c r="I597" s="0" t="n">
        <v>668.19</v>
      </c>
      <c r="AB597" s="0" t="n">
        <v>3.42</v>
      </c>
      <c r="AC597" s="0" t="n">
        <v>4.32</v>
      </c>
      <c r="AH597" s="0" t="n">
        <v>12.57</v>
      </c>
    </row>
    <row r="598" customFormat="false" ht="14.25" hidden="false" customHeight="false" outlineLevel="0" collapsed="false">
      <c r="A598" s="0" t="n">
        <v>11.76</v>
      </c>
      <c r="B598" s="0" t="n">
        <v>2.72</v>
      </c>
      <c r="C598" s="0" t="n">
        <v>5.57</v>
      </c>
      <c r="D598" s="0" t="n">
        <v>9.39</v>
      </c>
      <c r="H598" s="0" t="n">
        <v>2.93</v>
      </c>
      <c r="I598" s="0" t="n">
        <v>668.19</v>
      </c>
      <c r="AB598" s="0" t="n">
        <v>3.42</v>
      </c>
      <c r="AC598" s="0" t="n">
        <v>4.32</v>
      </c>
      <c r="AH598" s="0" t="n">
        <v>12.57</v>
      </c>
    </row>
    <row r="599" customFormat="false" ht="14.25" hidden="false" customHeight="false" outlineLevel="0" collapsed="false">
      <c r="A599" s="0" t="n">
        <v>11.77</v>
      </c>
      <c r="B599" s="0" t="n">
        <v>2.73</v>
      </c>
      <c r="C599" s="0" t="n">
        <v>5.56</v>
      </c>
      <c r="D599" s="0" t="n">
        <v>9.4</v>
      </c>
      <c r="H599" s="0" t="n">
        <v>2.91</v>
      </c>
      <c r="I599" s="0" t="n">
        <v>668.19</v>
      </c>
      <c r="AB599" s="0" t="n">
        <v>3.43</v>
      </c>
      <c r="AC599" s="0" t="n">
        <v>4.32</v>
      </c>
      <c r="AH599" s="0" t="n">
        <v>12.57</v>
      </c>
    </row>
    <row r="600" customFormat="false" ht="14.25" hidden="false" customHeight="false" outlineLevel="0" collapsed="false">
      <c r="A600" s="0" t="n">
        <v>11.76</v>
      </c>
      <c r="B600" s="0" t="n">
        <v>2.73</v>
      </c>
      <c r="C600" s="0" t="n">
        <v>5.57</v>
      </c>
      <c r="D600" s="0" t="n">
        <v>9.38</v>
      </c>
      <c r="H600" s="0" t="n">
        <v>2.91</v>
      </c>
      <c r="I600" s="0" t="n">
        <v>668.19</v>
      </c>
      <c r="AB600" s="0" t="n">
        <v>3.42</v>
      </c>
      <c r="AC600" s="0" t="n">
        <v>4.31</v>
      </c>
      <c r="AH600" s="0" t="n">
        <v>12.57</v>
      </c>
    </row>
    <row r="601" customFormat="false" ht="14.25" hidden="false" customHeight="false" outlineLevel="0" collapsed="false">
      <c r="A601" s="0" t="n">
        <v>11.75</v>
      </c>
      <c r="B601" s="0" t="n">
        <v>2.72</v>
      </c>
      <c r="C601" s="0" t="n">
        <v>5.57</v>
      </c>
      <c r="D601" s="0" t="n">
        <v>9.39</v>
      </c>
      <c r="H601" s="0" t="n">
        <v>2.92</v>
      </c>
      <c r="I601" s="0" t="n">
        <v>668.21</v>
      </c>
      <c r="AB601" s="0" t="n">
        <v>3.42</v>
      </c>
      <c r="AC601" s="0" t="n">
        <v>4.33</v>
      </c>
      <c r="AH601" s="0" t="n">
        <v>12.56</v>
      </c>
    </row>
    <row r="602" customFormat="false" ht="14.25" hidden="false" customHeight="false" outlineLevel="0" collapsed="false">
      <c r="A602" s="0" t="n">
        <v>11.75</v>
      </c>
      <c r="B602" s="0" t="n">
        <v>2.74</v>
      </c>
      <c r="C602" s="0" t="n">
        <v>5.56</v>
      </c>
      <c r="D602" s="0" t="n">
        <v>9.39</v>
      </c>
      <c r="H602" s="0" t="n">
        <v>2.91</v>
      </c>
      <c r="I602" s="0" t="n">
        <v>668.23</v>
      </c>
      <c r="AB602" s="0" t="n">
        <v>3.42</v>
      </c>
      <c r="AC602" s="0" t="n">
        <v>4.32</v>
      </c>
      <c r="AH602" s="0" t="n">
        <v>12.58</v>
      </c>
    </row>
    <row r="603" customFormat="false" ht="14.25" hidden="false" customHeight="false" outlineLevel="0" collapsed="false">
      <c r="A603" s="0" t="n">
        <v>11.75</v>
      </c>
      <c r="B603" s="0" t="n">
        <v>2.72</v>
      </c>
      <c r="C603" s="0" t="n">
        <v>5.55</v>
      </c>
      <c r="D603" s="0" t="n">
        <v>9.39</v>
      </c>
      <c r="H603" s="0" t="n">
        <v>2.92</v>
      </c>
      <c r="I603" s="0" t="n">
        <v>668.24</v>
      </c>
      <c r="AB603" s="0" t="n">
        <v>3.43</v>
      </c>
      <c r="AC603" s="0" t="n">
        <v>4.33</v>
      </c>
      <c r="AH603" s="0" t="n">
        <v>12.57</v>
      </c>
    </row>
    <row r="604" customFormat="false" ht="14.25" hidden="false" customHeight="false" outlineLevel="0" collapsed="false">
      <c r="A604" s="0" t="n">
        <v>11.74</v>
      </c>
      <c r="B604" s="0" t="n">
        <v>2.73</v>
      </c>
      <c r="C604" s="0" t="n">
        <v>5.56</v>
      </c>
      <c r="D604" s="0" t="n">
        <v>9.39</v>
      </c>
      <c r="H604" s="0" t="n">
        <v>2.91</v>
      </c>
      <c r="I604" s="0" t="n">
        <v>668.24</v>
      </c>
      <c r="AB604" s="0" t="n">
        <v>3.41</v>
      </c>
      <c r="AC604" s="0" t="n">
        <v>4.33</v>
      </c>
      <c r="AH604" s="0" t="n">
        <v>12.57</v>
      </c>
    </row>
    <row r="605" customFormat="false" ht="14.25" hidden="false" customHeight="false" outlineLevel="0" collapsed="false">
      <c r="A605" s="0" t="n">
        <v>11.75</v>
      </c>
      <c r="B605" s="0" t="n">
        <v>2.73</v>
      </c>
      <c r="C605" s="0" t="n">
        <v>5.56</v>
      </c>
      <c r="D605" s="0" t="n">
        <v>9.39</v>
      </c>
      <c r="H605" s="0" t="n">
        <v>2.92</v>
      </c>
      <c r="I605" s="0" t="n">
        <v>668.29</v>
      </c>
      <c r="AB605" s="0" t="n">
        <v>3.42</v>
      </c>
      <c r="AC605" s="0" t="n">
        <v>4.33</v>
      </c>
      <c r="AH605" s="0" t="n">
        <v>12.59</v>
      </c>
    </row>
    <row r="606" customFormat="false" ht="14.25" hidden="false" customHeight="false" outlineLevel="0" collapsed="false">
      <c r="A606" s="0" t="n">
        <v>11.75</v>
      </c>
      <c r="B606" s="0" t="n">
        <v>2.74</v>
      </c>
      <c r="C606" s="0" t="n">
        <v>5.55</v>
      </c>
      <c r="D606" s="0" t="n">
        <v>9.4</v>
      </c>
      <c r="H606" s="0" t="n">
        <v>2.92</v>
      </c>
      <c r="I606" s="0" t="n">
        <v>668.28</v>
      </c>
      <c r="AB606" s="0" t="n">
        <v>3.42</v>
      </c>
      <c r="AC606" s="0" t="n">
        <v>4.33</v>
      </c>
      <c r="AH606" s="0" t="n">
        <v>12.56</v>
      </c>
    </row>
    <row r="607" customFormat="false" ht="14.25" hidden="false" customHeight="false" outlineLevel="0" collapsed="false">
      <c r="A607" s="0" t="n">
        <v>11.75</v>
      </c>
      <c r="B607" s="0" t="n">
        <v>2.73</v>
      </c>
      <c r="C607" s="0" t="n">
        <v>5.56</v>
      </c>
      <c r="D607" s="0" t="n">
        <v>9.4</v>
      </c>
      <c r="H607" s="0" t="n">
        <v>2.92</v>
      </c>
      <c r="I607" s="0" t="n">
        <v>668.25</v>
      </c>
      <c r="AB607" s="0" t="n">
        <v>3.42</v>
      </c>
      <c r="AC607" s="0" t="n">
        <v>4.31</v>
      </c>
      <c r="AH607" s="0" t="n">
        <v>12.56</v>
      </c>
    </row>
    <row r="608" customFormat="false" ht="14.25" hidden="false" customHeight="false" outlineLevel="0" collapsed="false">
      <c r="A608" s="0" t="n">
        <v>11.74</v>
      </c>
      <c r="B608" s="0" t="n">
        <v>2.72</v>
      </c>
      <c r="C608" s="0" t="n">
        <v>5.55</v>
      </c>
      <c r="D608" s="0" t="n">
        <v>9.41</v>
      </c>
      <c r="H608" s="0" t="n">
        <v>2.91</v>
      </c>
      <c r="I608" s="0" t="n">
        <v>668.24</v>
      </c>
      <c r="AB608" s="0" t="n">
        <v>3.42</v>
      </c>
      <c r="AC608" s="0" t="n">
        <v>4.33</v>
      </c>
      <c r="AH608" s="0" t="n">
        <v>12.57</v>
      </c>
    </row>
    <row r="609" customFormat="false" ht="14.25" hidden="false" customHeight="false" outlineLevel="0" collapsed="false">
      <c r="A609" s="0" t="n">
        <v>11.75</v>
      </c>
      <c r="B609" s="0" t="n">
        <v>2.72</v>
      </c>
      <c r="C609" s="0" t="n">
        <v>5.56</v>
      </c>
      <c r="D609" s="0" t="n">
        <v>9.41</v>
      </c>
      <c r="H609" s="0" t="n">
        <v>2.91</v>
      </c>
      <c r="I609" s="0" t="n">
        <v>668.22</v>
      </c>
      <c r="AB609" s="0" t="n">
        <v>3.43</v>
      </c>
      <c r="AC609" s="0" t="n">
        <v>4.32</v>
      </c>
      <c r="AH609" s="0" t="n">
        <v>12.56</v>
      </c>
    </row>
    <row r="610" customFormat="false" ht="14.25" hidden="false" customHeight="false" outlineLevel="0" collapsed="false">
      <c r="A610" s="0" t="n">
        <v>11.74</v>
      </c>
      <c r="B610" s="0" t="n">
        <v>2.71</v>
      </c>
      <c r="C610" s="0" t="n">
        <v>5.57</v>
      </c>
      <c r="D610" s="0" t="n">
        <v>9.42</v>
      </c>
      <c r="H610" s="0" t="n">
        <v>2.93</v>
      </c>
      <c r="I610" s="0" t="n">
        <v>668.19</v>
      </c>
      <c r="AB610" s="0" t="n">
        <v>3.43</v>
      </c>
      <c r="AC610" s="0" t="n">
        <v>4.33</v>
      </c>
      <c r="AH610" s="0" t="n">
        <v>12.57</v>
      </c>
    </row>
    <row r="611" customFormat="false" ht="14.25" hidden="false" customHeight="false" outlineLevel="0" collapsed="false">
      <c r="A611" s="0" t="n">
        <v>11.74</v>
      </c>
      <c r="B611" s="0" t="n">
        <v>2.71</v>
      </c>
      <c r="C611" s="0" t="n">
        <v>5.58</v>
      </c>
      <c r="D611" s="0" t="n">
        <v>9.42</v>
      </c>
      <c r="H611" s="0" t="n">
        <v>2.93</v>
      </c>
      <c r="I611" s="0" t="n">
        <v>668.19</v>
      </c>
      <c r="AB611" s="0" t="n">
        <v>3.4</v>
      </c>
      <c r="AC611" s="0" t="n">
        <v>4.33</v>
      </c>
      <c r="AH611" s="0" t="n">
        <v>12.57</v>
      </c>
    </row>
    <row r="612" customFormat="false" ht="14.25" hidden="false" customHeight="false" outlineLevel="0" collapsed="false">
      <c r="A612" s="0" t="n">
        <v>11.72</v>
      </c>
      <c r="B612" s="0" t="n">
        <v>2.73</v>
      </c>
      <c r="C612" s="0" t="n">
        <v>5.57</v>
      </c>
      <c r="D612" s="0" t="n">
        <v>9.43</v>
      </c>
      <c r="H612" s="0" t="n">
        <v>2.93</v>
      </c>
      <c r="I612" s="0" t="n">
        <v>668.19</v>
      </c>
      <c r="AB612" s="0" t="n">
        <v>3.41</v>
      </c>
      <c r="AC612" s="0" t="n">
        <v>4.32</v>
      </c>
      <c r="AH612" s="0" t="n">
        <v>12.56</v>
      </c>
    </row>
    <row r="613" customFormat="false" ht="14.25" hidden="false" customHeight="false" outlineLevel="0" collapsed="false">
      <c r="A613" s="0" t="n">
        <v>11.76</v>
      </c>
      <c r="B613" s="0" t="n">
        <v>2.71</v>
      </c>
      <c r="C613" s="0" t="n">
        <v>5.56</v>
      </c>
      <c r="D613" s="0" t="n">
        <v>9.43</v>
      </c>
      <c r="H613" s="0" t="n">
        <v>2.93</v>
      </c>
      <c r="I613" s="0" t="n">
        <v>668.19</v>
      </c>
      <c r="AB613" s="0" t="n">
        <v>3.36</v>
      </c>
      <c r="AC613" s="0" t="n">
        <v>4.31</v>
      </c>
      <c r="AH613" s="0" t="n">
        <v>12.57</v>
      </c>
    </row>
    <row r="614" customFormat="false" ht="14.25" hidden="false" customHeight="false" outlineLevel="0" collapsed="false">
      <c r="A614" s="0" t="n">
        <v>11.77</v>
      </c>
      <c r="B614" s="0" t="n">
        <v>2.73</v>
      </c>
      <c r="C614" s="0" t="n">
        <v>5.58</v>
      </c>
      <c r="D614" s="0" t="n">
        <v>9.42</v>
      </c>
      <c r="H614" s="0" t="n">
        <v>2.92</v>
      </c>
      <c r="I614" s="0" t="n">
        <v>668.19</v>
      </c>
      <c r="AB614" s="0" t="n">
        <v>3.42</v>
      </c>
      <c r="AC614" s="0" t="n">
        <v>4.35</v>
      </c>
      <c r="AH614" s="0" t="n">
        <v>12.57</v>
      </c>
    </row>
    <row r="615" customFormat="false" ht="14.25" hidden="false" customHeight="false" outlineLevel="0" collapsed="false">
      <c r="A615" s="0" t="n">
        <v>11.77</v>
      </c>
      <c r="B615" s="0" t="n">
        <v>2.71</v>
      </c>
      <c r="C615" s="0" t="n">
        <v>5.57</v>
      </c>
      <c r="D615" s="0" t="n">
        <v>9.43</v>
      </c>
      <c r="H615" s="0" t="n">
        <v>2.92</v>
      </c>
      <c r="I615" s="0" t="n">
        <v>668.18</v>
      </c>
      <c r="AB615" s="0" t="n">
        <v>3.41</v>
      </c>
      <c r="AC615" s="0" t="n">
        <v>4.35</v>
      </c>
      <c r="AH615" s="0" t="n">
        <v>12.57</v>
      </c>
    </row>
    <row r="616" customFormat="false" ht="14.25" hidden="false" customHeight="false" outlineLevel="0" collapsed="false">
      <c r="A616" s="0" t="n">
        <v>11.77</v>
      </c>
      <c r="B616" s="0" t="n">
        <v>2.72</v>
      </c>
      <c r="C616" s="0" t="n">
        <v>5.59</v>
      </c>
      <c r="D616" s="0" t="n">
        <v>9.43</v>
      </c>
      <c r="H616" s="0" t="n">
        <v>2.92</v>
      </c>
      <c r="I616" s="0" t="n">
        <v>668.16</v>
      </c>
      <c r="AB616" s="0" t="n">
        <v>3.41</v>
      </c>
      <c r="AC616" s="0" t="n">
        <v>4.34</v>
      </c>
      <c r="AH616" s="0" t="n">
        <v>12.57</v>
      </c>
    </row>
    <row r="617" customFormat="false" ht="14.25" hidden="false" customHeight="false" outlineLevel="0" collapsed="false">
      <c r="A617" s="0" t="n">
        <v>11.77</v>
      </c>
      <c r="B617" s="0" t="n">
        <v>2.71</v>
      </c>
      <c r="C617" s="0" t="n">
        <v>5.59</v>
      </c>
      <c r="D617" s="0" t="n">
        <v>9.44</v>
      </c>
      <c r="H617" s="0" t="n">
        <v>2.92</v>
      </c>
      <c r="I617" s="0" t="n">
        <v>668.12</v>
      </c>
      <c r="AB617" s="0" t="n">
        <v>3.41</v>
      </c>
      <c r="AC617" s="0" t="n">
        <v>4.33</v>
      </c>
      <c r="AH617" s="0" t="n">
        <v>12.57</v>
      </c>
    </row>
    <row r="618" customFormat="false" ht="14.25" hidden="false" customHeight="false" outlineLevel="0" collapsed="false">
      <c r="A618" s="0" t="n">
        <v>11.78</v>
      </c>
      <c r="B618" s="0" t="n">
        <v>2.72</v>
      </c>
      <c r="C618" s="0" t="n">
        <v>5.58</v>
      </c>
      <c r="D618" s="0" t="n">
        <v>9.45</v>
      </c>
      <c r="H618" s="0" t="n">
        <v>2.92</v>
      </c>
      <c r="I618" s="0" t="n">
        <v>668.12</v>
      </c>
      <c r="AB618" s="0" t="n">
        <v>3.41</v>
      </c>
      <c r="AC618" s="0" t="n">
        <v>4.4</v>
      </c>
      <c r="AH618" s="0" t="n">
        <v>12.58</v>
      </c>
    </row>
    <row r="619" customFormat="false" ht="14.25" hidden="false" customHeight="false" outlineLevel="0" collapsed="false">
      <c r="A619" s="0" t="n">
        <v>11.78</v>
      </c>
      <c r="B619" s="0" t="n">
        <v>2.73</v>
      </c>
      <c r="C619" s="0" t="n">
        <v>5.59</v>
      </c>
      <c r="D619" s="0" t="n">
        <v>9.43</v>
      </c>
      <c r="H619" s="0" t="n">
        <v>2.91</v>
      </c>
      <c r="I619" s="0" t="n">
        <v>668.12</v>
      </c>
      <c r="AB619" s="0" t="n">
        <v>3.41</v>
      </c>
      <c r="AC619" s="0" t="n">
        <v>4.38</v>
      </c>
      <c r="AH619" s="0" t="n">
        <v>12.57</v>
      </c>
    </row>
    <row r="620" customFormat="false" ht="14.25" hidden="false" customHeight="false" outlineLevel="0" collapsed="false">
      <c r="A620" s="0" t="n">
        <v>11.78</v>
      </c>
      <c r="B620" s="0" t="n">
        <v>2.72</v>
      </c>
      <c r="C620" s="0" t="n">
        <v>5.59</v>
      </c>
      <c r="D620" s="0" t="n">
        <v>9.43</v>
      </c>
      <c r="H620" s="0" t="n">
        <v>2.93</v>
      </c>
      <c r="I620" s="0" t="n">
        <v>668.12</v>
      </c>
      <c r="AB620" s="0" t="n">
        <v>3.41</v>
      </c>
      <c r="AC620" s="0" t="n">
        <v>4.33</v>
      </c>
      <c r="AH620" s="0" t="n">
        <v>12.58</v>
      </c>
    </row>
    <row r="621" customFormat="false" ht="14.25" hidden="false" customHeight="false" outlineLevel="0" collapsed="false">
      <c r="A621" s="0" t="n">
        <v>11.78</v>
      </c>
      <c r="B621" s="0" t="n">
        <v>2.71</v>
      </c>
      <c r="C621" s="0" t="n">
        <v>5.59</v>
      </c>
      <c r="D621" s="0" t="n">
        <v>9.44</v>
      </c>
      <c r="H621" s="0" t="n">
        <v>2.91</v>
      </c>
      <c r="I621" s="0" t="n">
        <v>668.1</v>
      </c>
      <c r="AB621" s="0" t="n">
        <v>3.4</v>
      </c>
      <c r="AC621" s="0" t="n">
        <v>4.33</v>
      </c>
      <c r="AH621" s="0" t="n">
        <v>12.58</v>
      </c>
    </row>
    <row r="622" customFormat="false" ht="14.25" hidden="false" customHeight="false" outlineLevel="0" collapsed="false">
      <c r="A622" s="0" t="n">
        <v>11.78</v>
      </c>
      <c r="B622" s="0" t="n">
        <v>2.72</v>
      </c>
      <c r="C622" s="0" t="n">
        <v>5.59</v>
      </c>
      <c r="D622" s="0" t="n">
        <v>9.44</v>
      </c>
      <c r="H622" s="0" t="n">
        <v>2.91</v>
      </c>
      <c r="I622" s="0" t="n">
        <v>668.08</v>
      </c>
      <c r="AB622" s="0" t="n">
        <v>3.4</v>
      </c>
      <c r="AC622" s="0" t="n">
        <v>4.31</v>
      </c>
      <c r="AH622" s="0" t="n">
        <v>12.58</v>
      </c>
    </row>
    <row r="623" customFormat="false" ht="14.25" hidden="false" customHeight="false" outlineLevel="0" collapsed="false">
      <c r="A623" s="0" t="n">
        <v>11.78</v>
      </c>
      <c r="B623" s="0" t="n">
        <v>2.73</v>
      </c>
      <c r="C623" s="0" t="n">
        <v>5.58</v>
      </c>
      <c r="D623" s="0" t="n">
        <v>9.42</v>
      </c>
      <c r="H623" s="0" t="n">
        <v>2.92</v>
      </c>
      <c r="I623" s="0" t="n">
        <v>668.08</v>
      </c>
      <c r="AB623" s="0" t="n">
        <v>3.38</v>
      </c>
      <c r="AC623" s="0" t="n">
        <v>4.35</v>
      </c>
      <c r="AH623" s="0" t="n">
        <v>12.58</v>
      </c>
    </row>
    <row r="624" customFormat="false" ht="14.25" hidden="false" customHeight="false" outlineLevel="0" collapsed="false">
      <c r="A624" s="0" t="n">
        <v>11.78</v>
      </c>
      <c r="B624" s="0" t="n">
        <v>2.7</v>
      </c>
      <c r="C624" s="0" t="n">
        <v>5.58</v>
      </c>
      <c r="D624" s="0" t="n">
        <v>9.45</v>
      </c>
      <c r="H624" s="0" t="n">
        <v>2.91</v>
      </c>
      <c r="I624" s="0" t="n">
        <v>668.1</v>
      </c>
      <c r="AB624" s="0" t="n">
        <v>3.39</v>
      </c>
      <c r="AC624" s="0" t="n">
        <v>4.32</v>
      </c>
      <c r="AH624" s="0" t="n">
        <v>12.57</v>
      </c>
    </row>
    <row r="625" customFormat="false" ht="14.25" hidden="false" customHeight="false" outlineLevel="0" collapsed="false">
      <c r="A625" s="0" t="n">
        <v>11.78</v>
      </c>
      <c r="B625" s="0" t="n">
        <v>2.72</v>
      </c>
      <c r="C625" s="0" t="n">
        <v>5.59</v>
      </c>
      <c r="D625" s="0" t="n">
        <v>9.45</v>
      </c>
      <c r="H625" s="0" t="n">
        <v>2.92</v>
      </c>
      <c r="I625" s="0" t="n">
        <v>668.1</v>
      </c>
      <c r="AB625" s="0" t="n">
        <v>3.4</v>
      </c>
      <c r="AC625" s="0" t="n">
        <v>4.37</v>
      </c>
      <c r="AH625" s="0" t="n">
        <v>12.57</v>
      </c>
    </row>
    <row r="626" customFormat="false" ht="14.25" hidden="false" customHeight="false" outlineLevel="0" collapsed="false">
      <c r="A626" s="0" t="n">
        <v>11.78</v>
      </c>
      <c r="B626" s="0" t="n">
        <v>2.72</v>
      </c>
      <c r="C626" s="0" t="n">
        <v>5.59</v>
      </c>
      <c r="D626" s="0" t="n">
        <v>9.46</v>
      </c>
      <c r="H626" s="0" t="n">
        <v>2.93</v>
      </c>
      <c r="I626" s="0" t="n">
        <v>668.1</v>
      </c>
      <c r="AB626" s="0" t="n">
        <v>3.39</v>
      </c>
      <c r="AC626" s="0" t="n">
        <v>4.33</v>
      </c>
      <c r="AH626" s="0" t="n">
        <v>12.58</v>
      </c>
    </row>
    <row r="627" customFormat="false" ht="14.25" hidden="false" customHeight="false" outlineLevel="0" collapsed="false">
      <c r="A627" s="0" t="n">
        <v>11.78</v>
      </c>
      <c r="B627" s="0" t="n">
        <v>2.75</v>
      </c>
      <c r="C627" s="0" t="n">
        <v>5.59</v>
      </c>
      <c r="D627" s="0" t="n">
        <v>9.45</v>
      </c>
      <c r="H627" s="0" t="n">
        <v>2.92</v>
      </c>
      <c r="I627" s="0" t="n">
        <v>668.11</v>
      </c>
      <c r="AB627" s="0" t="n">
        <v>3.39</v>
      </c>
      <c r="AC627" s="0" t="n">
        <v>4.32</v>
      </c>
      <c r="AH627" s="0" t="n">
        <v>12.56</v>
      </c>
    </row>
    <row r="628" customFormat="false" ht="14.25" hidden="false" customHeight="false" outlineLevel="0" collapsed="false">
      <c r="A628" s="0" t="n">
        <v>11.79</v>
      </c>
      <c r="B628" s="0" t="n">
        <v>2.72</v>
      </c>
      <c r="C628" s="0" t="n">
        <v>5.58</v>
      </c>
      <c r="D628" s="0" t="n">
        <v>9.43</v>
      </c>
      <c r="H628" s="0" t="n">
        <v>2.93</v>
      </c>
      <c r="I628" s="0" t="n">
        <v>668.14</v>
      </c>
      <c r="AB628" s="0" t="n">
        <v>3.39</v>
      </c>
      <c r="AC628" s="0" t="n">
        <v>4.35</v>
      </c>
      <c r="AH628" s="0" t="n">
        <v>12.59</v>
      </c>
    </row>
    <row r="629" customFormat="false" ht="14.25" hidden="false" customHeight="false" outlineLevel="0" collapsed="false">
      <c r="A629" s="0" t="n">
        <v>11.8</v>
      </c>
      <c r="B629" s="0" t="n">
        <v>2.74</v>
      </c>
      <c r="C629" s="0" t="n">
        <v>5.59</v>
      </c>
      <c r="D629" s="0" t="n">
        <v>9.44</v>
      </c>
      <c r="H629" s="0" t="n">
        <v>2.91</v>
      </c>
      <c r="I629" s="0" t="n">
        <v>668.14</v>
      </c>
      <c r="AB629" s="0" t="n">
        <v>3.39</v>
      </c>
      <c r="AC629" s="0" t="n">
        <v>4.34</v>
      </c>
      <c r="AH629" s="0" t="n">
        <v>12.57</v>
      </c>
    </row>
    <row r="630" customFormat="false" ht="14.25" hidden="false" customHeight="false" outlineLevel="0" collapsed="false">
      <c r="A630" s="0" t="n">
        <v>11.79</v>
      </c>
      <c r="B630" s="0" t="n">
        <v>2.72</v>
      </c>
      <c r="C630" s="0" t="n">
        <v>5.59</v>
      </c>
      <c r="D630" s="0" t="n">
        <v>9.45</v>
      </c>
      <c r="H630" s="0" t="n">
        <v>2.92</v>
      </c>
      <c r="I630" s="0" t="n">
        <v>668.12</v>
      </c>
      <c r="AB630" s="0" t="n">
        <v>3.38</v>
      </c>
      <c r="AC630" s="0" t="n">
        <v>4.34</v>
      </c>
      <c r="AH630" s="0" t="n">
        <v>12.58</v>
      </c>
    </row>
    <row r="631" customFormat="false" ht="14.25" hidden="false" customHeight="false" outlineLevel="0" collapsed="false">
      <c r="A631" s="0" t="n">
        <v>11.8</v>
      </c>
      <c r="B631" s="0" t="n">
        <v>2.75</v>
      </c>
      <c r="C631" s="0" t="n">
        <v>5.59</v>
      </c>
      <c r="D631" s="0" t="n">
        <v>9.44</v>
      </c>
      <c r="H631" s="0" t="n">
        <v>2.92</v>
      </c>
      <c r="I631" s="0" t="n">
        <v>668.12</v>
      </c>
      <c r="AB631" s="0" t="n">
        <v>3.39</v>
      </c>
      <c r="AC631" s="0" t="n">
        <v>4.33</v>
      </c>
      <c r="AH631" s="0" t="n">
        <v>12.57</v>
      </c>
    </row>
    <row r="632" customFormat="false" ht="14.25" hidden="false" customHeight="false" outlineLevel="0" collapsed="false">
      <c r="A632" s="0" t="n">
        <v>11.82</v>
      </c>
      <c r="B632" s="0" t="n">
        <v>2.73</v>
      </c>
      <c r="C632" s="0" t="n">
        <v>5.6</v>
      </c>
      <c r="D632" s="0" t="n">
        <v>9.46</v>
      </c>
      <c r="H632" s="0" t="n">
        <v>2.92</v>
      </c>
      <c r="I632" s="0" t="n">
        <v>668.12</v>
      </c>
      <c r="AB632" s="0" t="n">
        <v>3.39</v>
      </c>
      <c r="AC632" s="0" t="n">
        <v>4.35</v>
      </c>
      <c r="AH632" s="0" t="n">
        <v>12.56</v>
      </c>
    </row>
    <row r="633" customFormat="false" ht="14.25" hidden="false" customHeight="false" outlineLevel="0" collapsed="false">
      <c r="A633" s="0" t="n">
        <v>11.81</v>
      </c>
      <c r="B633" s="0" t="n">
        <v>2.74</v>
      </c>
      <c r="C633" s="0" t="n">
        <v>5.6</v>
      </c>
      <c r="D633" s="0" t="n">
        <v>9.44</v>
      </c>
      <c r="H633" s="0" t="n">
        <v>2.91</v>
      </c>
      <c r="I633" s="0" t="n">
        <v>668.12</v>
      </c>
      <c r="AB633" s="0" t="n">
        <v>3.39</v>
      </c>
      <c r="AC633" s="0" t="n">
        <v>4.34</v>
      </c>
      <c r="AH633" s="0" t="n">
        <v>12.56</v>
      </c>
    </row>
    <row r="634" customFormat="false" ht="14.25" hidden="false" customHeight="false" outlineLevel="0" collapsed="false">
      <c r="A634" s="0" t="n">
        <v>11.8</v>
      </c>
      <c r="B634" s="0" t="n">
        <v>2.78</v>
      </c>
      <c r="C634" s="0" t="n">
        <v>5.61</v>
      </c>
      <c r="D634" s="0" t="n">
        <v>9.45</v>
      </c>
      <c r="H634" s="0" t="n">
        <v>2.92</v>
      </c>
      <c r="I634" s="0" t="n">
        <v>668.14</v>
      </c>
      <c r="AB634" s="0" t="n">
        <v>3.39</v>
      </c>
      <c r="AC634" s="0" t="n">
        <v>4.31</v>
      </c>
      <c r="AH634" s="0" t="n">
        <v>12.56</v>
      </c>
    </row>
    <row r="635" customFormat="false" ht="14.25" hidden="false" customHeight="false" outlineLevel="0" collapsed="false">
      <c r="A635" s="0" t="n">
        <v>11.81</v>
      </c>
      <c r="B635" s="0" t="n">
        <v>2.73</v>
      </c>
      <c r="C635" s="0" t="n">
        <v>5.61</v>
      </c>
      <c r="D635" s="0" t="n">
        <v>9.44</v>
      </c>
      <c r="H635" s="0" t="n">
        <v>2.9</v>
      </c>
      <c r="I635" s="0" t="n">
        <v>668.14</v>
      </c>
      <c r="AB635" s="0" t="n">
        <v>3.39</v>
      </c>
      <c r="AC635" s="0" t="n">
        <v>4.39</v>
      </c>
      <c r="AH635" s="0" t="n">
        <v>12.56</v>
      </c>
    </row>
    <row r="636" customFormat="false" ht="14.25" hidden="false" customHeight="false" outlineLevel="0" collapsed="false">
      <c r="A636" s="0" t="n">
        <v>11.81</v>
      </c>
      <c r="B636" s="0" t="n">
        <v>2.73</v>
      </c>
      <c r="C636" s="0" t="n">
        <v>5.61</v>
      </c>
      <c r="D636" s="0" t="n">
        <v>9.45</v>
      </c>
      <c r="H636" s="0" t="n">
        <v>2.95</v>
      </c>
      <c r="I636" s="0" t="n">
        <v>668.12</v>
      </c>
      <c r="AB636" s="0" t="n">
        <v>3.38</v>
      </c>
      <c r="AC636" s="0" t="n">
        <v>4.32</v>
      </c>
      <c r="AH636" s="0" t="n">
        <v>12.57</v>
      </c>
    </row>
    <row r="637" customFormat="false" ht="14.25" hidden="false" customHeight="false" outlineLevel="0" collapsed="false">
      <c r="A637" s="0" t="n">
        <v>11.82</v>
      </c>
      <c r="B637" s="0" t="n">
        <v>2.74</v>
      </c>
      <c r="C637" s="0" t="n">
        <v>5.61</v>
      </c>
      <c r="D637" s="0" t="n">
        <v>9.45</v>
      </c>
      <c r="H637" s="0" t="n">
        <v>2.92</v>
      </c>
      <c r="I637" s="0" t="n">
        <v>668.12</v>
      </c>
      <c r="AB637" s="0" t="n">
        <v>3.38</v>
      </c>
      <c r="AC637" s="0" t="n">
        <v>4.31</v>
      </c>
      <c r="AH637" s="0" t="n">
        <v>12.58</v>
      </c>
    </row>
    <row r="638" customFormat="false" ht="14.25" hidden="false" customHeight="false" outlineLevel="0" collapsed="false">
      <c r="A638" s="0" t="n">
        <v>11.82</v>
      </c>
      <c r="B638" s="0" t="n">
        <v>2.75</v>
      </c>
      <c r="C638" s="0" t="n">
        <v>5.62</v>
      </c>
      <c r="D638" s="0" t="n">
        <v>9.44</v>
      </c>
      <c r="H638" s="0" t="n">
        <v>2.93</v>
      </c>
      <c r="I638" s="0" t="n">
        <v>668.12</v>
      </c>
      <c r="AB638" s="0" t="n">
        <v>3.38</v>
      </c>
      <c r="AC638" s="0" t="n">
        <v>4.33</v>
      </c>
      <c r="AH638" s="0" t="n">
        <v>12.56</v>
      </c>
    </row>
    <row r="639" customFormat="false" ht="14.25" hidden="false" customHeight="false" outlineLevel="0" collapsed="false">
      <c r="A639" s="0" t="n">
        <v>11.77</v>
      </c>
      <c r="B639" s="0" t="n">
        <v>2.76</v>
      </c>
      <c r="C639" s="0" t="n">
        <v>5.62</v>
      </c>
      <c r="D639" s="0" t="n">
        <v>9.43</v>
      </c>
      <c r="H639" s="0" t="n">
        <v>2.92</v>
      </c>
      <c r="I639" s="0" t="n">
        <v>668.12</v>
      </c>
      <c r="AB639" s="0" t="n">
        <v>3.39</v>
      </c>
      <c r="AC639" s="0" t="n">
        <v>4.34</v>
      </c>
      <c r="AH639" s="0" t="n">
        <v>12.56</v>
      </c>
    </row>
    <row r="640" customFormat="false" ht="14.25" hidden="false" customHeight="false" outlineLevel="0" collapsed="false">
      <c r="A640" s="0" t="n">
        <v>11.77</v>
      </c>
      <c r="B640" s="0" t="n">
        <v>2.75</v>
      </c>
      <c r="C640" s="0" t="n">
        <v>5.62</v>
      </c>
      <c r="D640" s="0" t="n">
        <v>9.44</v>
      </c>
      <c r="H640" s="0" t="n">
        <v>2.93</v>
      </c>
      <c r="I640" s="0" t="n">
        <v>668.12</v>
      </c>
      <c r="AB640" s="0" t="n">
        <v>3.38</v>
      </c>
      <c r="AC640" s="0" t="n">
        <v>4.33</v>
      </c>
      <c r="AH640" s="0" t="n">
        <v>12.57</v>
      </c>
    </row>
    <row r="641" customFormat="false" ht="14.25" hidden="false" customHeight="false" outlineLevel="0" collapsed="false">
      <c r="A641" s="0" t="n">
        <v>11.8</v>
      </c>
      <c r="B641" s="0" t="n">
        <v>2.76</v>
      </c>
      <c r="C641" s="0" t="n">
        <v>5.61</v>
      </c>
      <c r="D641" s="0" t="n">
        <v>9.44</v>
      </c>
      <c r="H641" s="0" t="n">
        <v>2.92</v>
      </c>
      <c r="I641" s="0" t="n">
        <v>668.15</v>
      </c>
      <c r="AB641" s="0" t="n">
        <v>3.39</v>
      </c>
      <c r="AC641" s="0" t="n">
        <v>4.34</v>
      </c>
      <c r="AH641" s="0" t="n">
        <v>12.57</v>
      </c>
    </row>
    <row r="642" customFormat="false" ht="14.25" hidden="false" customHeight="false" outlineLevel="0" collapsed="false">
      <c r="A642" s="0" t="n">
        <v>11.8</v>
      </c>
      <c r="B642" s="0" t="n">
        <v>2.76</v>
      </c>
      <c r="C642" s="0" t="n">
        <v>5.6</v>
      </c>
      <c r="D642" s="0" t="n">
        <v>9.44</v>
      </c>
      <c r="H642" s="0" t="n">
        <v>2.93</v>
      </c>
      <c r="I642" s="0" t="n">
        <v>668.16</v>
      </c>
      <c r="AB642" s="0" t="n">
        <v>3.38</v>
      </c>
      <c r="AC642" s="0" t="n">
        <v>4.34</v>
      </c>
      <c r="AH642" s="0" t="n">
        <v>12.56</v>
      </c>
    </row>
    <row r="643" customFormat="false" ht="14.25" hidden="false" customHeight="false" outlineLevel="0" collapsed="false">
      <c r="A643" s="0" t="n">
        <v>11.82</v>
      </c>
      <c r="B643" s="0" t="n">
        <v>2.76</v>
      </c>
      <c r="C643" s="0" t="n">
        <v>5.61</v>
      </c>
      <c r="D643" s="0" t="n">
        <v>9.43</v>
      </c>
      <c r="H643" s="0" t="n">
        <v>2.93</v>
      </c>
      <c r="I643" s="0" t="n">
        <v>668.14</v>
      </c>
      <c r="AB643" s="0" t="n">
        <v>3.37</v>
      </c>
      <c r="AC643" s="0" t="n">
        <v>4.35</v>
      </c>
      <c r="AH643" s="0" t="n">
        <v>12.57</v>
      </c>
    </row>
    <row r="644" customFormat="false" ht="14.25" hidden="false" customHeight="false" outlineLevel="0" collapsed="false">
      <c r="A644" s="0" t="n">
        <v>11.81</v>
      </c>
      <c r="B644" s="0" t="n">
        <v>2.77</v>
      </c>
      <c r="C644" s="0" t="n">
        <v>5.61</v>
      </c>
      <c r="D644" s="0" t="n">
        <v>9.45</v>
      </c>
      <c r="H644" s="0" t="n">
        <v>2.93</v>
      </c>
      <c r="I644" s="0" t="n">
        <v>668.14</v>
      </c>
      <c r="AB644" s="0" t="n">
        <v>3.35</v>
      </c>
      <c r="AC644" s="0" t="n">
        <v>4.36</v>
      </c>
      <c r="AH644" s="0" t="n">
        <v>12.57</v>
      </c>
    </row>
    <row r="645" customFormat="false" ht="14.25" hidden="false" customHeight="false" outlineLevel="0" collapsed="false">
      <c r="A645" s="0" t="n">
        <v>11.78</v>
      </c>
      <c r="B645" s="0" t="n">
        <v>2.77</v>
      </c>
      <c r="C645" s="0" t="n">
        <v>5.6</v>
      </c>
      <c r="D645" s="0" t="n">
        <v>9.44</v>
      </c>
      <c r="H645" s="0" t="n">
        <v>2.94</v>
      </c>
      <c r="I645" s="0" t="n">
        <v>668.16</v>
      </c>
      <c r="AB645" s="0" t="n">
        <v>3.37</v>
      </c>
      <c r="AC645" s="0" t="n">
        <v>4.36</v>
      </c>
      <c r="AH645" s="0" t="n">
        <v>12.56</v>
      </c>
    </row>
    <row r="646" customFormat="false" ht="14.25" hidden="false" customHeight="false" outlineLevel="0" collapsed="false">
      <c r="A646" s="0" t="n">
        <v>11.79</v>
      </c>
      <c r="B646" s="0" t="n">
        <v>2.77</v>
      </c>
      <c r="C646" s="0" t="n">
        <v>5.61</v>
      </c>
      <c r="D646" s="0" t="n">
        <v>9.44</v>
      </c>
      <c r="H646" s="0" t="n">
        <v>2.93</v>
      </c>
      <c r="I646" s="0" t="n">
        <v>668.17</v>
      </c>
      <c r="AB646" s="0" t="n">
        <v>3.37</v>
      </c>
      <c r="AC646" s="0" t="n">
        <v>4.37</v>
      </c>
      <c r="AH646" s="0" t="n">
        <v>12.56</v>
      </c>
    </row>
    <row r="647" customFormat="false" ht="14.25" hidden="false" customHeight="false" outlineLevel="0" collapsed="false">
      <c r="A647" s="0" t="n">
        <v>11.79</v>
      </c>
      <c r="B647" s="0" t="n">
        <v>2.77</v>
      </c>
      <c r="C647" s="0" t="n">
        <v>5.6</v>
      </c>
      <c r="D647" s="0" t="n">
        <v>9.44</v>
      </c>
      <c r="H647" s="0" t="n">
        <v>2.9</v>
      </c>
      <c r="I647" s="0" t="n">
        <v>668.17</v>
      </c>
      <c r="AB647" s="0" t="n">
        <v>3.38</v>
      </c>
      <c r="AC647" s="0" t="n">
        <v>4.36</v>
      </c>
      <c r="AH647" s="0" t="n">
        <v>12.56</v>
      </c>
    </row>
    <row r="648" customFormat="false" ht="14.25" hidden="false" customHeight="false" outlineLevel="0" collapsed="false">
      <c r="A648" s="0" t="n">
        <v>11.79</v>
      </c>
      <c r="B648" s="0" t="n">
        <v>2.77</v>
      </c>
      <c r="C648" s="0" t="n">
        <v>5.6</v>
      </c>
      <c r="D648" s="0" t="n">
        <v>9.43</v>
      </c>
      <c r="H648" s="0" t="n">
        <v>2.92</v>
      </c>
      <c r="I648" s="0" t="n">
        <v>668.17</v>
      </c>
      <c r="AB648" s="0" t="n">
        <v>3.4</v>
      </c>
      <c r="AC648" s="0" t="n">
        <v>4.36</v>
      </c>
      <c r="AH648" s="0" t="n">
        <v>12.56</v>
      </c>
    </row>
    <row r="649" customFormat="false" ht="14.25" hidden="false" customHeight="false" outlineLevel="0" collapsed="false">
      <c r="A649" s="0" t="n">
        <v>11.78</v>
      </c>
      <c r="B649" s="0" t="n">
        <v>2.77</v>
      </c>
      <c r="C649" s="0" t="n">
        <v>5.6</v>
      </c>
      <c r="D649" s="0" t="n">
        <v>9.44</v>
      </c>
      <c r="H649" s="0" t="n">
        <v>2.93</v>
      </c>
      <c r="I649" s="0" t="n">
        <v>668.18</v>
      </c>
      <c r="AB649" s="0" t="n">
        <v>3.35</v>
      </c>
      <c r="AC649" s="0" t="n">
        <v>4.36</v>
      </c>
      <c r="AH649" s="0" t="n">
        <v>12.56</v>
      </c>
    </row>
    <row r="650" customFormat="false" ht="14.25" hidden="false" customHeight="false" outlineLevel="0" collapsed="false">
      <c r="A650" s="0" t="n">
        <v>11.78</v>
      </c>
      <c r="B650" s="0" t="n">
        <v>2.78</v>
      </c>
      <c r="C650" s="0" t="n">
        <v>5.6</v>
      </c>
      <c r="D650" s="0" t="n">
        <v>9.43</v>
      </c>
      <c r="H650" s="0" t="n">
        <v>2.94</v>
      </c>
      <c r="I650" s="0" t="n">
        <v>668.17</v>
      </c>
      <c r="AB650" s="0" t="n">
        <v>3.38</v>
      </c>
      <c r="AC650" s="0" t="n">
        <v>4.36</v>
      </c>
      <c r="AH650" s="0" t="n">
        <v>12.56</v>
      </c>
    </row>
    <row r="651" customFormat="false" ht="14.25" hidden="false" customHeight="false" outlineLevel="0" collapsed="false">
      <c r="A651" s="0" t="n">
        <v>11.78</v>
      </c>
      <c r="B651" s="0" t="n">
        <v>2.8</v>
      </c>
      <c r="C651" s="0" t="n">
        <v>5.6</v>
      </c>
      <c r="D651" s="0" t="n">
        <v>9.45</v>
      </c>
      <c r="H651" s="0" t="n">
        <v>2.95</v>
      </c>
      <c r="I651" s="0" t="n">
        <v>668.14</v>
      </c>
      <c r="AB651" s="0" t="n">
        <v>3.39</v>
      </c>
      <c r="AC651" s="0" t="n">
        <v>4.36</v>
      </c>
      <c r="AH651" s="0" t="n">
        <v>12.55</v>
      </c>
    </row>
    <row r="652" customFormat="false" ht="14.25" hidden="false" customHeight="false" outlineLevel="0" collapsed="false">
      <c r="A652" s="0" t="n">
        <v>11.77</v>
      </c>
      <c r="B652" s="0" t="n">
        <v>2.78</v>
      </c>
      <c r="C652" s="0" t="n">
        <v>5.6</v>
      </c>
      <c r="D652" s="0" t="n">
        <v>9.45</v>
      </c>
      <c r="H652" s="0" t="n">
        <v>2.93</v>
      </c>
      <c r="I652" s="0" t="n">
        <v>668.16</v>
      </c>
      <c r="AB652" s="0" t="n">
        <v>3.38</v>
      </c>
      <c r="AC652" s="0" t="n">
        <v>4.33</v>
      </c>
      <c r="AH652" s="0" t="n">
        <v>12.55</v>
      </c>
    </row>
    <row r="653" customFormat="false" ht="14.25" hidden="false" customHeight="false" outlineLevel="0" collapsed="false">
      <c r="A653" s="0" t="n">
        <v>11.78</v>
      </c>
      <c r="B653" s="0" t="n">
        <v>2.78</v>
      </c>
      <c r="C653" s="0" t="n">
        <v>5.6</v>
      </c>
      <c r="D653" s="0" t="n">
        <v>9.42</v>
      </c>
      <c r="H653" s="0" t="n">
        <v>2.95</v>
      </c>
      <c r="I653" s="0" t="n">
        <v>668.15</v>
      </c>
      <c r="AB653" s="0" t="n">
        <v>3.36</v>
      </c>
      <c r="AC653" s="0" t="n">
        <v>4.33</v>
      </c>
      <c r="AH653" s="0" t="n">
        <v>12.57</v>
      </c>
    </row>
    <row r="654" customFormat="false" ht="14.25" hidden="false" customHeight="false" outlineLevel="0" collapsed="false">
      <c r="A654" s="0" t="n">
        <v>11.8</v>
      </c>
      <c r="B654" s="0" t="n">
        <v>2.78</v>
      </c>
      <c r="C654" s="0" t="n">
        <v>5.6</v>
      </c>
      <c r="D654" s="0" t="n">
        <v>9.43</v>
      </c>
      <c r="H654" s="0" t="n">
        <v>2.92</v>
      </c>
      <c r="I654" s="0" t="n">
        <v>668.12</v>
      </c>
      <c r="AB654" s="0" t="n">
        <v>3.36</v>
      </c>
      <c r="AC654" s="0" t="n">
        <v>4.31</v>
      </c>
      <c r="AH654" s="0" t="n">
        <v>12.54</v>
      </c>
    </row>
    <row r="655" customFormat="false" ht="14.25" hidden="false" customHeight="false" outlineLevel="0" collapsed="false">
      <c r="A655" s="0" t="n">
        <v>11.79</v>
      </c>
      <c r="B655" s="0" t="n">
        <v>2.78</v>
      </c>
      <c r="C655" s="0" t="n">
        <v>5.6</v>
      </c>
      <c r="D655" s="0" t="n">
        <v>9.48</v>
      </c>
      <c r="H655" s="0" t="n">
        <v>2.93</v>
      </c>
      <c r="I655" s="0" t="n">
        <v>668.12</v>
      </c>
      <c r="AB655" s="0" t="n">
        <v>3.36</v>
      </c>
      <c r="AC655" s="0" t="n">
        <v>4.27</v>
      </c>
      <c r="AH655" s="0" t="n">
        <v>12.54</v>
      </c>
    </row>
    <row r="656" customFormat="false" ht="14.25" hidden="false" customHeight="false" outlineLevel="0" collapsed="false">
      <c r="A656" s="0" t="n">
        <v>11.78</v>
      </c>
      <c r="B656" s="0" t="n">
        <v>2.79</v>
      </c>
      <c r="C656" s="0" t="n">
        <v>5.6</v>
      </c>
      <c r="D656" s="0" t="n">
        <v>9.47</v>
      </c>
      <c r="H656" s="0" t="n">
        <v>2.94</v>
      </c>
      <c r="I656" s="0" t="n">
        <v>668.12</v>
      </c>
      <c r="AB656" s="0" t="n">
        <v>3.37</v>
      </c>
      <c r="AC656" s="0" t="n">
        <v>4.25</v>
      </c>
      <c r="AH656" s="0" t="n">
        <v>12.54</v>
      </c>
    </row>
    <row r="657" customFormat="false" ht="14.25" hidden="false" customHeight="false" outlineLevel="0" collapsed="false">
      <c r="A657" s="0" t="n">
        <v>11.77</v>
      </c>
      <c r="B657" s="0" t="n">
        <v>2.79</v>
      </c>
      <c r="C657" s="0" t="n">
        <v>5.61</v>
      </c>
      <c r="D657" s="0" t="n">
        <v>9.49</v>
      </c>
      <c r="H657" s="0" t="n">
        <v>2.92</v>
      </c>
      <c r="I657" s="0" t="n">
        <v>668.12</v>
      </c>
      <c r="AB657" s="0" t="n">
        <v>3.37</v>
      </c>
      <c r="AC657" s="0" t="n">
        <v>4.27</v>
      </c>
      <c r="AH657" s="0" t="n">
        <v>12.54</v>
      </c>
    </row>
    <row r="658" customFormat="false" ht="14.25" hidden="false" customHeight="false" outlineLevel="0" collapsed="false">
      <c r="A658" s="0" t="n">
        <v>11.8</v>
      </c>
      <c r="B658" s="0" t="n">
        <v>2.79</v>
      </c>
      <c r="C658" s="0" t="n">
        <v>5.61</v>
      </c>
      <c r="D658" s="0" t="n">
        <v>9.48</v>
      </c>
      <c r="H658" s="0" t="n">
        <v>2.93</v>
      </c>
      <c r="I658" s="0" t="n">
        <v>668.12</v>
      </c>
      <c r="AB658" s="0" t="n">
        <v>3.38</v>
      </c>
      <c r="AC658" s="0" t="n">
        <v>4.23</v>
      </c>
      <c r="AH658" s="0" t="n">
        <v>12.55</v>
      </c>
    </row>
    <row r="659" customFormat="false" ht="14.25" hidden="false" customHeight="false" outlineLevel="0" collapsed="false">
      <c r="A659" s="0" t="n">
        <v>11.79</v>
      </c>
      <c r="B659" s="0" t="n">
        <v>2.79</v>
      </c>
      <c r="C659" s="0" t="n">
        <v>5.61</v>
      </c>
      <c r="D659" s="0" t="n">
        <v>9.48</v>
      </c>
      <c r="H659" s="0" t="n">
        <v>2.93</v>
      </c>
      <c r="I659" s="0" t="n">
        <v>668.14</v>
      </c>
      <c r="AB659" s="0" t="n">
        <v>3.39</v>
      </c>
      <c r="AC659" s="0" t="n">
        <v>4.22</v>
      </c>
      <c r="AH659" s="0" t="n">
        <v>12.53</v>
      </c>
    </row>
    <row r="660" customFormat="false" ht="14.25" hidden="false" customHeight="false" outlineLevel="0" collapsed="false">
      <c r="A660" s="0" t="n">
        <v>11.78</v>
      </c>
      <c r="B660" s="0" t="n">
        <v>2.78</v>
      </c>
      <c r="C660" s="0" t="n">
        <v>5.61</v>
      </c>
      <c r="D660" s="0" t="n">
        <v>9.49</v>
      </c>
      <c r="H660" s="0" t="n">
        <v>2.93</v>
      </c>
      <c r="I660" s="0" t="n">
        <v>668.17</v>
      </c>
      <c r="AB660" s="0" t="n">
        <v>3.38</v>
      </c>
      <c r="AC660" s="0" t="n">
        <v>4.21</v>
      </c>
      <c r="AH660" s="0" t="n">
        <v>12.55</v>
      </c>
    </row>
    <row r="661" customFormat="false" ht="14.25" hidden="false" customHeight="false" outlineLevel="0" collapsed="false">
      <c r="A661" s="0" t="n">
        <v>11.77</v>
      </c>
      <c r="B661" s="0" t="n">
        <v>2.8</v>
      </c>
      <c r="C661" s="0" t="n">
        <v>5.6</v>
      </c>
      <c r="D661" s="0" t="n">
        <v>9.47</v>
      </c>
      <c r="H661" s="0" t="n">
        <v>2.94</v>
      </c>
      <c r="I661" s="0" t="n">
        <v>668.14</v>
      </c>
      <c r="AB661" s="0" t="n">
        <v>3.37</v>
      </c>
      <c r="AC661" s="0" t="n">
        <v>4.19</v>
      </c>
      <c r="AH661" s="0" t="n">
        <v>12.55</v>
      </c>
    </row>
    <row r="662" customFormat="false" ht="14.25" hidden="false" customHeight="false" outlineLevel="0" collapsed="false">
      <c r="A662" s="0" t="n">
        <v>11.77</v>
      </c>
      <c r="B662" s="0" t="n">
        <v>2.8</v>
      </c>
      <c r="C662" s="0" t="n">
        <v>5.6</v>
      </c>
      <c r="D662" s="0" t="n">
        <v>9.45</v>
      </c>
      <c r="H662" s="0" t="n">
        <v>2.91</v>
      </c>
      <c r="I662" s="0" t="n">
        <v>668.15</v>
      </c>
      <c r="AB662" s="0" t="n">
        <v>3.38</v>
      </c>
      <c r="AC662" s="0" t="n">
        <v>4.19</v>
      </c>
      <c r="AH662" s="0" t="n">
        <v>12.55</v>
      </c>
    </row>
    <row r="663" customFormat="false" ht="14.25" hidden="false" customHeight="false" outlineLevel="0" collapsed="false">
      <c r="A663" s="0" t="n">
        <v>11.77</v>
      </c>
      <c r="B663" s="0" t="n">
        <v>2.78</v>
      </c>
      <c r="C663" s="0" t="n">
        <v>5.6</v>
      </c>
      <c r="D663" s="0" t="n">
        <v>9.46</v>
      </c>
      <c r="H663" s="0" t="n">
        <v>2.93</v>
      </c>
      <c r="I663" s="0" t="n">
        <v>668.17</v>
      </c>
      <c r="AB663" s="0" t="n">
        <v>3.36</v>
      </c>
      <c r="AC663" s="0" t="n">
        <v>4.17</v>
      </c>
      <c r="AH663" s="0" t="n">
        <v>12.56</v>
      </c>
    </row>
    <row r="664" customFormat="false" ht="14.25" hidden="false" customHeight="false" outlineLevel="0" collapsed="false">
      <c r="A664" s="0" t="n">
        <v>11.78</v>
      </c>
      <c r="B664" s="0" t="n">
        <v>2.81</v>
      </c>
      <c r="D664" s="0" t="n">
        <v>9.47</v>
      </c>
      <c r="H664" s="0" t="n">
        <v>2.95</v>
      </c>
      <c r="I664" s="0" t="n">
        <v>668.18</v>
      </c>
      <c r="AB664" s="0" t="n">
        <v>3.38</v>
      </c>
      <c r="AC664" s="0" t="n">
        <v>4.19</v>
      </c>
      <c r="AH664" s="0" t="n">
        <v>12.55</v>
      </c>
    </row>
    <row r="665" customFormat="false" ht="14.25" hidden="false" customHeight="false" outlineLevel="0" collapsed="false">
      <c r="A665" s="0" t="n">
        <v>11.78</v>
      </c>
      <c r="B665" s="0" t="n">
        <v>2.8</v>
      </c>
      <c r="D665" s="0" t="n">
        <v>9.45</v>
      </c>
      <c r="H665" s="0" t="n">
        <v>2.93</v>
      </c>
      <c r="I665" s="0" t="n">
        <v>668.17</v>
      </c>
      <c r="AB665" s="0" t="n">
        <v>3.39</v>
      </c>
      <c r="AC665" s="0" t="n">
        <v>4.21</v>
      </c>
      <c r="AH665" s="0" t="n">
        <v>12.55</v>
      </c>
    </row>
    <row r="666" customFormat="false" ht="14.25" hidden="false" customHeight="false" outlineLevel="0" collapsed="false">
      <c r="A666" s="0" t="n">
        <v>11.78</v>
      </c>
      <c r="D666" s="0" t="n">
        <v>9.44</v>
      </c>
      <c r="H666" s="0" t="n">
        <v>2.93</v>
      </c>
      <c r="I666" s="0" t="n">
        <v>668.16</v>
      </c>
      <c r="AB666" s="0" t="n">
        <v>3.39</v>
      </c>
      <c r="AC666" s="0" t="n">
        <v>4.19</v>
      </c>
      <c r="AH666" s="0" t="n">
        <v>12.55</v>
      </c>
    </row>
    <row r="667" customFormat="false" ht="14.25" hidden="false" customHeight="false" outlineLevel="0" collapsed="false">
      <c r="A667" s="0" t="n">
        <v>11.79</v>
      </c>
      <c r="D667" s="0" t="n">
        <v>9.44</v>
      </c>
      <c r="H667" s="0" t="n">
        <v>2.93</v>
      </c>
      <c r="I667" s="0" t="n">
        <v>668.18</v>
      </c>
      <c r="AB667" s="0" t="n">
        <v>3.4</v>
      </c>
      <c r="AC667" s="0" t="n">
        <v>4.19</v>
      </c>
      <c r="AH667" s="0" t="n">
        <v>12.55</v>
      </c>
    </row>
    <row r="668" customFormat="false" ht="14.25" hidden="false" customHeight="false" outlineLevel="0" collapsed="false">
      <c r="A668" s="0" t="n">
        <v>11.77</v>
      </c>
      <c r="D668" s="0" t="n">
        <v>9.46</v>
      </c>
      <c r="H668" s="0" t="n">
        <v>2.92</v>
      </c>
      <c r="I668" s="0" t="n">
        <v>668.19</v>
      </c>
      <c r="AB668" s="0" t="n">
        <v>3.35</v>
      </c>
      <c r="AC668" s="0" t="n">
        <v>4.18</v>
      </c>
      <c r="AH668" s="0" t="n">
        <v>12.55</v>
      </c>
    </row>
    <row r="669" customFormat="false" ht="14.25" hidden="false" customHeight="false" outlineLevel="0" collapsed="false">
      <c r="H669" s="0" t="n">
        <v>2.93</v>
      </c>
      <c r="I669" s="0" t="n">
        <v>668.19</v>
      </c>
      <c r="AB669" s="0" t="n">
        <v>3.32</v>
      </c>
      <c r="AC669" s="0" t="n">
        <v>4.17</v>
      </c>
      <c r="AH669" s="0" t="n">
        <v>12.56</v>
      </c>
    </row>
    <row r="670" customFormat="false" ht="14.25" hidden="false" customHeight="false" outlineLevel="0" collapsed="false">
      <c r="H670" s="0" t="n">
        <v>2.92</v>
      </c>
      <c r="I670" s="0" t="n">
        <v>668.16</v>
      </c>
      <c r="AB670" s="0" t="n">
        <v>3.33</v>
      </c>
      <c r="AC670" s="0" t="n">
        <v>4.15</v>
      </c>
      <c r="AH670" s="0" t="n">
        <v>12.56</v>
      </c>
    </row>
    <row r="671" customFormat="false" ht="14.25" hidden="false" customHeight="false" outlineLevel="0" collapsed="false">
      <c r="H671" s="0" t="n">
        <v>2.93</v>
      </c>
      <c r="I671" s="0" t="n">
        <v>668.16</v>
      </c>
      <c r="AB671" s="0" t="n">
        <v>3.33</v>
      </c>
      <c r="AC671" s="0" t="n">
        <v>4.07</v>
      </c>
      <c r="AH671" s="0" t="n">
        <v>12.56</v>
      </c>
    </row>
    <row r="672" customFormat="false" ht="14.25" hidden="false" customHeight="false" outlineLevel="0" collapsed="false">
      <c r="H672" s="0" t="n">
        <v>2.93</v>
      </c>
      <c r="I672" s="0" t="n">
        <v>668.16</v>
      </c>
      <c r="AB672" s="0" t="n">
        <v>3.34</v>
      </c>
      <c r="AC672" s="0" t="n">
        <v>3.99</v>
      </c>
      <c r="AH672" s="0" t="n">
        <v>12.57</v>
      </c>
    </row>
    <row r="673" customFormat="false" ht="14.25" hidden="false" customHeight="false" outlineLevel="0" collapsed="false">
      <c r="H673" s="0" t="n">
        <v>2.93</v>
      </c>
      <c r="I673" s="0" t="n">
        <v>668.16</v>
      </c>
      <c r="AB673" s="0" t="n">
        <v>3.32</v>
      </c>
      <c r="AC673" s="0" t="n">
        <v>3.99</v>
      </c>
      <c r="AH673" s="0" t="n">
        <v>12.57</v>
      </c>
    </row>
    <row r="674" customFormat="false" ht="14.25" hidden="false" customHeight="false" outlineLevel="0" collapsed="false">
      <c r="H674" s="0" t="n">
        <v>2.93</v>
      </c>
      <c r="I674" s="0" t="n">
        <v>668.15</v>
      </c>
      <c r="AB674" s="0" t="n">
        <v>3.37</v>
      </c>
      <c r="AC674" s="0" t="n">
        <v>3.99</v>
      </c>
      <c r="AH674" s="0" t="n">
        <v>12.58</v>
      </c>
    </row>
    <row r="675" customFormat="false" ht="14.25" hidden="false" customHeight="false" outlineLevel="0" collapsed="false">
      <c r="H675" s="0" t="n">
        <v>2.93</v>
      </c>
      <c r="AB675" s="0" t="n">
        <v>3.27</v>
      </c>
      <c r="AC675" s="0" t="n">
        <v>3.99</v>
      </c>
      <c r="AH675" s="0" t="n">
        <v>12.58</v>
      </c>
    </row>
    <row r="676" customFormat="false" ht="14.25" hidden="false" customHeight="false" outlineLevel="0" collapsed="false">
      <c r="H676" s="0" t="n">
        <v>2.93</v>
      </c>
      <c r="AB676" s="0" t="n">
        <v>3.29</v>
      </c>
      <c r="AC676" s="0" t="n">
        <v>4.01</v>
      </c>
      <c r="AH676" s="0" t="n">
        <v>12.57</v>
      </c>
    </row>
    <row r="677" customFormat="false" ht="14.25" hidden="false" customHeight="false" outlineLevel="0" collapsed="false">
      <c r="H677" s="0" t="n">
        <v>2.93</v>
      </c>
      <c r="AB677" s="0" t="n">
        <v>3.27</v>
      </c>
      <c r="AC677" s="0" t="n">
        <v>4.01</v>
      </c>
      <c r="AH677" s="0" t="n">
        <v>12.58</v>
      </c>
    </row>
    <row r="678" customFormat="false" ht="14.25" hidden="false" customHeight="false" outlineLevel="0" collapsed="false">
      <c r="H678" s="0" t="n">
        <v>2.93</v>
      </c>
      <c r="AB678" s="0" t="n">
        <v>3.26</v>
      </c>
      <c r="AC678" s="0" t="n">
        <v>4.03</v>
      </c>
      <c r="AH678" s="0" t="n">
        <v>12.59</v>
      </c>
    </row>
    <row r="679" customFormat="false" ht="14.25" hidden="false" customHeight="false" outlineLevel="0" collapsed="false">
      <c r="H679" s="0" t="n">
        <v>2.93</v>
      </c>
      <c r="AB679" s="0" t="n">
        <v>3.24</v>
      </c>
      <c r="AC679" s="0" t="n">
        <v>4</v>
      </c>
      <c r="AH679" s="0" t="n">
        <v>12.6</v>
      </c>
    </row>
    <row r="680" customFormat="false" ht="14.25" hidden="false" customHeight="false" outlineLevel="0" collapsed="false">
      <c r="H680" s="0" t="n">
        <v>2.92</v>
      </c>
      <c r="AB680" s="0" t="n">
        <v>3.23</v>
      </c>
      <c r="AC680" s="0" t="n">
        <v>4.02</v>
      </c>
      <c r="AH680" s="0" t="n">
        <v>12.59</v>
      </c>
    </row>
    <row r="681" customFormat="false" ht="14.25" hidden="false" customHeight="false" outlineLevel="0" collapsed="false">
      <c r="H681" s="0" t="n">
        <v>2.93</v>
      </c>
      <c r="AB681" s="0" t="n">
        <v>3.24</v>
      </c>
      <c r="AC681" s="0" t="n">
        <v>4.01</v>
      </c>
      <c r="AH681" s="0" t="n">
        <v>12.59</v>
      </c>
    </row>
    <row r="682" customFormat="false" ht="14.25" hidden="false" customHeight="false" outlineLevel="0" collapsed="false">
      <c r="H682" s="0" t="n">
        <v>2.92</v>
      </c>
      <c r="AB682" s="0" t="n">
        <v>3.23</v>
      </c>
      <c r="AC682" s="0" t="n">
        <v>4.03</v>
      </c>
      <c r="AH682" s="0" t="n">
        <v>12.61</v>
      </c>
    </row>
    <row r="683" customFormat="false" ht="14.25" hidden="false" customHeight="false" outlineLevel="0" collapsed="false">
      <c r="H683" s="0" t="n">
        <v>2.93</v>
      </c>
      <c r="AB683" s="0" t="n">
        <v>3.15</v>
      </c>
      <c r="AC683" s="0" t="n">
        <v>4.01</v>
      </c>
      <c r="AH683" s="0" t="n">
        <v>12.59</v>
      </c>
    </row>
    <row r="684" customFormat="false" ht="14.25" hidden="false" customHeight="false" outlineLevel="0" collapsed="false">
      <c r="H684" s="0" t="n">
        <v>2.93</v>
      </c>
      <c r="AB684" s="0" t="n">
        <v>3.18</v>
      </c>
      <c r="AC684" s="0" t="n">
        <v>4.02</v>
      </c>
      <c r="AH684" s="0" t="n">
        <v>12.61</v>
      </c>
    </row>
    <row r="685" customFormat="false" ht="14.25" hidden="false" customHeight="false" outlineLevel="0" collapsed="false">
      <c r="H685" s="0" t="n">
        <v>2.92</v>
      </c>
      <c r="AB685" s="0" t="n">
        <v>3.15</v>
      </c>
      <c r="AC685" s="0" t="n">
        <v>4.03</v>
      </c>
      <c r="AH685" s="0" t="n">
        <v>12.62</v>
      </c>
    </row>
    <row r="686" customFormat="false" ht="14.25" hidden="false" customHeight="false" outlineLevel="0" collapsed="false">
      <c r="H686" s="0" t="n">
        <v>2.93</v>
      </c>
      <c r="AB686" s="0" t="n">
        <v>2.94</v>
      </c>
      <c r="AC686" s="0" t="n">
        <v>4.03</v>
      </c>
      <c r="AH686" s="0" t="n">
        <v>12.63</v>
      </c>
    </row>
    <row r="687" customFormat="false" ht="14.25" hidden="false" customHeight="false" outlineLevel="0" collapsed="false">
      <c r="H687" s="0" t="n">
        <v>2.92</v>
      </c>
      <c r="AB687" s="0" t="n">
        <v>2.93</v>
      </c>
      <c r="AC687" s="0" t="n">
        <v>4.03</v>
      </c>
      <c r="AH687" s="0" t="n">
        <v>12.63</v>
      </c>
    </row>
    <row r="688" customFormat="false" ht="14.25" hidden="false" customHeight="false" outlineLevel="0" collapsed="false">
      <c r="H688" s="0" t="n">
        <v>2.93</v>
      </c>
      <c r="AB688" s="0" t="n">
        <v>2.95</v>
      </c>
      <c r="AC688" s="0" t="n">
        <v>4.02</v>
      </c>
      <c r="AH688" s="0" t="n">
        <v>12.63</v>
      </c>
    </row>
    <row r="689" customFormat="false" ht="14.25" hidden="false" customHeight="false" outlineLevel="0" collapsed="false">
      <c r="H689" s="0" t="n">
        <v>2.92</v>
      </c>
      <c r="AB689" s="0" t="n">
        <v>2.95</v>
      </c>
      <c r="AC689" s="0" t="n">
        <v>4.03</v>
      </c>
      <c r="AH689" s="0" t="n">
        <v>12.63</v>
      </c>
    </row>
    <row r="690" customFormat="false" ht="14.25" hidden="false" customHeight="false" outlineLevel="0" collapsed="false">
      <c r="H690" s="0" t="n">
        <v>2.93</v>
      </c>
      <c r="AB690" s="0" t="n">
        <v>2.9</v>
      </c>
      <c r="AC690" s="0" t="n">
        <v>4.03</v>
      </c>
      <c r="AH690" s="0" t="n">
        <v>12.65</v>
      </c>
    </row>
    <row r="691" customFormat="false" ht="14.25" hidden="false" customHeight="false" outlineLevel="0" collapsed="false">
      <c r="H691" s="0" t="n">
        <v>2.93</v>
      </c>
      <c r="AB691" s="0" t="n">
        <v>2.97</v>
      </c>
      <c r="AC691" s="0" t="n">
        <v>4.05</v>
      </c>
      <c r="AH691" s="0" t="n">
        <v>12.65</v>
      </c>
    </row>
    <row r="692" customFormat="false" ht="14.25" hidden="false" customHeight="false" outlineLevel="0" collapsed="false">
      <c r="H692" s="0" t="n">
        <v>2.93</v>
      </c>
      <c r="AB692" s="0" t="n">
        <v>2.94</v>
      </c>
      <c r="AC692" s="0" t="n">
        <v>4.05</v>
      </c>
      <c r="AH692" s="0" t="n">
        <v>12.65</v>
      </c>
    </row>
    <row r="693" customFormat="false" ht="14.25" hidden="false" customHeight="false" outlineLevel="0" collapsed="false">
      <c r="H693" s="0" t="n">
        <v>2.93</v>
      </c>
      <c r="AB693" s="0" t="n">
        <v>2.97</v>
      </c>
      <c r="AC693" s="0" t="n">
        <v>4.05</v>
      </c>
      <c r="AH693" s="0" t="n">
        <v>12.66</v>
      </c>
    </row>
    <row r="694" customFormat="false" ht="14.25" hidden="false" customHeight="false" outlineLevel="0" collapsed="false">
      <c r="H694" s="0" t="n">
        <v>2.93</v>
      </c>
      <c r="AB694" s="0" t="n">
        <v>2.96</v>
      </c>
      <c r="AC694" s="0" t="n">
        <v>4.05</v>
      </c>
      <c r="AH694" s="0" t="n">
        <v>12.66</v>
      </c>
    </row>
    <row r="695" customFormat="false" ht="14.25" hidden="false" customHeight="false" outlineLevel="0" collapsed="false">
      <c r="H695" s="0" t="n">
        <v>2.93</v>
      </c>
      <c r="AB695" s="0" t="n">
        <v>2.97</v>
      </c>
      <c r="AC695" s="0" t="n">
        <v>4.01</v>
      </c>
      <c r="AH695" s="0" t="n">
        <v>12.67</v>
      </c>
    </row>
    <row r="696" customFormat="false" ht="14.25" hidden="false" customHeight="false" outlineLevel="0" collapsed="false">
      <c r="H696" s="0" t="n">
        <v>2.94</v>
      </c>
      <c r="AB696" s="0" t="n">
        <v>2.95</v>
      </c>
      <c r="AC696" s="0" t="n">
        <v>4.09</v>
      </c>
      <c r="AH696" s="0" t="n">
        <v>12.67</v>
      </c>
    </row>
    <row r="697" customFormat="false" ht="14.25" hidden="false" customHeight="false" outlineLevel="0" collapsed="false">
      <c r="H697" s="0" t="n">
        <v>2.94</v>
      </c>
      <c r="AB697" s="0" t="n">
        <v>2.93</v>
      </c>
      <c r="AC697" s="0" t="n">
        <v>4.05</v>
      </c>
      <c r="AH697" s="0" t="n">
        <v>12.68</v>
      </c>
    </row>
    <row r="698" customFormat="false" ht="14.25" hidden="false" customHeight="false" outlineLevel="0" collapsed="false">
      <c r="H698" s="0" t="n">
        <v>2.93</v>
      </c>
      <c r="AB698" s="0" t="n">
        <v>2.95</v>
      </c>
      <c r="AC698" s="0" t="n">
        <v>4.23</v>
      </c>
      <c r="AH698" s="0" t="n">
        <v>12.67</v>
      </c>
    </row>
    <row r="699" customFormat="false" ht="14.25" hidden="false" customHeight="false" outlineLevel="0" collapsed="false">
      <c r="H699" s="0" t="n">
        <v>2.93</v>
      </c>
      <c r="AB699" s="0" t="n">
        <v>2.92</v>
      </c>
      <c r="AC699" s="0" t="n">
        <v>4.1</v>
      </c>
      <c r="AH699" s="0" t="n">
        <v>12.68</v>
      </c>
    </row>
    <row r="700" customFormat="false" ht="14.25" hidden="false" customHeight="false" outlineLevel="0" collapsed="false">
      <c r="H700" s="0" t="n">
        <v>2.93</v>
      </c>
      <c r="AB700" s="0" t="n">
        <v>2.98</v>
      </c>
      <c r="AC700" s="0" t="n">
        <v>4.09</v>
      </c>
      <c r="AH700" s="0" t="n">
        <v>12.69</v>
      </c>
    </row>
    <row r="701" customFormat="false" ht="14.25" hidden="false" customHeight="false" outlineLevel="0" collapsed="false">
      <c r="H701" s="0" t="n">
        <v>2.93</v>
      </c>
      <c r="AB701" s="0" t="n">
        <v>2.96</v>
      </c>
      <c r="AC701" s="0" t="n">
        <v>4.21</v>
      </c>
      <c r="AH701" s="0" t="n">
        <v>12.69</v>
      </c>
    </row>
    <row r="702" customFormat="false" ht="14.25" hidden="false" customHeight="false" outlineLevel="0" collapsed="false">
      <c r="H702" s="0" t="n">
        <v>2.94</v>
      </c>
      <c r="AB702" s="0" t="n">
        <v>2.97</v>
      </c>
      <c r="AC702" s="0" t="n">
        <v>4.09</v>
      </c>
      <c r="AH702" s="0" t="n">
        <v>12.69</v>
      </c>
    </row>
    <row r="703" customFormat="false" ht="14.25" hidden="false" customHeight="false" outlineLevel="0" collapsed="false">
      <c r="H703" s="0" t="n">
        <v>2.93</v>
      </c>
      <c r="AB703" s="0" t="n">
        <v>2.96</v>
      </c>
      <c r="AC703" s="0" t="n">
        <v>4.09</v>
      </c>
      <c r="AH703" s="0" t="n">
        <v>12.69</v>
      </c>
    </row>
    <row r="704" customFormat="false" ht="14.25" hidden="false" customHeight="false" outlineLevel="0" collapsed="false">
      <c r="H704" s="0" t="n">
        <v>2.94</v>
      </c>
      <c r="AB704" s="0" t="n">
        <v>2.97</v>
      </c>
      <c r="AC704" s="0" t="n">
        <v>4.1</v>
      </c>
      <c r="AH704" s="0" t="n">
        <v>12.68</v>
      </c>
    </row>
    <row r="705" customFormat="false" ht="14.25" hidden="false" customHeight="false" outlineLevel="0" collapsed="false">
      <c r="H705" s="0" t="n">
        <v>2.94</v>
      </c>
      <c r="AB705" s="0" t="n">
        <v>2.96</v>
      </c>
      <c r="AC705" s="0" t="n">
        <v>4.11</v>
      </c>
      <c r="AH705" s="0" t="n">
        <v>12.69</v>
      </c>
    </row>
    <row r="706" customFormat="false" ht="14.25" hidden="false" customHeight="false" outlineLevel="0" collapsed="false">
      <c r="H706" s="0" t="n">
        <v>2.95</v>
      </c>
      <c r="AB706" s="0" t="n">
        <v>2.96</v>
      </c>
      <c r="AC706" s="0" t="n">
        <v>4.13</v>
      </c>
      <c r="AH706" s="0" t="n">
        <v>12.7</v>
      </c>
    </row>
    <row r="707" customFormat="false" ht="14.25" hidden="false" customHeight="false" outlineLevel="0" collapsed="false">
      <c r="H707" s="0" t="n">
        <v>2.94</v>
      </c>
      <c r="AB707" s="0" t="n">
        <v>2.97</v>
      </c>
      <c r="AC707" s="0" t="n">
        <v>4.14</v>
      </c>
      <c r="AH707" s="0" t="n">
        <v>12.7</v>
      </c>
    </row>
    <row r="708" customFormat="false" ht="14.25" hidden="false" customHeight="false" outlineLevel="0" collapsed="false">
      <c r="H708" s="0" t="n">
        <v>2.95</v>
      </c>
      <c r="AB708" s="0" t="n">
        <v>2.97</v>
      </c>
      <c r="AC708" s="0" t="n">
        <v>4.02</v>
      </c>
      <c r="AH708" s="0" t="n">
        <v>12.7</v>
      </c>
    </row>
    <row r="709" customFormat="false" ht="14.25" hidden="false" customHeight="false" outlineLevel="0" collapsed="false">
      <c r="H709" s="0" t="n">
        <v>2.95</v>
      </c>
      <c r="AB709" s="0" t="n">
        <v>2.99</v>
      </c>
      <c r="AC709" s="0" t="n">
        <v>4.14</v>
      </c>
      <c r="AH709" s="0" t="n">
        <v>12.72</v>
      </c>
    </row>
    <row r="710" customFormat="false" ht="14.25" hidden="false" customHeight="false" outlineLevel="0" collapsed="false">
      <c r="H710" s="0" t="n">
        <v>2.96</v>
      </c>
      <c r="AB710" s="0" t="n">
        <v>2.99</v>
      </c>
      <c r="AC710" s="0" t="n">
        <v>4.13</v>
      </c>
      <c r="AH710" s="0" t="n">
        <v>12.72</v>
      </c>
    </row>
    <row r="711" customFormat="false" ht="14.25" hidden="false" customHeight="false" outlineLevel="0" collapsed="false">
      <c r="H711" s="0" t="n">
        <v>2.95</v>
      </c>
      <c r="AB711" s="0" t="n">
        <v>2.99</v>
      </c>
      <c r="AC711" s="0" t="n">
        <v>4.11</v>
      </c>
      <c r="AH711" s="0" t="n">
        <v>12.71</v>
      </c>
    </row>
    <row r="712" customFormat="false" ht="14.25" hidden="false" customHeight="false" outlineLevel="0" collapsed="false">
      <c r="H712" s="0" t="n">
        <v>2.97</v>
      </c>
      <c r="AB712" s="0" t="n">
        <v>2.99</v>
      </c>
      <c r="AC712" s="0" t="n">
        <v>4.09</v>
      </c>
      <c r="AH712" s="0" t="n">
        <v>12.73</v>
      </c>
    </row>
    <row r="713" customFormat="false" ht="14.25" hidden="false" customHeight="false" outlineLevel="0" collapsed="false">
      <c r="H713" s="0" t="n">
        <v>2.96</v>
      </c>
      <c r="AB713" s="0" t="n">
        <v>2.98</v>
      </c>
      <c r="AH713" s="0" t="n">
        <v>12.71</v>
      </c>
    </row>
    <row r="714" customFormat="false" ht="14.25" hidden="false" customHeight="false" outlineLevel="0" collapsed="false">
      <c r="H714" s="0" t="n">
        <v>2.97</v>
      </c>
      <c r="AB714" s="0" t="n">
        <v>2.99</v>
      </c>
      <c r="AH714" s="0" t="n">
        <v>12.71</v>
      </c>
    </row>
    <row r="715" customFormat="false" ht="14.25" hidden="false" customHeight="false" outlineLevel="0" collapsed="false">
      <c r="H715" s="0" t="n">
        <v>2.98</v>
      </c>
      <c r="AB715" s="0" t="n">
        <v>2.98</v>
      </c>
      <c r="AH715" s="0" t="n">
        <v>12.71</v>
      </c>
    </row>
    <row r="716" customFormat="false" ht="14.25" hidden="false" customHeight="false" outlineLevel="0" collapsed="false">
      <c r="H716" s="0" t="n">
        <v>2.97</v>
      </c>
      <c r="AB716" s="0" t="n">
        <v>2.99</v>
      </c>
      <c r="AH716" s="0" t="n">
        <v>12.71</v>
      </c>
    </row>
    <row r="717" customFormat="false" ht="14.25" hidden="false" customHeight="false" outlineLevel="0" collapsed="false">
      <c r="H717" s="0" t="n">
        <v>2.96</v>
      </c>
      <c r="AB717" s="0" t="n">
        <v>2.99</v>
      </c>
      <c r="AH717" s="0" t="n">
        <v>12.72</v>
      </c>
    </row>
    <row r="718" customFormat="false" ht="14.25" hidden="false" customHeight="false" outlineLevel="0" collapsed="false">
      <c r="H718" s="0" t="n">
        <v>2.96</v>
      </c>
      <c r="AB718" s="0" t="n">
        <v>3</v>
      </c>
      <c r="AH718" s="0" t="n">
        <v>12.72</v>
      </c>
    </row>
    <row r="719" customFormat="false" ht="14.25" hidden="false" customHeight="false" outlineLevel="0" collapsed="false">
      <c r="H719" s="0" t="n">
        <v>2.96</v>
      </c>
      <c r="AB719" s="0" t="n">
        <v>3.01</v>
      </c>
      <c r="AH719" s="0" t="n">
        <v>12.73</v>
      </c>
    </row>
    <row r="720" customFormat="false" ht="14.25" hidden="false" customHeight="false" outlineLevel="0" collapsed="false">
      <c r="H720" s="0" t="n">
        <v>2.96</v>
      </c>
      <c r="AH720" s="0" t="n">
        <v>12.72</v>
      </c>
    </row>
    <row r="721" customFormat="false" ht="14.25" hidden="false" customHeight="false" outlineLevel="0" collapsed="false">
      <c r="H721" s="0" t="n">
        <v>2.97</v>
      </c>
      <c r="AH721" s="0" t="n">
        <v>12.71</v>
      </c>
    </row>
    <row r="722" customFormat="false" ht="14.25" hidden="false" customHeight="false" outlineLevel="0" collapsed="false">
      <c r="H722" s="0" t="n">
        <v>2.98</v>
      </c>
      <c r="AH722" s="0" t="n">
        <v>12.72</v>
      </c>
    </row>
    <row r="723" customFormat="false" ht="14.25" hidden="false" customHeight="false" outlineLevel="0" collapsed="false">
      <c r="H723" s="0" t="n">
        <v>2.97</v>
      </c>
      <c r="AH723" s="0" t="n">
        <v>12.72</v>
      </c>
    </row>
    <row r="724" customFormat="false" ht="14.25" hidden="false" customHeight="false" outlineLevel="0" collapsed="false">
      <c r="H724" s="0" t="n">
        <v>2.98</v>
      </c>
      <c r="AH724" s="0" t="n">
        <v>12.73</v>
      </c>
    </row>
    <row r="725" customFormat="false" ht="14.25" hidden="false" customHeight="false" outlineLevel="0" collapsed="false">
      <c r="H725" s="0" t="n">
        <v>2.98</v>
      </c>
      <c r="AH725" s="0" t="n">
        <v>12.72</v>
      </c>
    </row>
    <row r="726" customFormat="false" ht="14.25" hidden="false" customHeight="false" outlineLevel="0" collapsed="false">
      <c r="H726" s="0" t="n">
        <v>2.98</v>
      </c>
      <c r="AH726" s="0" t="n">
        <v>12.71</v>
      </c>
    </row>
    <row r="727" customFormat="false" ht="14.25" hidden="false" customHeight="false" outlineLevel="0" collapsed="false">
      <c r="H727" s="0" t="n">
        <v>2.98</v>
      </c>
      <c r="AH727" s="0" t="n">
        <v>12.71</v>
      </c>
    </row>
    <row r="728" customFormat="false" ht="14.25" hidden="false" customHeight="false" outlineLevel="0" collapsed="false">
      <c r="H728" s="0" t="n">
        <v>2.98</v>
      </c>
      <c r="AH728" s="0" t="n">
        <v>12.72</v>
      </c>
    </row>
    <row r="729" customFormat="false" ht="14.25" hidden="false" customHeight="false" outlineLevel="0" collapsed="false">
      <c r="H729" s="0" t="n">
        <v>2.98</v>
      </c>
      <c r="AH729" s="0" t="n">
        <v>12.71</v>
      </c>
    </row>
    <row r="730" customFormat="false" ht="14.25" hidden="false" customHeight="false" outlineLevel="0" collapsed="false">
      <c r="H730" s="0" t="n">
        <v>2.98</v>
      </c>
      <c r="AH730" s="0" t="n">
        <v>12.71</v>
      </c>
    </row>
    <row r="731" customFormat="false" ht="14.25" hidden="false" customHeight="false" outlineLevel="0" collapsed="false">
      <c r="H731" s="0" t="n">
        <v>2.98</v>
      </c>
      <c r="AH731" s="0" t="n">
        <v>12.72</v>
      </c>
    </row>
    <row r="732" customFormat="false" ht="14.25" hidden="false" customHeight="false" outlineLevel="0" collapsed="false">
      <c r="H732" s="0" t="n">
        <v>2.98</v>
      </c>
      <c r="AH732" s="0" t="n">
        <v>12.7</v>
      </c>
    </row>
    <row r="733" customFormat="false" ht="14.25" hidden="false" customHeight="false" outlineLevel="0" collapsed="false">
      <c r="H733" s="0" t="n">
        <v>2.99</v>
      </c>
      <c r="AH733" s="0" t="n">
        <v>12.7</v>
      </c>
    </row>
    <row r="734" customFormat="false" ht="14.25" hidden="false" customHeight="false" outlineLevel="0" collapsed="false">
      <c r="H734" s="0" t="n">
        <v>2.98</v>
      </c>
      <c r="AH734" s="0" t="n">
        <v>12.69</v>
      </c>
    </row>
    <row r="735" customFormat="false" ht="14.25" hidden="false" customHeight="false" outlineLevel="0" collapsed="false">
      <c r="H735" s="0" t="n">
        <v>2.98</v>
      </c>
      <c r="AH735" s="0" t="n">
        <v>12.69</v>
      </c>
    </row>
    <row r="736" customFormat="false" ht="14.25" hidden="false" customHeight="false" outlineLevel="0" collapsed="false">
      <c r="H736" s="0" t="n">
        <v>2.99</v>
      </c>
      <c r="AH736" s="0" t="n">
        <v>12.68</v>
      </c>
    </row>
    <row r="737" customFormat="false" ht="14.25" hidden="false" customHeight="false" outlineLevel="0" collapsed="false">
      <c r="H737" s="0" t="n">
        <v>2.98</v>
      </c>
      <c r="AH737" s="0" t="n">
        <v>12.69</v>
      </c>
    </row>
    <row r="738" customFormat="false" ht="14.25" hidden="false" customHeight="false" outlineLevel="0" collapsed="false">
      <c r="H738" s="0" t="n">
        <v>2.99</v>
      </c>
      <c r="AH738" s="0" t="n">
        <v>12.7</v>
      </c>
    </row>
    <row r="739" customFormat="false" ht="14.25" hidden="false" customHeight="false" outlineLevel="0" collapsed="false">
      <c r="H739" s="0" t="n">
        <v>2.99</v>
      </c>
      <c r="AH739" s="0" t="n">
        <v>12.68</v>
      </c>
    </row>
    <row r="740" customFormat="false" ht="14.25" hidden="false" customHeight="false" outlineLevel="0" collapsed="false">
      <c r="H740" s="0" t="n">
        <v>2.98</v>
      </c>
      <c r="AH740" s="0" t="n">
        <v>12.68</v>
      </c>
    </row>
    <row r="741" customFormat="false" ht="14.25" hidden="false" customHeight="false" outlineLevel="0" collapsed="false">
      <c r="H741" s="0" t="n">
        <v>2.98</v>
      </c>
      <c r="AH741" s="0" t="n">
        <v>12.66</v>
      </c>
    </row>
    <row r="742" customFormat="false" ht="14.25" hidden="false" customHeight="false" outlineLevel="0" collapsed="false">
      <c r="H742" s="0" t="n">
        <v>2.97</v>
      </c>
      <c r="AH742" s="0" t="n">
        <v>12.65</v>
      </c>
    </row>
    <row r="743" customFormat="false" ht="14.25" hidden="false" customHeight="false" outlineLevel="0" collapsed="false">
      <c r="H743" s="0" t="n">
        <v>2.99</v>
      </c>
      <c r="AH743" s="0" t="n">
        <v>12.65</v>
      </c>
    </row>
    <row r="744" customFormat="false" ht="14.25" hidden="false" customHeight="false" outlineLevel="0" collapsed="false">
      <c r="H744" s="0" t="n">
        <v>2.96</v>
      </c>
      <c r="AH744" s="0" t="n">
        <v>12.67</v>
      </c>
    </row>
    <row r="745" customFormat="false" ht="14.25" hidden="false" customHeight="false" outlineLevel="0" collapsed="false">
      <c r="H745" s="0" t="n">
        <v>2.97</v>
      </c>
      <c r="AH745" s="0" t="n">
        <v>12.65</v>
      </c>
    </row>
    <row r="746" customFormat="false" ht="14.25" hidden="false" customHeight="false" outlineLevel="0" collapsed="false">
      <c r="H746" s="0" t="n">
        <v>3</v>
      </c>
      <c r="AH746" s="0" t="n">
        <v>12.65</v>
      </c>
    </row>
    <row r="747" customFormat="false" ht="14.25" hidden="false" customHeight="false" outlineLevel="0" collapsed="false">
      <c r="H747" s="0" t="n">
        <v>2.96</v>
      </c>
      <c r="AH747" s="0" t="n">
        <v>12.62</v>
      </c>
    </row>
    <row r="748" customFormat="false" ht="14.25" hidden="false" customHeight="false" outlineLevel="0" collapsed="false">
      <c r="H748" s="0" t="n">
        <v>2.97</v>
      </c>
      <c r="AH748" s="0" t="n">
        <v>12.63</v>
      </c>
    </row>
    <row r="749" customFormat="false" ht="14.25" hidden="false" customHeight="false" outlineLevel="0" collapsed="false">
      <c r="H749" s="0" t="n">
        <v>2.96</v>
      </c>
      <c r="AH749" s="0" t="n">
        <v>12.64</v>
      </c>
    </row>
    <row r="750" customFormat="false" ht="14.25" hidden="false" customHeight="false" outlineLevel="0" collapsed="false">
      <c r="H750" s="0" t="n">
        <v>2.96</v>
      </c>
      <c r="AH750" s="0" t="n">
        <v>12.62</v>
      </c>
    </row>
    <row r="751" customFormat="false" ht="14.25" hidden="false" customHeight="false" outlineLevel="0" collapsed="false">
      <c r="H751" s="0" t="n">
        <v>2.99</v>
      </c>
      <c r="AH751" s="0" t="n">
        <v>12.63</v>
      </c>
    </row>
    <row r="752" customFormat="false" ht="14.25" hidden="false" customHeight="false" outlineLevel="0" collapsed="false">
      <c r="H752" s="0" t="n">
        <v>2.97</v>
      </c>
      <c r="AH752" s="0" t="n">
        <v>12.62</v>
      </c>
    </row>
    <row r="753" customFormat="false" ht="14.25" hidden="false" customHeight="false" outlineLevel="0" collapsed="false">
      <c r="H753" s="0" t="n">
        <v>2.99</v>
      </c>
      <c r="AH753" s="0" t="n">
        <v>12.61</v>
      </c>
    </row>
    <row r="754" customFormat="false" ht="14.25" hidden="false" customHeight="false" outlineLevel="0" collapsed="false">
      <c r="H754" s="0" t="n">
        <v>2.97</v>
      </c>
      <c r="AH754" s="0" t="n">
        <v>12.6</v>
      </c>
    </row>
    <row r="755" customFormat="false" ht="14.25" hidden="false" customHeight="false" outlineLevel="0" collapsed="false">
      <c r="H755" s="0" t="n">
        <v>2.96</v>
      </c>
      <c r="AH755" s="0" t="n">
        <v>12.59</v>
      </c>
    </row>
    <row r="756" customFormat="false" ht="14.25" hidden="false" customHeight="false" outlineLevel="0" collapsed="false">
      <c r="H756" s="0" t="n">
        <v>3</v>
      </c>
      <c r="AH756" s="0" t="n">
        <v>12.58</v>
      </c>
    </row>
    <row r="757" customFormat="false" ht="14.25" hidden="false" customHeight="false" outlineLevel="0" collapsed="false">
      <c r="H757" s="0" t="n">
        <v>3.01</v>
      </c>
      <c r="AH757" s="0" t="n">
        <v>12.59</v>
      </c>
    </row>
    <row r="758" customFormat="false" ht="14.25" hidden="false" customHeight="false" outlineLevel="0" collapsed="false">
      <c r="H758" s="0" t="n">
        <v>2.99</v>
      </c>
      <c r="AH758" s="0" t="n">
        <v>12.58</v>
      </c>
    </row>
    <row r="759" customFormat="false" ht="14.25" hidden="false" customHeight="false" outlineLevel="0" collapsed="false">
      <c r="H759" s="0" t="n">
        <v>2.97</v>
      </c>
      <c r="AH759" s="0" t="n">
        <v>12.58</v>
      </c>
    </row>
    <row r="760" customFormat="false" ht="14.25" hidden="false" customHeight="false" outlineLevel="0" collapsed="false">
      <c r="H760" s="0" t="n">
        <v>2.96</v>
      </c>
      <c r="AH760" s="0" t="n">
        <v>12.57</v>
      </c>
    </row>
    <row r="761" customFormat="false" ht="14.25" hidden="false" customHeight="false" outlineLevel="0" collapsed="false">
      <c r="H761" s="0" t="n">
        <v>2.97</v>
      </c>
      <c r="AH761" s="0" t="n">
        <v>12.56</v>
      </c>
    </row>
    <row r="762" customFormat="false" ht="14.25" hidden="false" customHeight="false" outlineLevel="0" collapsed="false">
      <c r="H762" s="0" t="n">
        <v>2.98</v>
      </c>
      <c r="AH762" s="0" t="n">
        <v>12.57</v>
      </c>
    </row>
    <row r="763" customFormat="false" ht="14.25" hidden="false" customHeight="false" outlineLevel="0" collapsed="false">
      <c r="H763" s="0" t="n">
        <v>2.97</v>
      </c>
      <c r="AH763" s="0" t="n">
        <v>12.55</v>
      </c>
    </row>
    <row r="764" customFormat="false" ht="14.25" hidden="false" customHeight="false" outlineLevel="0" collapsed="false">
      <c r="H764" s="0" t="n">
        <v>2.98</v>
      </c>
      <c r="AH764" s="0" t="n">
        <v>12.55</v>
      </c>
    </row>
    <row r="765" customFormat="false" ht="14.25" hidden="false" customHeight="false" outlineLevel="0" collapsed="false">
      <c r="H765" s="0" t="n">
        <v>2.97</v>
      </c>
      <c r="AH765" s="0" t="n">
        <v>12.55</v>
      </c>
    </row>
    <row r="766" customFormat="false" ht="14.25" hidden="false" customHeight="false" outlineLevel="0" collapsed="false">
      <c r="H766" s="0" t="n">
        <v>2.97</v>
      </c>
      <c r="AH766" s="0" t="n">
        <v>12.54</v>
      </c>
    </row>
    <row r="767" customFormat="false" ht="14.25" hidden="false" customHeight="false" outlineLevel="0" collapsed="false">
      <c r="H767" s="0" t="n">
        <v>2.97</v>
      </c>
      <c r="AH767" s="0" t="n">
        <v>12.54</v>
      </c>
    </row>
    <row r="768" customFormat="false" ht="14.25" hidden="false" customHeight="false" outlineLevel="0" collapsed="false">
      <c r="H768" s="0" t="n">
        <v>2.99</v>
      </c>
      <c r="AH768" s="0" t="n">
        <v>12.54</v>
      </c>
    </row>
    <row r="769" customFormat="false" ht="14.25" hidden="false" customHeight="false" outlineLevel="0" collapsed="false">
      <c r="H769" s="0" t="n">
        <v>2.98</v>
      </c>
      <c r="AH769" s="0" t="n">
        <v>12.53</v>
      </c>
    </row>
    <row r="770" customFormat="false" ht="14.25" hidden="false" customHeight="false" outlineLevel="0" collapsed="false">
      <c r="H770" s="0" t="n">
        <v>2.97</v>
      </c>
      <c r="AH770" s="0" t="n">
        <v>12.54</v>
      </c>
    </row>
    <row r="771" customFormat="false" ht="14.25" hidden="false" customHeight="false" outlineLevel="0" collapsed="false">
      <c r="H771" s="0" t="n">
        <v>2.97</v>
      </c>
      <c r="AH771" s="0" t="n">
        <v>12.52</v>
      </c>
    </row>
    <row r="772" customFormat="false" ht="14.25" hidden="false" customHeight="false" outlineLevel="0" collapsed="false">
      <c r="H772" s="0" t="n">
        <v>2.95</v>
      </c>
      <c r="AH772" s="0" t="n">
        <v>12.52</v>
      </c>
    </row>
    <row r="773" customFormat="false" ht="14.25" hidden="false" customHeight="false" outlineLevel="0" collapsed="false">
      <c r="H773" s="0" t="n">
        <v>2.92</v>
      </c>
      <c r="AH773" s="0" t="n">
        <v>12.53</v>
      </c>
    </row>
    <row r="774" customFormat="false" ht="14.25" hidden="false" customHeight="false" outlineLevel="0" collapsed="false">
      <c r="H774" s="0" t="n">
        <v>2.96</v>
      </c>
      <c r="AH774" s="0" t="n">
        <v>12.51</v>
      </c>
    </row>
    <row r="775" customFormat="false" ht="14.25" hidden="false" customHeight="false" outlineLevel="0" collapsed="false">
      <c r="H775" s="0" t="n">
        <v>2.97</v>
      </c>
      <c r="AH775" s="0" t="n">
        <v>12.52</v>
      </c>
    </row>
    <row r="776" customFormat="false" ht="14.25" hidden="false" customHeight="false" outlineLevel="0" collapsed="false">
      <c r="H776" s="0" t="n">
        <v>2.98</v>
      </c>
      <c r="AH776" s="0" t="n">
        <v>12.49</v>
      </c>
    </row>
    <row r="777" customFormat="false" ht="14.25" hidden="false" customHeight="false" outlineLevel="0" collapsed="false">
      <c r="H777" s="0" t="n">
        <v>2.98</v>
      </c>
      <c r="AH777" s="0" t="n">
        <v>12.5</v>
      </c>
    </row>
    <row r="778" customFormat="false" ht="14.25" hidden="false" customHeight="false" outlineLevel="0" collapsed="false">
      <c r="H778" s="0" t="n">
        <v>2.97</v>
      </c>
      <c r="AH778" s="0" t="n">
        <v>12.51</v>
      </c>
    </row>
    <row r="779" customFormat="false" ht="14.25" hidden="false" customHeight="false" outlineLevel="0" collapsed="false">
      <c r="H779" s="0" t="n">
        <v>2.97</v>
      </c>
      <c r="AH779" s="0" t="n">
        <v>12.51</v>
      </c>
    </row>
    <row r="780" customFormat="false" ht="14.25" hidden="false" customHeight="false" outlineLevel="0" collapsed="false">
      <c r="H780" s="0" t="n">
        <v>2.97</v>
      </c>
      <c r="AH780" s="0" t="n">
        <v>12.49</v>
      </c>
    </row>
    <row r="781" customFormat="false" ht="14.25" hidden="false" customHeight="false" outlineLevel="0" collapsed="false">
      <c r="H781" s="0" t="n">
        <v>2.96</v>
      </c>
      <c r="AH781" s="0" t="n">
        <v>12.5</v>
      </c>
    </row>
    <row r="782" customFormat="false" ht="14.25" hidden="false" customHeight="false" outlineLevel="0" collapsed="false">
      <c r="H782" s="0" t="n">
        <v>2.97</v>
      </c>
      <c r="AH782" s="0" t="n">
        <v>12.48</v>
      </c>
    </row>
    <row r="783" customFormat="false" ht="14.25" hidden="false" customHeight="false" outlineLevel="0" collapsed="false">
      <c r="H783" s="0" t="n">
        <v>2.98</v>
      </c>
      <c r="AH783" s="0" t="n">
        <v>12.48</v>
      </c>
    </row>
    <row r="784" customFormat="false" ht="14.25" hidden="false" customHeight="false" outlineLevel="0" collapsed="false">
      <c r="H784" s="0" t="n">
        <v>2.96</v>
      </c>
      <c r="AH784" s="0" t="n">
        <v>12.48</v>
      </c>
    </row>
    <row r="785" customFormat="false" ht="14.25" hidden="false" customHeight="false" outlineLevel="0" collapsed="false">
      <c r="H785" s="0" t="n">
        <v>2.97</v>
      </c>
      <c r="AH785" s="0" t="n">
        <v>12.47</v>
      </c>
    </row>
    <row r="786" customFormat="false" ht="14.25" hidden="false" customHeight="false" outlineLevel="0" collapsed="false">
      <c r="H786" s="0" t="n">
        <v>2.98</v>
      </c>
      <c r="AH786" s="0" t="n">
        <v>12.47</v>
      </c>
    </row>
    <row r="787" customFormat="false" ht="14.25" hidden="false" customHeight="false" outlineLevel="0" collapsed="false">
      <c r="H787" s="0" t="n">
        <v>2.99</v>
      </c>
      <c r="AH787" s="0" t="n">
        <v>12.48</v>
      </c>
    </row>
    <row r="788" customFormat="false" ht="14.25" hidden="false" customHeight="false" outlineLevel="0" collapsed="false">
      <c r="H788" s="0" t="n">
        <v>2.98</v>
      </c>
      <c r="AH788" s="0" t="n">
        <v>12.47</v>
      </c>
    </row>
    <row r="789" customFormat="false" ht="14.25" hidden="false" customHeight="false" outlineLevel="0" collapsed="false">
      <c r="H789" s="0" t="n">
        <v>3</v>
      </c>
      <c r="AH789" s="0" t="n">
        <v>12.47</v>
      </c>
    </row>
    <row r="790" customFormat="false" ht="14.25" hidden="false" customHeight="false" outlineLevel="0" collapsed="false">
      <c r="H790" s="0" t="n">
        <v>2.98</v>
      </c>
      <c r="AH790" s="0" t="n">
        <v>12.47</v>
      </c>
    </row>
    <row r="791" customFormat="false" ht="14.25" hidden="false" customHeight="false" outlineLevel="0" collapsed="false">
      <c r="H791" s="0" t="n">
        <v>2.97</v>
      </c>
      <c r="AH791" s="0" t="n">
        <v>12.47</v>
      </c>
    </row>
    <row r="792" customFormat="false" ht="14.25" hidden="false" customHeight="false" outlineLevel="0" collapsed="false">
      <c r="H792" s="0" t="n">
        <v>2.98</v>
      </c>
      <c r="AH792" s="0" t="n">
        <v>12.47</v>
      </c>
    </row>
    <row r="793" customFormat="false" ht="14.25" hidden="false" customHeight="false" outlineLevel="0" collapsed="false">
      <c r="H793" s="0" t="n">
        <v>2.98</v>
      </c>
      <c r="AH793" s="0" t="n">
        <v>12.46</v>
      </c>
    </row>
    <row r="794" customFormat="false" ht="14.25" hidden="false" customHeight="false" outlineLevel="0" collapsed="false">
      <c r="H794" s="0" t="n">
        <v>2.98</v>
      </c>
      <c r="AH794" s="0" t="n">
        <v>12.45</v>
      </c>
    </row>
    <row r="795" customFormat="false" ht="14.25" hidden="false" customHeight="false" outlineLevel="0" collapsed="false">
      <c r="H795" s="0" t="n">
        <v>2.98</v>
      </c>
      <c r="AH795" s="0" t="n">
        <v>12.46</v>
      </c>
    </row>
    <row r="796" customFormat="false" ht="14.25" hidden="false" customHeight="false" outlineLevel="0" collapsed="false">
      <c r="H796" s="0" t="n">
        <v>2.98</v>
      </c>
      <c r="AH796" s="0" t="n">
        <v>12.45</v>
      </c>
    </row>
    <row r="797" customFormat="false" ht="14.25" hidden="false" customHeight="false" outlineLevel="0" collapsed="false">
      <c r="H797" s="0" t="n">
        <v>2.99</v>
      </c>
      <c r="AH797" s="0" t="n">
        <v>12.47</v>
      </c>
    </row>
    <row r="798" customFormat="false" ht="14.25" hidden="false" customHeight="false" outlineLevel="0" collapsed="false">
      <c r="H798" s="0" t="n">
        <v>2.98</v>
      </c>
      <c r="AH798" s="0" t="n">
        <v>12.46</v>
      </c>
    </row>
    <row r="799" customFormat="false" ht="14.25" hidden="false" customHeight="false" outlineLevel="0" collapsed="false">
      <c r="H799" s="0" t="n">
        <v>2.97</v>
      </c>
      <c r="AH799" s="0" t="n">
        <v>12.45</v>
      </c>
    </row>
    <row r="800" customFormat="false" ht="14.25" hidden="false" customHeight="false" outlineLevel="0" collapsed="false">
      <c r="H800" s="0" t="n">
        <v>2.98</v>
      </c>
      <c r="AH800" s="0" t="n">
        <v>12.46</v>
      </c>
    </row>
    <row r="801" customFormat="false" ht="14.25" hidden="false" customHeight="false" outlineLevel="0" collapsed="false">
      <c r="H801" s="0" t="n">
        <v>2.99</v>
      </c>
      <c r="AH801" s="0" t="n">
        <v>12.44</v>
      </c>
    </row>
    <row r="802" customFormat="false" ht="14.25" hidden="false" customHeight="false" outlineLevel="0" collapsed="false">
      <c r="H802" s="0" t="n">
        <v>2.98</v>
      </c>
      <c r="AH802" s="0" t="n">
        <v>12.45</v>
      </c>
    </row>
    <row r="803" customFormat="false" ht="14.25" hidden="false" customHeight="false" outlineLevel="0" collapsed="false">
      <c r="H803" s="0" t="n">
        <v>3</v>
      </c>
      <c r="AH803" s="0" t="n">
        <v>12.45</v>
      </c>
    </row>
    <row r="804" customFormat="false" ht="14.25" hidden="false" customHeight="false" outlineLevel="0" collapsed="false">
      <c r="H804" s="0" t="n">
        <v>2.99</v>
      </c>
      <c r="AH804" s="0" t="n">
        <v>12.44</v>
      </c>
    </row>
    <row r="805" customFormat="false" ht="14.25" hidden="false" customHeight="false" outlineLevel="0" collapsed="false">
      <c r="H805" s="0" t="n">
        <v>2.99</v>
      </c>
      <c r="AH805" s="0" t="n">
        <v>12.44</v>
      </c>
    </row>
    <row r="806" customFormat="false" ht="14.25" hidden="false" customHeight="false" outlineLevel="0" collapsed="false">
      <c r="H806" s="0" t="n">
        <v>3.02</v>
      </c>
      <c r="AH806" s="0" t="n">
        <v>12.45</v>
      </c>
    </row>
    <row r="807" customFormat="false" ht="14.25" hidden="false" customHeight="false" outlineLevel="0" collapsed="false">
      <c r="H807" s="0" t="n">
        <v>3.01</v>
      </c>
      <c r="AH807" s="0" t="n">
        <v>12.45</v>
      </c>
    </row>
    <row r="808" customFormat="false" ht="14.25" hidden="false" customHeight="false" outlineLevel="0" collapsed="false">
      <c r="H808" s="0" t="n">
        <v>3</v>
      </c>
      <c r="AH808" s="0" t="n">
        <v>12.44</v>
      </c>
    </row>
    <row r="809" customFormat="false" ht="14.25" hidden="false" customHeight="false" outlineLevel="0" collapsed="false">
      <c r="H809" s="0" t="n">
        <v>2.98</v>
      </c>
      <c r="AH809" s="0" t="n">
        <v>12.45</v>
      </c>
    </row>
    <row r="810" customFormat="false" ht="14.25" hidden="false" customHeight="false" outlineLevel="0" collapsed="false">
      <c r="H810" s="0" t="n">
        <v>2.99</v>
      </c>
      <c r="AH810" s="0" t="n">
        <v>12.44</v>
      </c>
    </row>
    <row r="811" customFormat="false" ht="14.25" hidden="false" customHeight="false" outlineLevel="0" collapsed="false">
      <c r="H811" s="0" t="n">
        <v>2.99</v>
      </c>
      <c r="AH811" s="0" t="n">
        <v>12.44</v>
      </c>
    </row>
    <row r="812" customFormat="false" ht="14.25" hidden="false" customHeight="false" outlineLevel="0" collapsed="false">
      <c r="H812" s="0" t="n">
        <v>2.98</v>
      </c>
      <c r="AH812" s="0" t="n">
        <v>12.44</v>
      </c>
    </row>
    <row r="813" customFormat="false" ht="14.25" hidden="false" customHeight="false" outlineLevel="0" collapsed="false">
      <c r="H813" s="0" t="n">
        <v>3</v>
      </c>
      <c r="AH813" s="0" t="n">
        <v>12.43</v>
      </c>
    </row>
    <row r="814" customFormat="false" ht="14.25" hidden="false" customHeight="false" outlineLevel="0" collapsed="false">
      <c r="H814" s="0" t="n">
        <v>2.98</v>
      </c>
      <c r="AH814" s="0" t="n">
        <v>12.44</v>
      </c>
    </row>
    <row r="815" customFormat="false" ht="14.25" hidden="false" customHeight="false" outlineLevel="0" collapsed="false">
      <c r="H815" s="0" t="n">
        <v>2.99</v>
      </c>
      <c r="AH815" s="0" t="n">
        <v>12.44</v>
      </c>
    </row>
    <row r="816" customFormat="false" ht="14.25" hidden="false" customHeight="false" outlineLevel="0" collapsed="false">
      <c r="H816" s="0" t="n">
        <v>2.98</v>
      </c>
      <c r="AH816" s="0" t="n">
        <v>12.44</v>
      </c>
    </row>
    <row r="817" customFormat="false" ht="14.25" hidden="false" customHeight="false" outlineLevel="0" collapsed="false">
      <c r="H817" s="0" t="n">
        <v>2.97</v>
      </c>
      <c r="AH817" s="0" t="n">
        <v>12.43</v>
      </c>
    </row>
    <row r="818" customFormat="false" ht="14.25" hidden="false" customHeight="false" outlineLevel="0" collapsed="false">
      <c r="H818" s="0" t="n">
        <v>2.98</v>
      </c>
      <c r="AH818" s="0" t="n">
        <v>12.45</v>
      </c>
    </row>
    <row r="819" customFormat="false" ht="14.25" hidden="false" customHeight="false" outlineLevel="0" collapsed="false">
      <c r="H819" s="0" t="n">
        <v>2.98</v>
      </c>
      <c r="AH819" s="0" t="n">
        <v>12.41</v>
      </c>
    </row>
    <row r="820" customFormat="false" ht="14.25" hidden="false" customHeight="false" outlineLevel="0" collapsed="false">
      <c r="H820" s="0" t="n">
        <v>2.98</v>
      </c>
      <c r="AH820" s="0" t="n">
        <v>12.41</v>
      </c>
    </row>
    <row r="821" customFormat="false" ht="14.25" hidden="false" customHeight="false" outlineLevel="0" collapsed="false">
      <c r="H821" s="0" t="n">
        <v>2.98</v>
      </c>
      <c r="AH821" s="0" t="n">
        <v>12.43</v>
      </c>
    </row>
    <row r="822" customFormat="false" ht="14.25" hidden="false" customHeight="false" outlineLevel="0" collapsed="false">
      <c r="H822" s="0" t="n">
        <v>3</v>
      </c>
      <c r="AH822" s="0" t="n">
        <v>12.42</v>
      </c>
    </row>
    <row r="823" customFormat="false" ht="14.25" hidden="false" customHeight="false" outlineLevel="0" collapsed="false">
      <c r="H823" s="0" t="n">
        <v>2.99</v>
      </c>
      <c r="AH823" s="0" t="n">
        <v>12.42</v>
      </c>
    </row>
    <row r="824" customFormat="false" ht="14.25" hidden="false" customHeight="false" outlineLevel="0" collapsed="false">
      <c r="H824" s="0" t="n">
        <v>3</v>
      </c>
      <c r="AH824" s="0" t="n">
        <v>12.44</v>
      </c>
    </row>
    <row r="825" customFormat="false" ht="14.25" hidden="false" customHeight="false" outlineLevel="0" collapsed="false">
      <c r="H825" s="0" t="n">
        <v>2.98</v>
      </c>
      <c r="AH825" s="0" t="n">
        <v>12.42</v>
      </c>
    </row>
    <row r="826" customFormat="false" ht="14.25" hidden="false" customHeight="false" outlineLevel="0" collapsed="false">
      <c r="H826" s="0" t="n">
        <v>2.98</v>
      </c>
      <c r="AH826" s="0" t="n">
        <v>12.43</v>
      </c>
    </row>
    <row r="827" customFormat="false" ht="14.25" hidden="false" customHeight="false" outlineLevel="0" collapsed="false">
      <c r="H827" s="0" t="n">
        <v>2.98</v>
      </c>
      <c r="AH827" s="0" t="n">
        <v>12.41</v>
      </c>
    </row>
    <row r="828" customFormat="false" ht="14.25" hidden="false" customHeight="false" outlineLevel="0" collapsed="false">
      <c r="H828" s="0" t="n">
        <v>2.99</v>
      </c>
      <c r="AH828" s="0" t="n">
        <v>12.42</v>
      </c>
    </row>
    <row r="829" customFormat="false" ht="14.25" hidden="false" customHeight="false" outlineLevel="0" collapsed="false">
      <c r="H829" s="0" t="n">
        <v>2.98</v>
      </c>
      <c r="AH829" s="0" t="n">
        <v>12.42</v>
      </c>
    </row>
    <row r="830" customFormat="false" ht="14.25" hidden="false" customHeight="false" outlineLevel="0" collapsed="false">
      <c r="H830" s="0" t="n">
        <v>2.98</v>
      </c>
      <c r="AH830" s="0" t="n">
        <v>12.4</v>
      </c>
    </row>
    <row r="831" customFormat="false" ht="14.25" hidden="false" customHeight="false" outlineLevel="0" collapsed="false">
      <c r="H831" s="0" t="n">
        <v>2.97</v>
      </c>
      <c r="AH831" s="0" t="n">
        <v>12.41</v>
      </c>
    </row>
    <row r="832" customFormat="false" ht="14.25" hidden="false" customHeight="false" outlineLevel="0" collapsed="false">
      <c r="H832" s="0" t="n">
        <v>2.99</v>
      </c>
      <c r="AH832" s="0" t="n">
        <v>12.39</v>
      </c>
    </row>
    <row r="833" customFormat="false" ht="14.25" hidden="false" customHeight="false" outlineLevel="0" collapsed="false">
      <c r="H833" s="0" t="n">
        <v>2.99</v>
      </c>
      <c r="AH833" s="0" t="n">
        <v>12.4</v>
      </c>
    </row>
    <row r="834" customFormat="false" ht="14.25" hidden="false" customHeight="false" outlineLevel="0" collapsed="false">
      <c r="H834" s="0" t="n">
        <v>2.98</v>
      </c>
      <c r="AH834" s="0" t="n">
        <v>12.42</v>
      </c>
    </row>
    <row r="835" customFormat="false" ht="14.25" hidden="false" customHeight="false" outlineLevel="0" collapsed="false">
      <c r="H835" s="0" t="n">
        <v>2.97</v>
      </c>
      <c r="AH835" s="0" t="n">
        <v>12.4</v>
      </c>
    </row>
    <row r="836" customFormat="false" ht="14.25" hidden="false" customHeight="false" outlineLevel="0" collapsed="false">
      <c r="H836" s="0" t="n">
        <v>3.01</v>
      </c>
      <c r="AH836" s="0" t="n">
        <v>12.41</v>
      </c>
    </row>
    <row r="837" customFormat="false" ht="14.25" hidden="false" customHeight="false" outlineLevel="0" collapsed="false">
      <c r="H837" s="0" t="n">
        <v>2.98</v>
      </c>
      <c r="AH837" s="0" t="n">
        <v>12.4</v>
      </c>
    </row>
    <row r="838" customFormat="false" ht="14.25" hidden="false" customHeight="false" outlineLevel="0" collapsed="false">
      <c r="H838" s="0" t="n">
        <v>2.98</v>
      </c>
      <c r="AH838" s="0" t="n">
        <v>12.4</v>
      </c>
    </row>
    <row r="839" customFormat="false" ht="14.25" hidden="false" customHeight="false" outlineLevel="0" collapsed="false">
      <c r="H839" s="0" t="n">
        <v>2.98</v>
      </c>
      <c r="AH839" s="0" t="n">
        <v>12.4</v>
      </c>
    </row>
    <row r="840" customFormat="false" ht="14.25" hidden="false" customHeight="false" outlineLevel="0" collapsed="false">
      <c r="H840" s="0" t="n">
        <v>2.99</v>
      </c>
      <c r="AH840" s="0" t="n">
        <v>12.39</v>
      </c>
    </row>
    <row r="841" customFormat="false" ht="14.25" hidden="false" customHeight="false" outlineLevel="0" collapsed="false">
      <c r="H841" s="0" t="n">
        <v>2.98</v>
      </c>
      <c r="AH841" s="0" t="n">
        <v>12.39</v>
      </c>
    </row>
    <row r="842" customFormat="false" ht="14.25" hidden="false" customHeight="false" outlineLevel="0" collapsed="false">
      <c r="H842" s="0" t="n">
        <v>2.99</v>
      </c>
      <c r="AH842" s="0" t="n">
        <v>12.39</v>
      </c>
    </row>
    <row r="843" customFormat="false" ht="14.25" hidden="false" customHeight="false" outlineLevel="0" collapsed="false">
      <c r="H843" s="0" t="n">
        <v>2.98</v>
      </c>
      <c r="AH843" s="0" t="n">
        <v>12.38</v>
      </c>
    </row>
    <row r="844" customFormat="false" ht="14.25" hidden="false" customHeight="false" outlineLevel="0" collapsed="false">
      <c r="H844" s="0" t="n">
        <v>2.98</v>
      </c>
      <c r="AH844" s="0" t="n">
        <v>12.39</v>
      </c>
    </row>
    <row r="845" customFormat="false" ht="14.25" hidden="false" customHeight="false" outlineLevel="0" collapsed="false">
      <c r="H845" s="0" t="n">
        <v>2.99</v>
      </c>
      <c r="AH845" s="0" t="n">
        <v>12.38</v>
      </c>
    </row>
    <row r="846" customFormat="false" ht="14.25" hidden="false" customHeight="false" outlineLevel="0" collapsed="false">
      <c r="H846" s="0" t="n">
        <v>3</v>
      </c>
      <c r="AH846" s="0" t="n">
        <v>12.38</v>
      </c>
    </row>
    <row r="847" customFormat="false" ht="14.25" hidden="false" customHeight="false" outlineLevel="0" collapsed="false">
      <c r="H847" s="0" t="n">
        <v>2.97</v>
      </c>
      <c r="AH847" s="0" t="n">
        <v>12.39</v>
      </c>
    </row>
    <row r="848" customFormat="false" ht="14.25" hidden="false" customHeight="false" outlineLevel="0" collapsed="false">
      <c r="H848" s="0" t="n">
        <v>2.99</v>
      </c>
      <c r="AH848" s="0" t="n">
        <v>12.39</v>
      </c>
    </row>
    <row r="849" customFormat="false" ht="14.25" hidden="false" customHeight="false" outlineLevel="0" collapsed="false">
      <c r="H849" s="0" t="n">
        <v>2.99</v>
      </c>
      <c r="AH849" s="0" t="n">
        <v>12.38</v>
      </c>
    </row>
    <row r="850" customFormat="false" ht="14.25" hidden="false" customHeight="false" outlineLevel="0" collapsed="false">
      <c r="H850" s="0" t="n">
        <v>2.98</v>
      </c>
      <c r="AH850" s="0" t="n">
        <v>12.38</v>
      </c>
    </row>
    <row r="851" customFormat="false" ht="14.25" hidden="false" customHeight="false" outlineLevel="0" collapsed="false">
      <c r="H851" s="0" t="n">
        <v>2.99</v>
      </c>
      <c r="AH851" s="0" t="n">
        <v>12.38</v>
      </c>
    </row>
    <row r="852" customFormat="false" ht="14.25" hidden="false" customHeight="false" outlineLevel="0" collapsed="false">
      <c r="H852" s="0" t="n">
        <v>3</v>
      </c>
      <c r="AH852" s="0" t="n">
        <v>12.37</v>
      </c>
    </row>
    <row r="853" customFormat="false" ht="14.25" hidden="false" customHeight="false" outlineLevel="0" collapsed="false">
      <c r="H853" s="0" t="n">
        <v>3</v>
      </c>
      <c r="AH853" s="0" t="n">
        <v>12.37</v>
      </c>
    </row>
    <row r="854" customFormat="false" ht="14.25" hidden="false" customHeight="false" outlineLevel="0" collapsed="false">
      <c r="H854" s="0" t="n">
        <v>2.99</v>
      </c>
      <c r="AH854" s="0" t="n">
        <v>12.36</v>
      </c>
    </row>
    <row r="855" customFormat="false" ht="14.25" hidden="false" customHeight="false" outlineLevel="0" collapsed="false">
      <c r="H855" s="0" t="n">
        <v>2.97</v>
      </c>
      <c r="AH855" s="0" t="n">
        <v>12.36</v>
      </c>
    </row>
    <row r="856" customFormat="false" ht="14.25" hidden="false" customHeight="false" outlineLevel="0" collapsed="false">
      <c r="H856" s="0" t="n">
        <v>3.01</v>
      </c>
      <c r="AH856" s="0" t="n">
        <v>12.37</v>
      </c>
    </row>
    <row r="857" customFormat="false" ht="14.25" hidden="false" customHeight="false" outlineLevel="0" collapsed="false">
      <c r="H857" s="0" t="n">
        <v>2.97</v>
      </c>
      <c r="AH857" s="0" t="n">
        <v>12.37</v>
      </c>
    </row>
    <row r="858" customFormat="false" ht="14.25" hidden="false" customHeight="false" outlineLevel="0" collapsed="false">
      <c r="H858" s="0" t="n">
        <v>2.99</v>
      </c>
      <c r="AH858" s="0" t="n">
        <v>12.36</v>
      </c>
    </row>
    <row r="859" customFormat="false" ht="14.25" hidden="false" customHeight="false" outlineLevel="0" collapsed="false">
      <c r="H859" s="0" t="n">
        <v>2.99</v>
      </c>
      <c r="AH859" s="0" t="n">
        <v>12.37</v>
      </c>
    </row>
    <row r="860" customFormat="false" ht="14.25" hidden="false" customHeight="false" outlineLevel="0" collapsed="false">
      <c r="H860" s="0" t="n">
        <v>3.02</v>
      </c>
      <c r="AH860" s="0" t="n">
        <v>12.36</v>
      </c>
    </row>
    <row r="861" customFormat="false" ht="14.25" hidden="false" customHeight="false" outlineLevel="0" collapsed="false">
      <c r="H861" s="0" t="n">
        <v>3</v>
      </c>
      <c r="AH861" s="0" t="n">
        <v>12.36</v>
      </c>
    </row>
    <row r="862" customFormat="false" ht="14.25" hidden="false" customHeight="false" outlineLevel="0" collapsed="false">
      <c r="H862" s="0" t="n">
        <v>3</v>
      </c>
      <c r="AH862" s="0" t="n">
        <v>12.35</v>
      </c>
    </row>
    <row r="863" customFormat="false" ht="14.25" hidden="false" customHeight="false" outlineLevel="0" collapsed="false">
      <c r="H863" s="0" t="n">
        <v>3.01</v>
      </c>
      <c r="AH863" s="0" t="n">
        <v>12.36</v>
      </c>
    </row>
    <row r="864" customFormat="false" ht="14.25" hidden="false" customHeight="false" outlineLevel="0" collapsed="false">
      <c r="H864" s="0" t="n">
        <v>2.99</v>
      </c>
      <c r="AH864" s="0" t="n">
        <v>12.36</v>
      </c>
    </row>
    <row r="865" customFormat="false" ht="14.25" hidden="false" customHeight="false" outlineLevel="0" collapsed="false">
      <c r="H865" s="0" t="n">
        <v>3.02</v>
      </c>
      <c r="AH865" s="0" t="n">
        <v>12.37</v>
      </c>
    </row>
    <row r="866" customFormat="false" ht="14.25" hidden="false" customHeight="false" outlineLevel="0" collapsed="false">
      <c r="H866" s="0" t="n">
        <v>3.01</v>
      </c>
      <c r="AH866" s="0" t="n">
        <v>12.36</v>
      </c>
    </row>
    <row r="867" customFormat="false" ht="14.25" hidden="false" customHeight="false" outlineLevel="0" collapsed="false">
      <c r="H867" s="0" t="n">
        <v>3.01</v>
      </c>
      <c r="AH867" s="0" t="n">
        <v>12.36</v>
      </c>
    </row>
    <row r="868" customFormat="false" ht="14.25" hidden="false" customHeight="false" outlineLevel="0" collapsed="false">
      <c r="H868" s="0" t="n">
        <v>3.01</v>
      </c>
      <c r="AH868" s="0" t="n">
        <v>12.36</v>
      </c>
    </row>
    <row r="869" customFormat="false" ht="14.25" hidden="false" customHeight="false" outlineLevel="0" collapsed="false">
      <c r="H869" s="0" t="n">
        <v>3.01</v>
      </c>
      <c r="AH869" s="0" t="n">
        <v>12.35</v>
      </c>
    </row>
    <row r="870" customFormat="false" ht="14.25" hidden="false" customHeight="false" outlineLevel="0" collapsed="false">
      <c r="H870" s="0" t="n">
        <v>3.01</v>
      </c>
      <c r="AH870" s="0" t="n">
        <v>12.36</v>
      </c>
    </row>
    <row r="871" customFormat="false" ht="14.25" hidden="false" customHeight="false" outlineLevel="0" collapsed="false">
      <c r="H871" s="0" t="n">
        <v>3.01</v>
      </c>
      <c r="AH871" s="0" t="n">
        <v>12.36</v>
      </c>
    </row>
    <row r="872" customFormat="false" ht="14.25" hidden="false" customHeight="false" outlineLevel="0" collapsed="false">
      <c r="H872" s="0" t="n">
        <v>3.01</v>
      </c>
      <c r="AH872" s="0" t="n">
        <v>12.37</v>
      </c>
    </row>
    <row r="873" customFormat="false" ht="14.25" hidden="false" customHeight="false" outlineLevel="0" collapsed="false">
      <c r="H873" s="0" t="n">
        <v>3.01</v>
      </c>
      <c r="AH873" s="0" t="n">
        <v>12.36</v>
      </c>
    </row>
    <row r="874" customFormat="false" ht="14.25" hidden="false" customHeight="false" outlineLevel="0" collapsed="false">
      <c r="H874" s="0" t="n">
        <v>3.01</v>
      </c>
      <c r="AH874" s="0" t="n">
        <v>12.35</v>
      </c>
    </row>
    <row r="875" customFormat="false" ht="14.25" hidden="false" customHeight="false" outlineLevel="0" collapsed="false">
      <c r="H875" s="0" t="n">
        <v>3.01</v>
      </c>
      <c r="AH875" s="0" t="n">
        <v>12.36</v>
      </c>
    </row>
    <row r="876" customFormat="false" ht="14.25" hidden="false" customHeight="false" outlineLevel="0" collapsed="false">
      <c r="H876" s="0" t="n">
        <v>3.01</v>
      </c>
      <c r="AH876" s="0" t="n">
        <v>12.36</v>
      </c>
    </row>
    <row r="877" customFormat="false" ht="14.25" hidden="false" customHeight="false" outlineLevel="0" collapsed="false">
      <c r="H877" s="0" t="n">
        <v>3.01</v>
      </c>
      <c r="AH877" s="0" t="n">
        <v>12.36</v>
      </c>
    </row>
    <row r="878" customFormat="false" ht="14.25" hidden="false" customHeight="false" outlineLevel="0" collapsed="false">
      <c r="H878" s="0" t="n">
        <v>3.01</v>
      </c>
      <c r="AH878" s="0" t="n">
        <v>12.37</v>
      </c>
    </row>
    <row r="879" customFormat="false" ht="14.25" hidden="false" customHeight="false" outlineLevel="0" collapsed="false">
      <c r="H879" s="0" t="n">
        <v>3.01</v>
      </c>
      <c r="AH879" s="0" t="n">
        <v>12.37</v>
      </c>
    </row>
    <row r="880" customFormat="false" ht="14.25" hidden="false" customHeight="false" outlineLevel="0" collapsed="false">
      <c r="H880" s="0" t="n">
        <v>3.01</v>
      </c>
      <c r="AH880" s="0" t="n">
        <v>12.36</v>
      </c>
    </row>
    <row r="881" customFormat="false" ht="14.25" hidden="false" customHeight="false" outlineLevel="0" collapsed="false">
      <c r="H881" s="0" t="n">
        <v>3.01</v>
      </c>
      <c r="AH881" s="0" t="n">
        <v>12.36</v>
      </c>
    </row>
    <row r="882" customFormat="false" ht="14.25" hidden="false" customHeight="false" outlineLevel="0" collapsed="false">
      <c r="H882" s="0" t="n">
        <v>3.01</v>
      </c>
      <c r="AH882" s="0" t="n">
        <v>12.37</v>
      </c>
    </row>
    <row r="883" customFormat="false" ht="14.25" hidden="false" customHeight="false" outlineLevel="0" collapsed="false">
      <c r="H883" s="0" t="n">
        <v>3.01</v>
      </c>
      <c r="AH883" s="0" t="n">
        <v>12.37</v>
      </c>
    </row>
    <row r="884" customFormat="false" ht="14.25" hidden="false" customHeight="false" outlineLevel="0" collapsed="false">
      <c r="H884" s="0" t="n">
        <v>3.01</v>
      </c>
      <c r="AH884" s="0" t="n">
        <v>12.38</v>
      </c>
    </row>
    <row r="885" customFormat="false" ht="14.25" hidden="false" customHeight="false" outlineLevel="0" collapsed="false">
      <c r="H885" s="0" t="n">
        <v>3.01</v>
      </c>
      <c r="AH885" s="0" t="n">
        <v>12.37</v>
      </c>
    </row>
    <row r="886" customFormat="false" ht="14.25" hidden="false" customHeight="false" outlineLevel="0" collapsed="false">
      <c r="H886" s="0" t="n">
        <v>3.01</v>
      </c>
      <c r="AH886" s="0" t="n">
        <v>12.38</v>
      </c>
    </row>
    <row r="887" customFormat="false" ht="14.25" hidden="false" customHeight="false" outlineLevel="0" collapsed="false">
      <c r="H887" s="0" t="n">
        <v>3.01</v>
      </c>
      <c r="AH887" s="0" t="n">
        <v>12.37</v>
      </c>
    </row>
    <row r="888" customFormat="false" ht="14.25" hidden="false" customHeight="false" outlineLevel="0" collapsed="false">
      <c r="H888" s="0" t="n">
        <v>3.01</v>
      </c>
      <c r="AH888" s="0" t="n">
        <v>12.38</v>
      </c>
    </row>
    <row r="889" customFormat="false" ht="14.25" hidden="false" customHeight="false" outlineLevel="0" collapsed="false">
      <c r="H889" s="0" t="n">
        <v>3.01</v>
      </c>
      <c r="AH889" s="0" t="n">
        <v>12.38</v>
      </c>
    </row>
    <row r="890" customFormat="false" ht="14.25" hidden="false" customHeight="false" outlineLevel="0" collapsed="false">
      <c r="H890" s="0" t="n">
        <v>3.01</v>
      </c>
      <c r="AH890" s="0" t="n">
        <v>12.37</v>
      </c>
    </row>
    <row r="891" customFormat="false" ht="14.25" hidden="false" customHeight="false" outlineLevel="0" collapsed="false">
      <c r="H891" s="0" t="n">
        <v>3.01</v>
      </c>
      <c r="AH891" s="0" t="n">
        <v>12.37</v>
      </c>
    </row>
    <row r="892" customFormat="false" ht="14.25" hidden="false" customHeight="false" outlineLevel="0" collapsed="false">
      <c r="H892" s="0" t="n">
        <v>3.01</v>
      </c>
      <c r="AH892" s="0" t="n">
        <v>12.37</v>
      </c>
    </row>
    <row r="893" customFormat="false" ht="14.25" hidden="false" customHeight="false" outlineLevel="0" collapsed="false">
      <c r="H893" s="0" t="n">
        <v>3.01</v>
      </c>
      <c r="AH893" s="0" t="n">
        <v>12.37</v>
      </c>
    </row>
    <row r="894" customFormat="false" ht="14.25" hidden="false" customHeight="false" outlineLevel="0" collapsed="false">
      <c r="H894" s="0" t="n">
        <v>3.02</v>
      </c>
      <c r="AH894" s="0" t="n">
        <v>12.38</v>
      </c>
    </row>
    <row r="895" customFormat="false" ht="14.25" hidden="false" customHeight="false" outlineLevel="0" collapsed="false">
      <c r="H895" s="0" t="n">
        <v>3.01</v>
      </c>
      <c r="AH895" s="0" t="n">
        <v>12.36</v>
      </c>
    </row>
    <row r="896" customFormat="false" ht="14.25" hidden="false" customHeight="false" outlineLevel="0" collapsed="false">
      <c r="H896" s="0" t="n">
        <v>3.02</v>
      </c>
      <c r="AH896" s="0" t="n">
        <v>12.36</v>
      </c>
    </row>
    <row r="897" customFormat="false" ht="14.25" hidden="false" customHeight="false" outlineLevel="0" collapsed="false">
      <c r="H897" s="0" t="n">
        <v>3.02</v>
      </c>
      <c r="AH897" s="0" t="n">
        <v>12.37</v>
      </c>
    </row>
    <row r="898" customFormat="false" ht="14.25" hidden="false" customHeight="false" outlineLevel="0" collapsed="false">
      <c r="H898" s="0" t="n">
        <v>3.02</v>
      </c>
      <c r="AH898" s="0" t="n">
        <v>12.36</v>
      </c>
    </row>
    <row r="899" customFormat="false" ht="14.25" hidden="false" customHeight="false" outlineLevel="0" collapsed="false">
      <c r="H899" s="0" t="n">
        <v>3.01</v>
      </c>
      <c r="AH899" s="0" t="n">
        <v>12.36</v>
      </c>
    </row>
    <row r="900" customFormat="false" ht="14.25" hidden="false" customHeight="false" outlineLevel="0" collapsed="false">
      <c r="H900" s="0" t="n">
        <v>3.01</v>
      </c>
      <c r="AH900" s="0" t="n">
        <v>12.37</v>
      </c>
    </row>
    <row r="901" customFormat="false" ht="14.25" hidden="false" customHeight="false" outlineLevel="0" collapsed="false">
      <c r="H901" s="0" t="n">
        <v>3.02</v>
      </c>
    </row>
    <row r="902" customFormat="false" ht="14.25" hidden="false" customHeight="false" outlineLevel="0" collapsed="false">
      <c r="H902" s="0" t="n">
        <v>3.02</v>
      </c>
    </row>
    <row r="903" customFormat="false" ht="14.25" hidden="false" customHeight="false" outlineLevel="0" collapsed="false">
      <c r="H903" s="0" t="n">
        <v>3.02</v>
      </c>
    </row>
    <row r="904" customFormat="false" ht="14.25" hidden="false" customHeight="false" outlineLevel="0" collapsed="false">
      <c r="H904" s="0" t="n">
        <v>3.02</v>
      </c>
    </row>
    <row r="905" customFormat="false" ht="14.25" hidden="false" customHeight="false" outlineLevel="0" collapsed="false">
      <c r="H905" s="0" t="n">
        <v>3.02</v>
      </c>
    </row>
    <row r="906" customFormat="false" ht="14.25" hidden="false" customHeight="false" outlineLevel="0" collapsed="false">
      <c r="H906" s="0" t="n">
        <v>3.02</v>
      </c>
    </row>
    <row r="907" customFormat="false" ht="14.25" hidden="false" customHeight="false" outlineLevel="0" collapsed="false">
      <c r="H907" s="0" t="n">
        <v>3.02</v>
      </c>
    </row>
    <row r="908" customFormat="false" ht="14.25" hidden="false" customHeight="false" outlineLevel="0" collapsed="false">
      <c r="H908" s="0" t="n">
        <v>3.02</v>
      </c>
    </row>
    <row r="909" customFormat="false" ht="14.25" hidden="false" customHeight="false" outlineLevel="0" collapsed="false">
      <c r="H909" s="0" t="n">
        <v>3.02</v>
      </c>
    </row>
    <row r="910" customFormat="false" ht="14.25" hidden="false" customHeight="false" outlineLevel="0" collapsed="false">
      <c r="H910" s="0" t="n">
        <v>3.02</v>
      </c>
    </row>
    <row r="911" customFormat="false" ht="14.25" hidden="false" customHeight="false" outlineLevel="0" collapsed="false">
      <c r="H911" s="0" t="n">
        <v>3.02</v>
      </c>
    </row>
    <row r="912" customFormat="false" ht="14.25" hidden="false" customHeight="false" outlineLevel="0" collapsed="false">
      <c r="H912" s="0" t="n">
        <v>3.02</v>
      </c>
    </row>
    <row r="913" customFormat="false" ht="14.25" hidden="false" customHeight="false" outlineLevel="0" collapsed="false">
      <c r="H913" s="0" t="n">
        <v>3.01</v>
      </c>
    </row>
    <row r="914" customFormat="false" ht="14.25" hidden="false" customHeight="false" outlineLevel="0" collapsed="false">
      <c r="H914" s="0" t="n">
        <v>3.03</v>
      </c>
    </row>
    <row r="915" customFormat="false" ht="14.25" hidden="false" customHeight="false" outlineLevel="0" collapsed="false">
      <c r="H915" s="0" t="n">
        <v>3.03</v>
      </c>
    </row>
    <row r="916" customFormat="false" ht="14.25" hidden="false" customHeight="false" outlineLevel="0" collapsed="false">
      <c r="H916" s="0" t="n">
        <v>3.02</v>
      </c>
    </row>
    <row r="917" customFormat="false" ht="14.25" hidden="false" customHeight="false" outlineLevel="0" collapsed="false">
      <c r="H917" s="0" t="n">
        <v>3.02</v>
      </c>
    </row>
    <row r="918" customFormat="false" ht="14.25" hidden="false" customHeight="false" outlineLevel="0" collapsed="false">
      <c r="H918" s="0" t="n">
        <v>3.02</v>
      </c>
    </row>
    <row r="919" customFormat="false" ht="14.25" hidden="false" customHeight="false" outlineLevel="0" collapsed="false">
      <c r="H919" s="0" t="n">
        <v>3.02</v>
      </c>
    </row>
    <row r="920" customFormat="false" ht="14.25" hidden="false" customHeight="false" outlineLevel="0" collapsed="false">
      <c r="H920" s="0" t="n">
        <v>3.03</v>
      </c>
    </row>
    <row r="921" customFormat="false" ht="14.25" hidden="false" customHeight="false" outlineLevel="0" collapsed="false">
      <c r="H921" s="0" t="n">
        <v>3.03</v>
      </c>
    </row>
    <row r="922" customFormat="false" ht="14.25" hidden="false" customHeight="false" outlineLevel="0" collapsed="false">
      <c r="H922" s="0" t="n">
        <v>3.03</v>
      </c>
    </row>
    <row r="923" customFormat="false" ht="14.25" hidden="false" customHeight="false" outlineLevel="0" collapsed="false">
      <c r="H923" s="0" t="n">
        <v>3.02</v>
      </c>
    </row>
    <row r="924" customFormat="false" ht="14.25" hidden="false" customHeight="false" outlineLevel="0" collapsed="false">
      <c r="H924" s="0" t="n">
        <v>3.03</v>
      </c>
    </row>
    <row r="925" customFormat="false" ht="14.25" hidden="false" customHeight="false" outlineLevel="0" collapsed="false">
      <c r="H925" s="0" t="n">
        <v>3.03</v>
      </c>
    </row>
    <row r="926" customFormat="false" ht="14.25" hidden="false" customHeight="false" outlineLevel="0" collapsed="false">
      <c r="H926" s="0" t="n">
        <v>3.03</v>
      </c>
    </row>
    <row r="927" customFormat="false" ht="14.25" hidden="false" customHeight="false" outlineLevel="0" collapsed="false">
      <c r="H927" s="0" t="n">
        <v>3.04</v>
      </c>
    </row>
    <row r="928" customFormat="false" ht="14.25" hidden="false" customHeight="false" outlineLevel="0" collapsed="false">
      <c r="H928" s="0" t="n">
        <v>3.04</v>
      </c>
    </row>
    <row r="929" customFormat="false" ht="14.25" hidden="false" customHeight="false" outlineLevel="0" collapsed="false">
      <c r="H929" s="0" t="n">
        <v>3.03</v>
      </c>
    </row>
    <row r="930" customFormat="false" ht="14.25" hidden="false" customHeight="false" outlineLevel="0" collapsed="false">
      <c r="H930" s="0" t="n">
        <v>3.04</v>
      </c>
    </row>
    <row r="931" customFormat="false" ht="14.25" hidden="false" customHeight="false" outlineLevel="0" collapsed="false">
      <c r="H931" s="0" t="n">
        <v>3.04</v>
      </c>
    </row>
    <row r="932" customFormat="false" ht="14.25" hidden="false" customHeight="false" outlineLevel="0" collapsed="false">
      <c r="H932" s="0" t="n">
        <v>3.04</v>
      </c>
    </row>
    <row r="933" customFormat="false" ht="14.25" hidden="false" customHeight="false" outlineLevel="0" collapsed="false">
      <c r="H933" s="0" t="n">
        <v>3.04</v>
      </c>
    </row>
    <row r="934" customFormat="false" ht="14.25" hidden="false" customHeight="false" outlineLevel="0" collapsed="false">
      <c r="H934" s="0" t="n">
        <v>3.06</v>
      </c>
    </row>
    <row r="935" customFormat="false" ht="14.25" hidden="false" customHeight="false" outlineLevel="0" collapsed="false">
      <c r="H935" s="0" t="n">
        <v>3.05</v>
      </c>
    </row>
    <row r="936" customFormat="false" ht="14.25" hidden="false" customHeight="false" outlineLevel="0" collapsed="false">
      <c r="H936" s="0" t="n">
        <v>3.06</v>
      </c>
    </row>
    <row r="937" customFormat="false" ht="14.25" hidden="false" customHeight="false" outlineLevel="0" collapsed="false">
      <c r="H937" s="0" t="n">
        <v>3.06</v>
      </c>
    </row>
    <row r="938" customFormat="false" ht="14.25" hidden="false" customHeight="false" outlineLevel="0" collapsed="false">
      <c r="H938" s="0" t="n">
        <v>3.09</v>
      </c>
    </row>
    <row r="939" customFormat="false" ht="14.25" hidden="false" customHeight="false" outlineLevel="0" collapsed="false">
      <c r="H939" s="0" t="n">
        <v>3.05</v>
      </c>
    </row>
    <row r="940" customFormat="false" ht="14.25" hidden="false" customHeight="false" outlineLevel="0" collapsed="false">
      <c r="H940" s="0" t="n">
        <v>3.06</v>
      </c>
    </row>
    <row r="941" customFormat="false" ht="14.25" hidden="false" customHeight="false" outlineLevel="0" collapsed="false">
      <c r="H941" s="0" t="n">
        <v>3.05</v>
      </c>
    </row>
    <row r="942" customFormat="false" ht="14.25" hidden="false" customHeight="false" outlineLevel="0" collapsed="false">
      <c r="H942" s="0" t="n">
        <v>3.05</v>
      </c>
    </row>
    <row r="943" customFormat="false" ht="14.25" hidden="false" customHeight="false" outlineLevel="0" collapsed="false">
      <c r="H943" s="0" t="n">
        <v>3.06</v>
      </c>
    </row>
    <row r="944" customFormat="false" ht="14.25" hidden="false" customHeight="false" outlineLevel="0" collapsed="false">
      <c r="H944" s="0" t="n">
        <v>3.05</v>
      </c>
    </row>
    <row r="945" customFormat="false" ht="14.25" hidden="false" customHeight="false" outlineLevel="0" collapsed="false">
      <c r="H945" s="0" t="n">
        <v>3.05</v>
      </c>
    </row>
    <row r="946" customFormat="false" ht="14.25" hidden="false" customHeight="false" outlineLevel="0" collapsed="false">
      <c r="H946" s="0" t="n">
        <v>3.06</v>
      </c>
    </row>
    <row r="947" customFormat="false" ht="14.25" hidden="false" customHeight="false" outlineLevel="0" collapsed="false">
      <c r="H947" s="0" t="n">
        <v>3.06</v>
      </c>
    </row>
    <row r="948" customFormat="false" ht="14.25" hidden="false" customHeight="false" outlineLevel="0" collapsed="false">
      <c r="H948" s="0" t="n">
        <v>3.05</v>
      </c>
    </row>
    <row r="949" customFormat="false" ht="14.25" hidden="false" customHeight="false" outlineLevel="0" collapsed="false">
      <c r="H949" s="0" t="n">
        <v>3.05</v>
      </c>
    </row>
    <row r="950" customFormat="false" ht="14.25" hidden="false" customHeight="false" outlineLevel="0" collapsed="false">
      <c r="H950" s="0" t="n">
        <v>3.06</v>
      </c>
    </row>
    <row r="951" customFormat="false" ht="14.25" hidden="false" customHeight="false" outlineLevel="0" collapsed="false">
      <c r="H951" s="0" t="n">
        <v>3.06</v>
      </c>
    </row>
    <row r="952" customFormat="false" ht="14.25" hidden="false" customHeight="false" outlineLevel="0" collapsed="false">
      <c r="H952" s="0" t="n">
        <v>3.06</v>
      </c>
    </row>
    <row r="953" customFormat="false" ht="14.25" hidden="false" customHeight="false" outlineLevel="0" collapsed="false">
      <c r="H953" s="0" t="n">
        <v>3.06</v>
      </c>
    </row>
    <row r="954" customFormat="false" ht="14.25" hidden="false" customHeight="false" outlineLevel="0" collapsed="false">
      <c r="H954" s="0" t="n">
        <v>3.06</v>
      </c>
    </row>
    <row r="955" customFormat="false" ht="14.25" hidden="false" customHeight="false" outlineLevel="0" collapsed="false">
      <c r="H955" s="0" t="n">
        <v>3.06</v>
      </c>
    </row>
    <row r="956" customFormat="false" ht="14.25" hidden="false" customHeight="false" outlineLevel="0" collapsed="false">
      <c r="H956" s="0" t="n">
        <v>3.07</v>
      </c>
    </row>
    <row r="957" customFormat="false" ht="14.25" hidden="false" customHeight="false" outlineLevel="0" collapsed="false">
      <c r="H957" s="0" t="n">
        <v>3.06</v>
      </c>
    </row>
    <row r="958" customFormat="false" ht="14.25" hidden="false" customHeight="false" outlineLevel="0" collapsed="false">
      <c r="H958" s="0" t="n">
        <v>3.06</v>
      </c>
    </row>
    <row r="959" customFormat="false" ht="14.25" hidden="false" customHeight="false" outlineLevel="0" collapsed="false">
      <c r="H959" s="0" t="n">
        <v>3.06</v>
      </c>
    </row>
    <row r="960" customFormat="false" ht="14.25" hidden="false" customHeight="false" outlineLevel="0" collapsed="false">
      <c r="H960" s="0" t="n">
        <v>3.06</v>
      </c>
    </row>
    <row r="961" customFormat="false" ht="14.25" hidden="false" customHeight="false" outlineLevel="0" collapsed="false">
      <c r="H961" s="0" t="n">
        <v>3.06</v>
      </c>
    </row>
    <row r="962" customFormat="false" ht="14.25" hidden="false" customHeight="false" outlineLevel="0" collapsed="false">
      <c r="H962" s="0" t="n">
        <v>3.06</v>
      </c>
    </row>
    <row r="963" customFormat="false" ht="14.25" hidden="false" customHeight="false" outlineLevel="0" collapsed="false">
      <c r="H963" s="0" t="n">
        <v>3.06</v>
      </c>
    </row>
    <row r="964" customFormat="false" ht="14.25" hidden="false" customHeight="false" outlineLevel="0" collapsed="false">
      <c r="H964" s="0" t="n">
        <v>3.08</v>
      </c>
    </row>
    <row r="965" customFormat="false" ht="14.25" hidden="false" customHeight="false" outlineLevel="0" collapsed="false">
      <c r="H965" s="0" t="n">
        <v>3.08</v>
      </c>
    </row>
    <row r="966" customFormat="false" ht="14.25" hidden="false" customHeight="false" outlineLevel="0" collapsed="false">
      <c r="H966" s="0" t="n">
        <v>3.08</v>
      </c>
    </row>
    <row r="967" customFormat="false" ht="14.25" hidden="false" customHeight="false" outlineLevel="0" collapsed="false">
      <c r="H967" s="0" t="n">
        <v>3.09</v>
      </c>
    </row>
    <row r="968" customFormat="false" ht="14.25" hidden="false" customHeight="false" outlineLevel="0" collapsed="false">
      <c r="H968" s="0" t="n">
        <v>3.07</v>
      </c>
    </row>
    <row r="969" customFormat="false" ht="14.25" hidden="false" customHeight="false" outlineLevel="0" collapsed="false">
      <c r="H969" s="0" t="n">
        <v>3.09</v>
      </c>
    </row>
    <row r="970" customFormat="false" ht="14.25" hidden="false" customHeight="false" outlineLevel="0" collapsed="false">
      <c r="H970" s="0" t="n">
        <v>3.06</v>
      </c>
    </row>
    <row r="971" customFormat="false" ht="14.25" hidden="false" customHeight="false" outlineLevel="0" collapsed="false">
      <c r="H971" s="0" t="n">
        <v>3.06</v>
      </c>
    </row>
    <row r="972" customFormat="false" ht="14.25" hidden="false" customHeight="false" outlineLevel="0" collapsed="false">
      <c r="H972" s="0" t="n">
        <v>3.12</v>
      </c>
    </row>
    <row r="973" customFormat="false" ht="14.25" hidden="false" customHeight="false" outlineLevel="0" collapsed="false">
      <c r="H973" s="0" t="n">
        <v>3.11</v>
      </c>
    </row>
    <row r="974" customFormat="false" ht="14.25" hidden="false" customHeight="false" outlineLevel="0" collapsed="false">
      <c r="H974" s="0" t="n">
        <v>3.08</v>
      </c>
    </row>
    <row r="975" customFormat="false" ht="14.25" hidden="false" customHeight="false" outlineLevel="0" collapsed="false">
      <c r="H975" s="0" t="n">
        <v>3.09</v>
      </c>
    </row>
    <row r="976" customFormat="false" ht="14.25" hidden="false" customHeight="false" outlineLevel="0" collapsed="false">
      <c r="H976" s="0" t="n">
        <v>3.08</v>
      </c>
    </row>
    <row r="977" customFormat="false" ht="14.25" hidden="false" customHeight="false" outlineLevel="0" collapsed="false">
      <c r="H977" s="0" t="n">
        <v>3.06</v>
      </c>
    </row>
    <row r="978" customFormat="false" ht="14.25" hidden="false" customHeight="false" outlineLevel="0" collapsed="false">
      <c r="H978" s="0" t="n">
        <v>3.08</v>
      </c>
    </row>
    <row r="979" customFormat="false" ht="14.25" hidden="false" customHeight="false" outlineLevel="0" collapsed="false">
      <c r="H979" s="0" t="n">
        <v>3.07</v>
      </c>
    </row>
    <row r="980" customFormat="false" ht="14.25" hidden="false" customHeight="false" outlineLevel="0" collapsed="false">
      <c r="H980" s="0" t="n">
        <v>3.07</v>
      </c>
    </row>
    <row r="981" customFormat="false" ht="14.25" hidden="false" customHeight="false" outlineLevel="0" collapsed="false">
      <c r="H981" s="0" t="n">
        <v>3.09</v>
      </c>
    </row>
    <row r="982" customFormat="false" ht="14.25" hidden="false" customHeight="false" outlineLevel="0" collapsed="false">
      <c r="H982" s="0" t="n">
        <v>3.07</v>
      </c>
    </row>
    <row r="983" customFormat="false" ht="14.25" hidden="false" customHeight="false" outlineLevel="0" collapsed="false">
      <c r="H983" s="0" t="n">
        <v>3.07</v>
      </c>
    </row>
    <row r="984" customFormat="false" ht="14.25" hidden="false" customHeight="false" outlineLevel="0" collapsed="false">
      <c r="H984" s="0" t="n">
        <v>3.06</v>
      </c>
    </row>
    <row r="985" customFormat="false" ht="14.25" hidden="false" customHeight="false" outlineLevel="0" collapsed="false">
      <c r="H985" s="0" t="n">
        <v>3.06</v>
      </c>
    </row>
    <row r="986" customFormat="false" ht="14.25" hidden="false" customHeight="false" outlineLevel="0" collapsed="false">
      <c r="H986" s="0" t="n">
        <v>3.06</v>
      </c>
    </row>
    <row r="987" customFormat="false" ht="14.25" hidden="false" customHeight="false" outlineLevel="0" collapsed="false">
      <c r="H987" s="0" t="n">
        <v>3.08</v>
      </c>
    </row>
    <row r="988" customFormat="false" ht="14.25" hidden="false" customHeight="false" outlineLevel="0" collapsed="false">
      <c r="H988" s="0" t="n">
        <v>3.07</v>
      </c>
    </row>
    <row r="989" customFormat="false" ht="14.25" hidden="false" customHeight="false" outlineLevel="0" collapsed="false">
      <c r="H989" s="0" t="n">
        <v>3.06</v>
      </c>
    </row>
    <row r="990" customFormat="false" ht="14.25" hidden="false" customHeight="false" outlineLevel="0" collapsed="false">
      <c r="H990" s="0" t="n">
        <v>3.06</v>
      </c>
    </row>
    <row r="991" customFormat="false" ht="14.25" hidden="false" customHeight="false" outlineLevel="0" collapsed="false">
      <c r="H991" s="0" t="n">
        <v>3.06</v>
      </c>
    </row>
    <row r="992" customFormat="false" ht="14.25" hidden="false" customHeight="false" outlineLevel="0" collapsed="false">
      <c r="H992" s="0" t="n">
        <v>3.06</v>
      </c>
    </row>
    <row r="993" customFormat="false" ht="14.25" hidden="false" customHeight="false" outlineLevel="0" collapsed="false">
      <c r="H993" s="0" t="n">
        <v>3.06</v>
      </c>
    </row>
    <row r="994" customFormat="false" ht="14.25" hidden="false" customHeight="false" outlineLevel="0" collapsed="false">
      <c r="H994" s="0" t="n">
        <v>3.06</v>
      </c>
    </row>
    <row r="995" customFormat="false" ht="14.25" hidden="false" customHeight="false" outlineLevel="0" collapsed="false">
      <c r="H995" s="0" t="n">
        <v>3.06</v>
      </c>
    </row>
    <row r="996" customFormat="false" ht="14.25" hidden="false" customHeight="false" outlineLevel="0" collapsed="false">
      <c r="H996" s="0" t="n">
        <v>3.06</v>
      </c>
    </row>
    <row r="997" customFormat="false" ht="14.25" hidden="false" customHeight="false" outlineLevel="0" collapsed="false">
      <c r="H997" s="0" t="n">
        <v>3.06</v>
      </c>
    </row>
    <row r="998" customFormat="false" ht="14.25" hidden="false" customHeight="false" outlineLevel="0" collapsed="false">
      <c r="H998" s="0" t="n">
        <v>3.06</v>
      </c>
    </row>
    <row r="999" customFormat="false" ht="14.25" hidden="false" customHeight="false" outlineLevel="0" collapsed="false">
      <c r="H999" s="0" t="n">
        <v>3.06</v>
      </c>
    </row>
    <row r="1000" customFormat="false" ht="14.25" hidden="false" customHeight="false" outlineLevel="0" collapsed="false">
      <c r="H1000" s="0" t="n">
        <v>3.04</v>
      </c>
    </row>
    <row r="1001" customFormat="false" ht="14.25" hidden="false" customHeight="false" outlineLevel="0" collapsed="false">
      <c r="H1001" s="0" t="n">
        <v>3.04</v>
      </c>
    </row>
    <row r="1002" customFormat="false" ht="14.25" hidden="false" customHeight="false" outlineLevel="0" collapsed="false">
      <c r="H1002" s="0" t="n">
        <v>3.04</v>
      </c>
    </row>
    <row r="1003" customFormat="false" ht="14.25" hidden="false" customHeight="false" outlineLevel="0" collapsed="false">
      <c r="H1003" s="0" t="n">
        <v>3.05</v>
      </c>
    </row>
    <row r="1004" customFormat="false" ht="14.25" hidden="false" customHeight="false" outlineLevel="0" collapsed="false">
      <c r="H1004" s="0" t="n">
        <v>3.05</v>
      </c>
    </row>
    <row r="1005" customFormat="false" ht="14.25" hidden="false" customHeight="false" outlineLevel="0" collapsed="false">
      <c r="H1005" s="0" t="n">
        <v>3.06</v>
      </c>
    </row>
    <row r="1006" customFormat="false" ht="14.25" hidden="false" customHeight="false" outlineLevel="0" collapsed="false">
      <c r="H1006" s="0" t="n">
        <v>3.06</v>
      </c>
    </row>
    <row r="1007" customFormat="false" ht="14.25" hidden="false" customHeight="false" outlineLevel="0" collapsed="false">
      <c r="H1007" s="0" t="n">
        <v>3.05</v>
      </c>
    </row>
    <row r="1008" customFormat="false" ht="14.25" hidden="false" customHeight="false" outlineLevel="0" collapsed="false">
      <c r="H1008" s="0" t="n">
        <v>3.05</v>
      </c>
    </row>
    <row r="1009" customFormat="false" ht="14.25" hidden="false" customHeight="false" outlineLevel="0" collapsed="false">
      <c r="H1009" s="0" t="n">
        <v>3.06</v>
      </c>
    </row>
    <row r="1010" customFormat="false" ht="14.25" hidden="false" customHeight="false" outlineLevel="0" collapsed="false">
      <c r="H1010" s="0" t="n">
        <v>3.04</v>
      </c>
    </row>
    <row r="1011" customFormat="false" ht="14.25" hidden="false" customHeight="false" outlineLevel="0" collapsed="false">
      <c r="H1011" s="0" t="n">
        <v>3.05</v>
      </c>
    </row>
    <row r="1012" customFormat="false" ht="14.25" hidden="false" customHeight="false" outlineLevel="0" collapsed="false">
      <c r="H1012" s="0" t="n">
        <v>3.04</v>
      </c>
    </row>
    <row r="1013" customFormat="false" ht="14.25" hidden="false" customHeight="false" outlineLevel="0" collapsed="false">
      <c r="H1013" s="0" t="n">
        <v>3.05</v>
      </c>
    </row>
    <row r="1014" customFormat="false" ht="14.25" hidden="false" customHeight="false" outlineLevel="0" collapsed="false">
      <c r="H1014" s="0" t="n">
        <v>3.04</v>
      </c>
    </row>
    <row r="1015" customFormat="false" ht="14.25" hidden="false" customHeight="false" outlineLevel="0" collapsed="false">
      <c r="H1015" s="0" t="n">
        <v>3.04</v>
      </c>
    </row>
    <row r="1016" customFormat="false" ht="14.25" hidden="false" customHeight="false" outlineLevel="0" collapsed="false">
      <c r="H1016" s="0" t="n">
        <v>3.04</v>
      </c>
    </row>
    <row r="1017" customFormat="false" ht="14.25" hidden="false" customHeight="false" outlineLevel="0" collapsed="false">
      <c r="H1017" s="0" t="n">
        <v>3.05</v>
      </c>
    </row>
    <row r="1018" customFormat="false" ht="14.25" hidden="false" customHeight="false" outlineLevel="0" collapsed="false">
      <c r="H1018" s="0" t="n">
        <v>3.04</v>
      </c>
    </row>
    <row r="1019" customFormat="false" ht="14.25" hidden="false" customHeight="false" outlineLevel="0" collapsed="false">
      <c r="H1019" s="0" t="n">
        <v>3.06</v>
      </c>
    </row>
    <row r="1020" customFormat="false" ht="14.25" hidden="false" customHeight="false" outlineLevel="0" collapsed="false">
      <c r="H1020" s="0" t="n">
        <v>3.07</v>
      </c>
    </row>
    <row r="1021" customFormat="false" ht="14.25" hidden="false" customHeight="false" outlineLevel="0" collapsed="false">
      <c r="H1021" s="0" t="n">
        <v>3.05</v>
      </c>
    </row>
    <row r="1022" customFormat="false" ht="14.25" hidden="false" customHeight="false" outlineLevel="0" collapsed="false">
      <c r="H1022" s="0" t="n">
        <v>3.05</v>
      </c>
    </row>
    <row r="1023" customFormat="false" ht="14.25" hidden="false" customHeight="false" outlineLevel="0" collapsed="false">
      <c r="H1023" s="0" t="n">
        <v>3.06</v>
      </c>
    </row>
    <row r="1024" customFormat="false" ht="14.25" hidden="false" customHeight="false" outlineLevel="0" collapsed="false">
      <c r="H1024" s="0" t="n">
        <v>3.06</v>
      </c>
    </row>
    <row r="1025" customFormat="false" ht="14.25" hidden="false" customHeight="false" outlineLevel="0" collapsed="false">
      <c r="H1025" s="0" t="n">
        <v>3.08</v>
      </c>
    </row>
    <row r="1026" customFormat="false" ht="14.25" hidden="false" customHeight="false" outlineLevel="0" collapsed="false">
      <c r="H1026" s="0" t="n">
        <v>3.12</v>
      </c>
    </row>
    <row r="1027" customFormat="false" ht="14.25" hidden="false" customHeight="false" outlineLevel="0" collapsed="false">
      <c r="H1027" s="0" t="n">
        <v>3.1</v>
      </c>
    </row>
    <row r="1028" customFormat="false" ht="14.25" hidden="false" customHeight="false" outlineLevel="0" collapsed="false">
      <c r="H1028" s="0" t="n">
        <v>3.05</v>
      </c>
    </row>
    <row r="1029" customFormat="false" ht="14.25" hidden="false" customHeight="false" outlineLevel="0" collapsed="false">
      <c r="H1029" s="0" t="n">
        <v>3.06</v>
      </c>
    </row>
    <row r="1030" customFormat="false" ht="14.25" hidden="false" customHeight="false" outlineLevel="0" collapsed="false">
      <c r="H1030" s="0" t="n">
        <v>3.05</v>
      </c>
    </row>
    <row r="1031" customFormat="false" ht="14.25" hidden="false" customHeight="false" outlineLevel="0" collapsed="false">
      <c r="H1031" s="0" t="n">
        <v>3.05</v>
      </c>
    </row>
    <row r="1032" customFormat="false" ht="14.25" hidden="false" customHeight="false" outlineLevel="0" collapsed="false">
      <c r="H1032" s="0" t="n">
        <v>3.04</v>
      </c>
    </row>
    <row r="1033" customFormat="false" ht="14.25" hidden="false" customHeight="false" outlineLevel="0" collapsed="false">
      <c r="H1033" s="0" t="n">
        <v>3.05</v>
      </c>
    </row>
    <row r="1034" customFormat="false" ht="14.25" hidden="false" customHeight="false" outlineLevel="0" collapsed="false">
      <c r="H1034" s="0" t="n">
        <v>3.06</v>
      </c>
    </row>
    <row r="1035" customFormat="false" ht="14.25" hidden="false" customHeight="false" outlineLevel="0" collapsed="false">
      <c r="H1035" s="0" t="n">
        <v>3.05</v>
      </c>
    </row>
    <row r="1036" customFormat="false" ht="14.25" hidden="false" customHeight="false" outlineLevel="0" collapsed="false">
      <c r="H1036" s="0" t="n">
        <v>3.06</v>
      </c>
    </row>
    <row r="1037" customFormat="false" ht="14.25" hidden="false" customHeight="false" outlineLevel="0" collapsed="false">
      <c r="H1037" s="0" t="n">
        <v>3.05</v>
      </c>
    </row>
    <row r="1038" customFormat="false" ht="14.25" hidden="false" customHeight="false" outlineLevel="0" collapsed="false">
      <c r="H1038" s="0" t="n">
        <v>3.06</v>
      </c>
    </row>
    <row r="1039" customFormat="false" ht="14.25" hidden="false" customHeight="false" outlineLevel="0" collapsed="false">
      <c r="H1039" s="0" t="n">
        <v>3.09</v>
      </c>
    </row>
    <row r="1040" customFormat="false" ht="14.25" hidden="false" customHeight="false" outlineLevel="0" collapsed="false">
      <c r="H1040" s="0" t="n">
        <v>3.13</v>
      </c>
    </row>
    <row r="1041" customFormat="false" ht="14.25" hidden="false" customHeight="false" outlineLevel="0" collapsed="false">
      <c r="H1041" s="0" t="n">
        <v>3.08</v>
      </c>
    </row>
    <row r="1042" customFormat="false" ht="14.25" hidden="false" customHeight="false" outlineLevel="0" collapsed="false">
      <c r="H1042" s="0" t="n">
        <v>3.04</v>
      </c>
    </row>
    <row r="1043" customFormat="false" ht="14.25" hidden="false" customHeight="false" outlineLevel="0" collapsed="false">
      <c r="H1043" s="0" t="n">
        <v>3.05</v>
      </c>
    </row>
    <row r="1044" customFormat="false" ht="14.25" hidden="false" customHeight="false" outlineLevel="0" collapsed="false">
      <c r="H1044" s="0" t="n">
        <v>3.09</v>
      </c>
    </row>
    <row r="1045" customFormat="false" ht="14.25" hidden="false" customHeight="false" outlineLevel="0" collapsed="false">
      <c r="H1045" s="0" t="n">
        <v>3.09</v>
      </c>
    </row>
    <row r="1046" customFormat="false" ht="14.25" hidden="false" customHeight="false" outlineLevel="0" collapsed="false">
      <c r="H1046" s="0" t="n">
        <v>3.12</v>
      </c>
    </row>
    <row r="1047" customFormat="false" ht="14.25" hidden="false" customHeight="false" outlineLevel="0" collapsed="false">
      <c r="H1047" s="0" t="n">
        <v>3.14</v>
      </c>
    </row>
    <row r="1048" customFormat="false" ht="14.25" hidden="false" customHeight="false" outlineLevel="0" collapsed="false">
      <c r="H1048" s="0" t="n">
        <v>3.09</v>
      </c>
    </row>
    <row r="1049" customFormat="false" ht="14.25" hidden="false" customHeight="false" outlineLevel="0" collapsed="false">
      <c r="H1049" s="0" t="n">
        <v>3.04</v>
      </c>
    </row>
    <row r="1050" customFormat="false" ht="14.25" hidden="false" customHeight="false" outlineLevel="0" collapsed="false">
      <c r="H1050" s="0" t="n">
        <v>3.05</v>
      </c>
    </row>
    <row r="1051" customFormat="false" ht="14.25" hidden="false" customHeight="false" outlineLevel="0" collapsed="false">
      <c r="H1051" s="0" t="n">
        <v>3.07</v>
      </c>
    </row>
    <row r="1052" customFormat="false" ht="14.25" hidden="false" customHeight="false" outlineLevel="0" collapsed="false">
      <c r="H1052" s="0" t="n">
        <v>3.06</v>
      </c>
    </row>
    <row r="1053" customFormat="false" ht="14.25" hidden="false" customHeight="false" outlineLevel="0" collapsed="false">
      <c r="H1053" s="0" t="n">
        <v>3.04</v>
      </c>
    </row>
    <row r="1054" customFormat="false" ht="14.25" hidden="false" customHeight="false" outlineLevel="0" collapsed="false">
      <c r="H1054" s="0" t="n">
        <v>3.05</v>
      </c>
    </row>
    <row r="1055" customFormat="false" ht="14.25" hidden="false" customHeight="false" outlineLevel="0" collapsed="false">
      <c r="H1055" s="0" t="n">
        <v>3.06</v>
      </c>
    </row>
    <row r="1056" customFormat="false" ht="14.25" hidden="false" customHeight="false" outlineLevel="0" collapsed="false">
      <c r="H1056" s="0" t="n">
        <v>3.06</v>
      </c>
    </row>
    <row r="1057" customFormat="false" ht="14.25" hidden="false" customHeight="false" outlineLevel="0" collapsed="false">
      <c r="H1057" s="0" t="n">
        <v>3.04</v>
      </c>
    </row>
    <row r="1058" customFormat="false" ht="14.25" hidden="false" customHeight="false" outlineLevel="0" collapsed="false">
      <c r="H1058" s="0" t="n">
        <v>3.03</v>
      </c>
    </row>
    <row r="1059" customFormat="false" ht="14.25" hidden="false" customHeight="false" outlineLevel="0" collapsed="false">
      <c r="H1059" s="0" t="n">
        <v>3.05</v>
      </c>
    </row>
    <row r="1060" customFormat="false" ht="14.25" hidden="false" customHeight="false" outlineLevel="0" collapsed="false">
      <c r="H1060" s="0" t="n">
        <v>3.05</v>
      </c>
    </row>
    <row r="1061" customFormat="false" ht="14.25" hidden="false" customHeight="false" outlineLevel="0" collapsed="false">
      <c r="H1061" s="0" t="n">
        <v>3.06</v>
      </c>
    </row>
    <row r="1062" customFormat="false" ht="14.25" hidden="false" customHeight="false" outlineLevel="0" collapsed="false">
      <c r="H1062" s="0" t="n">
        <v>3.07</v>
      </c>
    </row>
    <row r="1063" customFormat="false" ht="14.25" hidden="false" customHeight="false" outlineLevel="0" collapsed="false">
      <c r="H1063" s="0" t="n">
        <v>3.07</v>
      </c>
    </row>
    <row r="1064" customFormat="false" ht="14.25" hidden="false" customHeight="false" outlineLevel="0" collapsed="false">
      <c r="H1064" s="0" t="n">
        <v>3.07</v>
      </c>
    </row>
    <row r="1065" customFormat="false" ht="14.25" hidden="false" customHeight="false" outlineLevel="0" collapsed="false">
      <c r="H1065" s="0" t="n">
        <v>3.09</v>
      </c>
    </row>
    <row r="1066" customFormat="false" ht="14.25" hidden="false" customHeight="false" outlineLevel="0" collapsed="false">
      <c r="H1066" s="0" t="n">
        <v>3.13</v>
      </c>
    </row>
    <row r="1067" customFormat="false" ht="14.25" hidden="false" customHeight="false" outlineLevel="0" collapsed="false">
      <c r="H1067" s="0" t="n">
        <v>3.13</v>
      </c>
    </row>
    <row r="1068" customFormat="false" ht="14.25" hidden="false" customHeight="false" outlineLevel="0" collapsed="false">
      <c r="H1068" s="0" t="n">
        <v>3.1</v>
      </c>
    </row>
    <row r="1069" customFormat="false" ht="14.25" hidden="false" customHeight="false" outlineLevel="0" collapsed="false">
      <c r="H1069" s="0" t="n">
        <v>3.06</v>
      </c>
    </row>
    <row r="1070" customFormat="false" ht="14.25" hidden="false" customHeight="false" outlineLevel="0" collapsed="false">
      <c r="H1070" s="0" t="n">
        <v>3.05</v>
      </c>
    </row>
    <row r="1071" customFormat="false" ht="14.25" hidden="false" customHeight="false" outlineLevel="0" collapsed="false">
      <c r="H1071" s="0" t="n">
        <v>3.05</v>
      </c>
    </row>
    <row r="1072" customFormat="false" ht="14.25" hidden="false" customHeight="false" outlineLevel="0" collapsed="false">
      <c r="H1072" s="0" t="n">
        <v>3.06</v>
      </c>
    </row>
    <row r="1073" customFormat="false" ht="14.25" hidden="false" customHeight="false" outlineLevel="0" collapsed="false">
      <c r="H1073" s="0" t="n">
        <v>3.06</v>
      </c>
    </row>
    <row r="1074" customFormat="false" ht="14.25" hidden="false" customHeight="false" outlineLevel="0" collapsed="false">
      <c r="H1074" s="0" t="n">
        <v>3.07</v>
      </c>
    </row>
    <row r="1075" customFormat="false" ht="14.25" hidden="false" customHeight="false" outlineLevel="0" collapsed="false">
      <c r="H1075" s="0" t="n">
        <v>3.08</v>
      </c>
    </row>
    <row r="1076" customFormat="false" ht="14.25" hidden="false" customHeight="false" outlineLevel="0" collapsed="false">
      <c r="H1076" s="0" t="n">
        <v>3.08</v>
      </c>
    </row>
    <row r="1077" customFormat="false" ht="14.25" hidden="false" customHeight="false" outlineLevel="0" collapsed="false">
      <c r="H1077" s="0" t="n">
        <v>3.07</v>
      </c>
    </row>
    <row r="1078" customFormat="false" ht="14.25" hidden="false" customHeight="false" outlineLevel="0" collapsed="false">
      <c r="H1078" s="0" t="n">
        <v>3.07</v>
      </c>
    </row>
    <row r="1079" customFormat="false" ht="14.25" hidden="false" customHeight="false" outlineLevel="0" collapsed="false">
      <c r="H1079" s="0" t="n">
        <v>3.07</v>
      </c>
    </row>
    <row r="1080" customFormat="false" ht="14.25" hidden="false" customHeight="false" outlineLevel="0" collapsed="false">
      <c r="H1080" s="0" t="n">
        <v>3.06</v>
      </c>
    </row>
    <row r="1081" customFormat="false" ht="14.25" hidden="false" customHeight="false" outlineLevel="0" collapsed="false">
      <c r="H1081" s="0" t="n">
        <v>3.07</v>
      </c>
    </row>
    <row r="1082" customFormat="false" ht="14.25" hidden="false" customHeight="false" outlineLevel="0" collapsed="false">
      <c r="H1082" s="0" t="n">
        <v>3.07</v>
      </c>
    </row>
    <row r="1083" customFormat="false" ht="14.25" hidden="false" customHeight="false" outlineLevel="0" collapsed="false">
      <c r="H1083" s="0" t="n">
        <v>3.08</v>
      </c>
    </row>
    <row r="1084" customFormat="false" ht="14.25" hidden="false" customHeight="false" outlineLevel="0" collapsed="false">
      <c r="H1084" s="0" t="n">
        <v>3.1</v>
      </c>
    </row>
    <row r="1085" customFormat="false" ht="14.25" hidden="false" customHeight="false" outlineLevel="0" collapsed="false">
      <c r="H1085" s="0" t="n">
        <v>3.14</v>
      </c>
    </row>
    <row r="1086" customFormat="false" ht="14.25" hidden="false" customHeight="false" outlineLevel="0" collapsed="false">
      <c r="H1086" s="0" t="n">
        <v>3.12</v>
      </c>
    </row>
    <row r="1087" customFormat="false" ht="14.25" hidden="false" customHeight="false" outlineLevel="0" collapsed="false">
      <c r="H1087" s="0" t="n">
        <v>3.07</v>
      </c>
    </row>
    <row r="1088" customFormat="false" ht="14.25" hidden="false" customHeight="false" outlineLevel="0" collapsed="false">
      <c r="H1088" s="0" t="n">
        <v>3.07</v>
      </c>
    </row>
    <row r="1089" customFormat="false" ht="14.25" hidden="false" customHeight="false" outlineLevel="0" collapsed="false">
      <c r="H1089" s="0" t="n">
        <v>3.06</v>
      </c>
    </row>
    <row r="1090" customFormat="false" ht="14.25" hidden="false" customHeight="false" outlineLevel="0" collapsed="false">
      <c r="H1090" s="0" t="n">
        <v>3.06</v>
      </c>
    </row>
    <row r="1091" customFormat="false" ht="14.25" hidden="false" customHeight="false" outlineLevel="0" collapsed="false">
      <c r="H1091" s="0" t="n">
        <v>3.05</v>
      </c>
    </row>
    <row r="1092" customFormat="false" ht="14.25" hidden="false" customHeight="false" outlineLevel="0" collapsed="false">
      <c r="H1092" s="0" t="n">
        <v>3.06</v>
      </c>
    </row>
    <row r="1093" customFormat="false" ht="14.25" hidden="false" customHeight="false" outlineLevel="0" collapsed="false">
      <c r="H1093" s="0" t="n">
        <v>3.05</v>
      </c>
    </row>
    <row r="1094" customFormat="false" ht="14.25" hidden="false" customHeight="false" outlineLevel="0" collapsed="false">
      <c r="H1094" s="0" t="n">
        <v>3.06</v>
      </c>
    </row>
    <row r="1095" customFormat="false" ht="14.25" hidden="false" customHeight="false" outlineLevel="0" collapsed="false">
      <c r="H1095" s="0" t="n">
        <v>3.06</v>
      </c>
    </row>
    <row r="1096" customFormat="false" ht="14.25" hidden="false" customHeight="false" outlineLevel="0" collapsed="false">
      <c r="H1096" s="0" t="n">
        <v>3.06</v>
      </c>
    </row>
    <row r="1097" customFormat="false" ht="14.25" hidden="false" customHeight="false" outlineLevel="0" collapsed="false">
      <c r="H1097" s="0" t="n">
        <v>3.06</v>
      </c>
    </row>
    <row r="1098" customFormat="false" ht="14.25" hidden="false" customHeight="false" outlineLevel="0" collapsed="false">
      <c r="H1098" s="0" t="n">
        <v>3.06</v>
      </c>
    </row>
    <row r="1099" customFormat="false" ht="14.25" hidden="false" customHeight="false" outlineLevel="0" collapsed="false">
      <c r="H1099" s="0" t="n">
        <v>3.06</v>
      </c>
    </row>
    <row r="1100" customFormat="false" ht="14.25" hidden="false" customHeight="false" outlineLevel="0" collapsed="false">
      <c r="H1100" s="0" t="n">
        <v>3.07</v>
      </c>
    </row>
    <row r="1101" customFormat="false" ht="14.25" hidden="false" customHeight="false" outlineLevel="0" collapsed="false">
      <c r="H1101" s="0" t="n">
        <v>3.07</v>
      </c>
    </row>
    <row r="1102" customFormat="false" ht="14.25" hidden="false" customHeight="false" outlineLevel="0" collapsed="false">
      <c r="H1102" s="0" t="n">
        <v>3.07</v>
      </c>
    </row>
    <row r="1103" customFormat="false" ht="14.25" hidden="false" customHeight="false" outlineLevel="0" collapsed="false">
      <c r="H1103" s="0" t="n">
        <v>3.07</v>
      </c>
    </row>
    <row r="1104" customFormat="false" ht="14.25" hidden="false" customHeight="false" outlineLevel="0" collapsed="false">
      <c r="H1104" s="0" t="n">
        <v>3.07</v>
      </c>
    </row>
    <row r="1105" customFormat="false" ht="14.25" hidden="false" customHeight="false" outlineLevel="0" collapsed="false">
      <c r="H1105" s="0" t="n">
        <v>3.07</v>
      </c>
    </row>
    <row r="1106" customFormat="false" ht="14.25" hidden="false" customHeight="false" outlineLevel="0" collapsed="false">
      <c r="H1106" s="0" t="n">
        <v>3.07</v>
      </c>
    </row>
    <row r="1107" customFormat="false" ht="14.25" hidden="false" customHeight="false" outlineLevel="0" collapsed="false">
      <c r="H1107" s="0" t="n">
        <v>3.07</v>
      </c>
    </row>
    <row r="1108" customFormat="false" ht="14.25" hidden="false" customHeight="false" outlineLevel="0" collapsed="false">
      <c r="H1108" s="0" t="n">
        <v>3.08</v>
      </c>
    </row>
    <row r="1109" customFormat="false" ht="14.25" hidden="false" customHeight="false" outlineLevel="0" collapsed="false">
      <c r="H1109" s="0" t="n">
        <v>3.08</v>
      </c>
    </row>
    <row r="1110" customFormat="false" ht="14.25" hidden="false" customHeight="false" outlineLevel="0" collapsed="false">
      <c r="H1110" s="0" t="n">
        <v>3.08</v>
      </c>
    </row>
    <row r="1111" customFormat="false" ht="14.25" hidden="false" customHeight="false" outlineLevel="0" collapsed="false">
      <c r="H1111" s="0" t="n">
        <v>3.08</v>
      </c>
    </row>
    <row r="1112" customFormat="false" ht="14.25" hidden="false" customHeight="false" outlineLevel="0" collapsed="false">
      <c r="H1112" s="0" t="n">
        <v>3.08</v>
      </c>
    </row>
    <row r="1113" customFormat="false" ht="14.25" hidden="false" customHeight="false" outlineLevel="0" collapsed="false">
      <c r="H1113" s="0" t="n">
        <v>3.08</v>
      </c>
    </row>
    <row r="1114" customFormat="false" ht="14.25" hidden="false" customHeight="false" outlineLevel="0" collapsed="false">
      <c r="H1114" s="0" t="n">
        <v>3.09</v>
      </c>
    </row>
    <row r="1115" customFormat="false" ht="14.25" hidden="false" customHeight="false" outlineLevel="0" collapsed="false">
      <c r="H1115" s="0" t="n">
        <v>3.08</v>
      </c>
    </row>
    <row r="1116" customFormat="false" ht="14.25" hidden="false" customHeight="false" outlineLevel="0" collapsed="false">
      <c r="H1116" s="0" t="n">
        <v>3.1</v>
      </c>
    </row>
    <row r="1117" customFormat="false" ht="14.25" hidden="false" customHeight="false" outlineLevel="0" collapsed="false">
      <c r="H1117" s="0" t="n">
        <v>3.09</v>
      </c>
    </row>
    <row r="1118" customFormat="false" ht="14.25" hidden="false" customHeight="false" outlineLevel="0" collapsed="false">
      <c r="H1118" s="0" t="n">
        <v>3.09</v>
      </c>
    </row>
    <row r="1119" customFormat="false" ht="14.25" hidden="false" customHeight="false" outlineLevel="0" collapsed="false">
      <c r="H1119" s="0" t="n">
        <v>3.09</v>
      </c>
    </row>
    <row r="1120" customFormat="false" ht="14.25" hidden="false" customHeight="false" outlineLevel="0" collapsed="false">
      <c r="H1120" s="0" t="n">
        <v>3.09</v>
      </c>
    </row>
    <row r="1121" customFormat="false" ht="14.25" hidden="false" customHeight="false" outlineLevel="0" collapsed="false">
      <c r="H1121" s="0" t="n">
        <v>3.1</v>
      </c>
    </row>
    <row r="1122" customFormat="false" ht="14.25" hidden="false" customHeight="false" outlineLevel="0" collapsed="false">
      <c r="H1122" s="0" t="n">
        <v>3.1</v>
      </c>
    </row>
    <row r="1123" customFormat="false" ht="14.25" hidden="false" customHeight="false" outlineLevel="0" collapsed="false">
      <c r="H1123" s="0" t="n">
        <v>3.1</v>
      </c>
    </row>
    <row r="1124" customFormat="false" ht="14.25" hidden="false" customHeight="false" outlineLevel="0" collapsed="false">
      <c r="H1124" s="0" t="n">
        <v>3.09</v>
      </c>
    </row>
    <row r="1125" customFormat="false" ht="14.25" hidden="false" customHeight="false" outlineLevel="0" collapsed="false">
      <c r="H1125" s="0" t="n">
        <v>3.11</v>
      </c>
    </row>
    <row r="1126" customFormat="false" ht="14.25" hidden="false" customHeight="false" outlineLevel="0" collapsed="false">
      <c r="H1126" s="0" t="n">
        <v>3.11</v>
      </c>
    </row>
    <row r="1127" customFormat="false" ht="14.25" hidden="false" customHeight="false" outlineLevel="0" collapsed="false">
      <c r="H1127" s="0" t="n">
        <v>3.11</v>
      </c>
    </row>
    <row r="1128" customFormat="false" ht="14.25" hidden="false" customHeight="false" outlineLevel="0" collapsed="false">
      <c r="H1128" s="0" t="n">
        <v>3.11</v>
      </c>
    </row>
    <row r="1129" customFormat="false" ht="14.25" hidden="false" customHeight="false" outlineLevel="0" collapsed="false">
      <c r="H1129" s="0" t="n">
        <v>3.11</v>
      </c>
    </row>
    <row r="1130" customFormat="false" ht="14.25" hidden="false" customHeight="false" outlineLevel="0" collapsed="false">
      <c r="H1130" s="0" t="n">
        <v>3.1</v>
      </c>
    </row>
    <row r="1131" customFormat="false" ht="14.25" hidden="false" customHeight="false" outlineLevel="0" collapsed="false">
      <c r="H1131" s="0" t="n">
        <v>3.11</v>
      </c>
    </row>
    <row r="1132" customFormat="false" ht="14.25" hidden="false" customHeight="false" outlineLevel="0" collapsed="false">
      <c r="H1132" s="0" t="n">
        <v>3.11</v>
      </c>
    </row>
    <row r="1133" customFormat="false" ht="14.25" hidden="false" customHeight="false" outlineLevel="0" collapsed="false">
      <c r="H1133" s="0" t="n">
        <v>3.12</v>
      </c>
    </row>
    <row r="1134" customFormat="false" ht="14.25" hidden="false" customHeight="false" outlineLevel="0" collapsed="false">
      <c r="H1134" s="0" t="n">
        <v>3.11</v>
      </c>
    </row>
    <row r="1135" customFormat="false" ht="14.25" hidden="false" customHeight="false" outlineLevel="0" collapsed="false">
      <c r="H1135" s="0" t="n">
        <v>3.12</v>
      </c>
    </row>
    <row r="1136" customFormat="false" ht="14.25" hidden="false" customHeight="false" outlineLevel="0" collapsed="false">
      <c r="H1136" s="0" t="n">
        <v>3.12</v>
      </c>
    </row>
    <row r="1137" customFormat="false" ht="14.25" hidden="false" customHeight="false" outlineLevel="0" collapsed="false">
      <c r="H1137" s="0" t="n">
        <v>3.12</v>
      </c>
    </row>
    <row r="1138" customFormat="false" ht="14.25" hidden="false" customHeight="false" outlineLevel="0" collapsed="false">
      <c r="H1138" s="0" t="n">
        <v>3.12</v>
      </c>
    </row>
    <row r="1139" customFormat="false" ht="14.25" hidden="false" customHeight="false" outlineLevel="0" collapsed="false">
      <c r="H1139" s="0" t="n">
        <v>3.12</v>
      </c>
    </row>
    <row r="1140" customFormat="false" ht="14.25" hidden="false" customHeight="false" outlineLevel="0" collapsed="false">
      <c r="H1140" s="0" t="n">
        <v>3.11</v>
      </c>
    </row>
    <row r="1141" customFormat="false" ht="14.25" hidden="false" customHeight="false" outlineLevel="0" collapsed="false">
      <c r="H1141" s="0" t="n">
        <v>3.12</v>
      </c>
    </row>
    <row r="1142" customFormat="false" ht="14.25" hidden="false" customHeight="false" outlineLevel="0" collapsed="false">
      <c r="H1142" s="0" t="n">
        <v>3.13</v>
      </c>
    </row>
    <row r="1143" customFormat="false" ht="14.25" hidden="false" customHeight="false" outlineLevel="0" collapsed="false">
      <c r="H1143" s="0" t="n">
        <v>3.11</v>
      </c>
    </row>
    <row r="1144" customFormat="false" ht="14.25" hidden="false" customHeight="false" outlineLevel="0" collapsed="false">
      <c r="H1144" s="0" t="n">
        <v>3.13</v>
      </c>
    </row>
    <row r="1145" customFormat="false" ht="14.25" hidden="false" customHeight="false" outlineLevel="0" collapsed="false">
      <c r="H1145" s="0" t="n">
        <v>3.11</v>
      </c>
    </row>
    <row r="1146" customFormat="false" ht="14.25" hidden="false" customHeight="false" outlineLevel="0" collapsed="false">
      <c r="H1146" s="0" t="n">
        <v>3.13</v>
      </c>
    </row>
    <row r="1147" customFormat="false" ht="14.25" hidden="false" customHeight="false" outlineLevel="0" collapsed="false">
      <c r="H1147" s="0" t="n">
        <v>3.11</v>
      </c>
    </row>
    <row r="1148" customFormat="false" ht="14.25" hidden="false" customHeight="false" outlineLevel="0" collapsed="false">
      <c r="H1148" s="0" t="n">
        <v>3.13</v>
      </c>
    </row>
    <row r="1149" customFormat="false" ht="14.25" hidden="false" customHeight="false" outlineLevel="0" collapsed="false">
      <c r="H1149" s="0" t="n">
        <v>3.13</v>
      </c>
    </row>
    <row r="1150" customFormat="false" ht="14.25" hidden="false" customHeight="false" outlineLevel="0" collapsed="false">
      <c r="H1150" s="0" t="n">
        <v>3.11</v>
      </c>
    </row>
    <row r="1151" customFormat="false" ht="14.25" hidden="false" customHeight="false" outlineLevel="0" collapsed="false">
      <c r="H1151" s="0" t="n">
        <v>3.12</v>
      </c>
    </row>
    <row r="1152" customFormat="false" ht="14.25" hidden="false" customHeight="false" outlineLevel="0" collapsed="false">
      <c r="H1152" s="0" t="n">
        <v>3.12</v>
      </c>
    </row>
    <row r="1153" customFormat="false" ht="14.25" hidden="false" customHeight="false" outlineLevel="0" collapsed="false">
      <c r="H1153" s="0" t="n">
        <v>3.12</v>
      </c>
    </row>
    <row r="1154" customFormat="false" ht="14.25" hidden="false" customHeight="false" outlineLevel="0" collapsed="false">
      <c r="H1154" s="0" t="n">
        <v>3.12</v>
      </c>
    </row>
    <row r="1155" customFormat="false" ht="14.25" hidden="false" customHeight="false" outlineLevel="0" collapsed="false">
      <c r="H1155" s="0" t="n">
        <v>3.12</v>
      </c>
    </row>
    <row r="1156" customFormat="false" ht="14.25" hidden="false" customHeight="false" outlineLevel="0" collapsed="false">
      <c r="H1156" s="0" t="n">
        <v>3.11</v>
      </c>
    </row>
    <row r="1157" customFormat="false" ht="14.25" hidden="false" customHeight="false" outlineLevel="0" collapsed="false">
      <c r="H1157" s="0" t="n">
        <v>3.13</v>
      </c>
    </row>
    <row r="1158" customFormat="false" ht="14.25" hidden="false" customHeight="false" outlineLevel="0" collapsed="false">
      <c r="H1158" s="0" t="n">
        <v>3.12</v>
      </c>
    </row>
    <row r="1159" customFormat="false" ht="14.25" hidden="false" customHeight="false" outlineLevel="0" collapsed="false">
      <c r="H1159" s="0" t="n">
        <v>3.13</v>
      </c>
    </row>
    <row r="1160" customFormat="false" ht="14.25" hidden="false" customHeight="false" outlineLevel="0" collapsed="false">
      <c r="H1160" s="0" t="n">
        <v>3.13</v>
      </c>
    </row>
    <row r="1161" customFormat="false" ht="14.25" hidden="false" customHeight="false" outlineLevel="0" collapsed="false">
      <c r="H1161" s="0" t="n">
        <v>3.13</v>
      </c>
    </row>
    <row r="1162" customFormat="false" ht="14.25" hidden="false" customHeight="false" outlineLevel="0" collapsed="false">
      <c r="H1162" s="0" t="n">
        <v>3.13</v>
      </c>
    </row>
    <row r="1163" customFormat="false" ht="14.25" hidden="false" customHeight="false" outlineLevel="0" collapsed="false">
      <c r="H1163" s="0" t="n">
        <v>3.14</v>
      </c>
    </row>
    <row r="1164" customFormat="false" ht="14.25" hidden="false" customHeight="false" outlineLevel="0" collapsed="false">
      <c r="H1164" s="0" t="n">
        <v>3.14</v>
      </c>
    </row>
    <row r="1165" customFormat="false" ht="14.25" hidden="false" customHeight="false" outlineLevel="0" collapsed="false">
      <c r="H1165" s="0" t="n">
        <v>3.14</v>
      </c>
    </row>
    <row r="1166" customFormat="false" ht="14.25" hidden="false" customHeight="false" outlineLevel="0" collapsed="false">
      <c r="H1166" s="0" t="n">
        <v>3.14</v>
      </c>
    </row>
    <row r="1167" customFormat="false" ht="14.25" hidden="false" customHeight="false" outlineLevel="0" collapsed="false">
      <c r="H1167" s="0" t="n">
        <v>3.13</v>
      </c>
    </row>
    <row r="1168" customFormat="false" ht="14.25" hidden="false" customHeight="false" outlineLevel="0" collapsed="false">
      <c r="H1168" s="0" t="n">
        <v>3.14</v>
      </c>
    </row>
    <row r="1169" customFormat="false" ht="14.25" hidden="false" customHeight="false" outlineLevel="0" collapsed="false">
      <c r="H1169" s="0" t="n">
        <v>3.14</v>
      </c>
    </row>
    <row r="1170" customFormat="false" ht="14.25" hidden="false" customHeight="false" outlineLevel="0" collapsed="false">
      <c r="H1170" s="0" t="n">
        <v>3.14</v>
      </c>
    </row>
    <row r="1171" customFormat="false" ht="14.25" hidden="false" customHeight="false" outlineLevel="0" collapsed="false">
      <c r="H1171" s="0" t="n">
        <v>3.15</v>
      </c>
    </row>
    <row r="1172" customFormat="false" ht="14.25" hidden="false" customHeight="false" outlineLevel="0" collapsed="false">
      <c r="H1172" s="0" t="n">
        <v>3.15</v>
      </c>
    </row>
    <row r="1173" customFormat="false" ht="14.25" hidden="false" customHeight="false" outlineLevel="0" collapsed="false">
      <c r="H1173" s="0" t="n">
        <v>3.15</v>
      </c>
    </row>
    <row r="1174" customFormat="false" ht="14.25" hidden="false" customHeight="false" outlineLevel="0" collapsed="false">
      <c r="H1174" s="0" t="n">
        <v>3.14</v>
      </c>
    </row>
    <row r="1175" customFormat="false" ht="14.25" hidden="false" customHeight="false" outlineLevel="0" collapsed="false">
      <c r="H1175" s="0" t="n">
        <v>3.15</v>
      </c>
    </row>
    <row r="1176" customFormat="false" ht="14.25" hidden="false" customHeight="false" outlineLevel="0" collapsed="false">
      <c r="H1176" s="0" t="n">
        <v>3.15</v>
      </c>
    </row>
    <row r="1177" customFormat="false" ht="14.25" hidden="false" customHeight="false" outlineLevel="0" collapsed="false">
      <c r="H1177" s="0" t="n">
        <v>3.15</v>
      </c>
    </row>
    <row r="1178" customFormat="false" ht="14.25" hidden="false" customHeight="false" outlineLevel="0" collapsed="false">
      <c r="H1178" s="0" t="n">
        <v>3.15</v>
      </c>
    </row>
    <row r="1179" customFormat="false" ht="14.25" hidden="false" customHeight="false" outlineLevel="0" collapsed="false">
      <c r="H1179" s="0" t="n">
        <v>3.15</v>
      </c>
    </row>
    <row r="1180" customFormat="false" ht="14.25" hidden="false" customHeight="false" outlineLevel="0" collapsed="false">
      <c r="H1180" s="0" t="n">
        <v>3.16</v>
      </c>
    </row>
    <row r="1181" customFormat="false" ht="14.25" hidden="false" customHeight="false" outlineLevel="0" collapsed="false">
      <c r="H1181" s="0" t="n">
        <v>3.15</v>
      </c>
    </row>
    <row r="1182" customFormat="false" ht="14.25" hidden="false" customHeight="false" outlineLevel="0" collapsed="false">
      <c r="H1182" s="0" t="n">
        <v>3.16</v>
      </c>
    </row>
    <row r="1183" customFormat="false" ht="14.25" hidden="false" customHeight="false" outlineLevel="0" collapsed="false">
      <c r="H1183" s="0" t="n">
        <v>3.15</v>
      </c>
    </row>
    <row r="1184" customFormat="false" ht="14.25" hidden="false" customHeight="false" outlineLevel="0" collapsed="false">
      <c r="H1184" s="0" t="n">
        <v>3.15</v>
      </c>
    </row>
    <row r="1185" customFormat="false" ht="14.25" hidden="false" customHeight="false" outlineLevel="0" collapsed="false">
      <c r="H1185" s="0" t="n">
        <v>3.15</v>
      </c>
    </row>
    <row r="1186" customFormat="false" ht="14.25" hidden="false" customHeight="false" outlineLevel="0" collapsed="false">
      <c r="H1186" s="0" t="n">
        <v>3.15</v>
      </c>
    </row>
    <row r="1187" customFormat="false" ht="14.25" hidden="false" customHeight="false" outlineLevel="0" collapsed="false">
      <c r="H1187" s="0" t="n">
        <v>3.15</v>
      </c>
    </row>
    <row r="1188" customFormat="false" ht="14.25" hidden="false" customHeight="false" outlineLevel="0" collapsed="false">
      <c r="H1188" s="0" t="n">
        <v>3.14</v>
      </c>
    </row>
    <row r="1189" customFormat="false" ht="14.25" hidden="false" customHeight="false" outlineLevel="0" collapsed="false">
      <c r="H1189" s="0" t="n">
        <v>3.15</v>
      </c>
    </row>
    <row r="1190" customFormat="false" ht="14.25" hidden="false" customHeight="false" outlineLevel="0" collapsed="false">
      <c r="H1190" s="0" t="n">
        <v>3.15</v>
      </c>
    </row>
    <row r="1191" customFormat="false" ht="14.25" hidden="false" customHeight="false" outlineLevel="0" collapsed="false">
      <c r="H1191" s="0" t="n">
        <v>3.15</v>
      </c>
    </row>
    <row r="1192" customFormat="false" ht="14.25" hidden="false" customHeight="false" outlineLevel="0" collapsed="false">
      <c r="H1192" s="0" t="n">
        <v>3.15</v>
      </c>
    </row>
    <row r="1193" customFormat="false" ht="14.25" hidden="false" customHeight="false" outlineLevel="0" collapsed="false">
      <c r="H1193" s="0" t="n">
        <v>3.15</v>
      </c>
    </row>
    <row r="1194" customFormat="false" ht="14.25" hidden="false" customHeight="false" outlineLevel="0" collapsed="false">
      <c r="H1194" s="0" t="n">
        <v>3.15</v>
      </c>
    </row>
    <row r="1195" customFormat="false" ht="14.25" hidden="false" customHeight="false" outlineLevel="0" collapsed="false">
      <c r="H1195" s="0" t="n">
        <v>3.15</v>
      </c>
    </row>
    <row r="1196" customFormat="false" ht="14.25" hidden="false" customHeight="false" outlineLevel="0" collapsed="false">
      <c r="H1196" s="0" t="n">
        <v>3.15</v>
      </c>
    </row>
    <row r="1197" customFormat="false" ht="14.25" hidden="false" customHeight="false" outlineLevel="0" collapsed="false">
      <c r="H1197" s="0" t="n">
        <v>3.15</v>
      </c>
    </row>
    <row r="1198" customFormat="false" ht="14.25" hidden="false" customHeight="false" outlineLevel="0" collapsed="false">
      <c r="H1198" s="0" t="n">
        <v>3.15</v>
      </c>
    </row>
    <row r="1199" customFormat="false" ht="14.25" hidden="false" customHeight="false" outlineLevel="0" collapsed="false">
      <c r="H1199" s="0" t="n">
        <v>3.15</v>
      </c>
    </row>
    <row r="1200" customFormat="false" ht="14.25" hidden="false" customHeight="false" outlineLevel="0" collapsed="false">
      <c r="H1200" s="0" t="n">
        <v>3.15</v>
      </c>
    </row>
    <row r="1201" customFormat="false" ht="14.25" hidden="false" customHeight="false" outlineLevel="0" collapsed="false">
      <c r="H1201" s="0" t="n">
        <v>3.16</v>
      </c>
    </row>
    <row r="1202" customFormat="false" ht="14.25" hidden="false" customHeight="false" outlineLevel="0" collapsed="false">
      <c r="H1202" s="0" t="n">
        <v>3.15</v>
      </c>
    </row>
    <row r="1203" customFormat="false" ht="14.25" hidden="false" customHeight="false" outlineLevel="0" collapsed="false">
      <c r="H1203" s="0" t="n">
        <v>3.16</v>
      </c>
    </row>
    <row r="1204" customFormat="false" ht="14.25" hidden="false" customHeight="false" outlineLevel="0" collapsed="false">
      <c r="H1204" s="0" t="n">
        <v>3.17</v>
      </c>
    </row>
    <row r="1205" customFormat="false" ht="14.25" hidden="false" customHeight="false" outlineLevel="0" collapsed="false">
      <c r="H1205" s="0" t="n">
        <v>3.17</v>
      </c>
    </row>
    <row r="1206" customFormat="false" ht="14.25" hidden="false" customHeight="false" outlineLevel="0" collapsed="false">
      <c r="H1206" s="0" t="n">
        <v>3.16</v>
      </c>
    </row>
    <row r="1207" customFormat="false" ht="14.25" hidden="false" customHeight="false" outlineLevel="0" collapsed="false">
      <c r="H1207" s="0" t="n">
        <v>3.17</v>
      </c>
    </row>
    <row r="1208" customFormat="false" ht="14.25" hidden="false" customHeight="false" outlineLevel="0" collapsed="false">
      <c r="H1208" s="0" t="n">
        <v>3.17</v>
      </c>
    </row>
    <row r="1209" customFormat="false" ht="14.25" hidden="false" customHeight="false" outlineLevel="0" collapsed="false">
      <c r="H1209" s="0" t="n">
        <v>3.16</v>
      </c>
    </row>
    <row r="1210" customFormat="false" ht="14.25" hidden="false" customHeight="false" outlineLevel="0" collapsed="false">
      <c r="H1210" s="0" t="n">
        <v>3.16</v>
      </c>
    </row>
    <row r="1211" customFormat="false" ht="14.25" hidden="false" customHeight="false" outlineLevel="0" collapsed="false">
      <c r="H1211" s="0" t="n">
        <v>3.16</v>
      </c>
    </row>
    <row r="1212" customFormat="false" ht="14.25" hidden="false" customHeight="false" outlineLevel="0" collapsed="false">
      <c r="H1212" s="0" t="n">
        <v>3.15</v>
      </c>
    </row>
    <row r="1213" customFormat="false" ht="14.25" hidden="false" customHeight="false" outlineLevel="0" collapsed="false">
      <c r="H1213" s="0" t="n">
        <v>3.16</v>
      </c>
    </row>
    <row r="1214" customFormat="false" ht="14.25" hidden="false" customHeight="false" outlineLevel="0" collapsed="false">
      <c r="H1214" s="0" t="n">
        <v>3.16</v>
      </c>
    </row>
    <row r="1215" customFormat="false" ht="14.25" hidden="false" customHeight="false" outlineLevel="0" collapsed="false">
      <c r="H1215" s="0" t="n">
        <v>3.16</v>
      </c>
    </row>
    <row r="1216" customFormat="false" ht="14.25" hidden="false" customHeight="false" outlineLevel="0" collapsed="false">
      <c r="H1216" s="0" t="n">
        <v>3.16</v>
      </c>
    </row>
    <row r="1217" customFormat="false" ht="14.25" hidden="false" customHeight="false" outlineLevel="0" collapsed="false">
      <c r="H1217" s="0" t="n">
        <v>3.16</v>
      </c>
    </row>
    <row r="1218" customFormat="false" ht="14.25" hidden="false" customHeight="false" outlineLevel="0" collapsed="false">
      <c r="H1218" s="0" t="n">
        <v>3.17</v>
      </c>
    </row>
    <row r="1219" customFormat="false" ht="14.25" hidden="false" customHeight="false" outlineLevel="0" collapsed="false">
      <c r="H1219" s="0" t="n">
        <v>3.18</v>
      </c>
    </row>
    <row r="1220" customFormat="false" ht="14.25" hidden="false" customHeight="false" outlineLevel="0" collapsed="false">
      <c r="H1220" s="0" t="n">
        <v>3.17</v>
      </c>
    </row>
    <row r="1221" customFormat="false" ht="14.25" hidden="false" customHeight="false" outlineLevel="0" collapsed="false">
      <c r="H1221" s="0" t="n">
        <v>3.17</v>
      </c>
    </row>
    <row r="1222" customFormat="false" ht="14.25" hidden="false" customHeight="false" outlineLevel="0" collapsed="false">
      <c r="H1222" s="0" t="n">
        <v>3.17</v>
      </c>
    </row>
    <row r="1223" customFormat="false" ht="14.25" hidden="false" customHeight="false" outlineLevel="0" collapsed="false">
      <c r="H1223" s="0" t="n">
        <v>3.17</v>
      </c>
    </row>
    <row r="1224" customFormat="false" ht="14.25" hidden="false" customHeight="false" outlineLevel="0" collapsed="false">
      <c r="H1224" s="0" t="n">
        <v>3.17</v>
      </c>
    </row>
    <row r="1225" customFormat="false" ht="14.25" hidden="false" customHeight="false" outlineLevel="0" collapsed="false">
      <c r="H1225" s="0" t="n">
        <v>3.17</v>
      </c>
    </row>
    <row r="1226" customFormat="false" ht="14.25" hidden="false" customHeight="false" outlineLevel="0" collapsed="false">
      <c r="H1226" s="0" t="n">
        <v>3.17</v>
      </c>
    </row>
    <row r="1227" customFormat="false" ht="14.25" hidden="false" customHeight="false" outlineLevel="0" collapsed="false">
      <c r="H1227" s="0" t="n">
        <v>3.17</v>
      </c>
    </row>
    <row r="1228" customFormat="false" ht="14.25" hidden="false" customHeight="false" outlineLevel="0" collapsed="false">
      <c r="H1228" s="0" t="n">
        <v>3.18</v>
      </c>
    </row>
    <row r="1229" customFormat="false" ht="14.25" hidden="false" customHeight="false" outlineLevel="0" collapsed="false">
      <c r="H1229" s="0" t="n">
        <v>3.18</v>
      </c>
    </row>
    <row r="1230" customFormat="false" ht="14.25" hidden="false" customHeight="false" outlineLevel="0" collapsed="false">
      <c r="H1230" s="0" t="n">
        <v>3.17</v>
      </c>
    </row>
    <row r="1231" customFormat="false" ht="14.25" hidden="false" customHeight="false" outlineLevel="0" collapsed="false">
      <c r="H1231" s="0" t="n">
        <v>3.17</v>
      </c>
    </row>
    <row r="1232" customFormat="false" ht="14.25" hidden="false" customHeight="false" outlineLevel="0" collapsed="false">
      <c r="H1232" s="0" t="n">
        <v>3.18</v>
      </c>
    </row>
    <row r="1233" customFormat="false" ht="14.25" hidden="false" customHeight="false" outlineLevel="0" collapsed="false">
      <c r="H1233" s="0" t="n">
        <v>3.17</v>
      </c>
    </row>
    <row r="1234" customFormat="false" ht="14.25" hidden="false" customHeight="false" outlineLevel="0" collapsed="false">
      <c r="H1234" s="0" t="n">
        <v>3.18</v>
      </c>
    </row>
    <row r="1235" customFormat="false" ht="14.25" hidden="false" customHeight="false" outlineLevel="0" collapsed="false">
      <c r="H1235" s="0" t="n">
        <v>3.17</v>
      </c>
    </row>
    <row r="1236" customFormat="false" ht="14.25" hidden="false" customHeight="false" outlineLevel="0" collapsed="false">
      <c r="H1236" s="0" t="n">
        <v>3.18</v>
      </c>
    </row>
    <row r="1237" customFormat="false" ht="14.25" hidden="false" customHeight="false" outlineLevel="0" collapsed="false">
      <c r="H1237" s="0" t="n">
        <v>3.18</v>
      </c>
    </row>
    <row r="1238" customFormat="false" ht="14.25" hidden="false" customHeight="false" outlineLevel="0" collapsed="false">
      <c r="H1238" s="0" t="n">
        <v>3.18</v>
      </c>
    </row>
    <row r="1239" customFormat="false" ht="14.25" hidden="false" customHeight="false" outlineLevel="0" collapsed="false">
      <c r="H1239" s="0" t="n">
        <v>3.17</v>
      </c>
    </row>
    <row r="1240" customFormat="false" ht="14.25" hidden="false" customHeight="false" outlineLevel="0" collapsed="false">
      <c r="H1240" s="0" t="n">
        <v>3.18</v>
      </c>
    </row>
    <row r="1241" customFormat="false" ht="14.25" hidden="false" customHeight="false" outlineLevel="0" collapsed="false">
      <c r="H1241" s="0" t="n">
        <v>3.18</v>
      </c>
    </row>
    <row r="1242" customFormat="false" ht="14.25" hidden="false" customHeight="false" outlineLevel="0" collapsed="false">
      <c r="H1242" s="0" t="n">
        <v>3.18</v>
      </c>
    </row>
    <row r="1243" customFormat="false" ht="14.25" hidden="false" customHeight="false" outlineLevel="0" collapsed="false">
      <c r="H1243" s="0" t="n">
        <v>3.18</v>
      </c>
    </row>
    <row r="1244" customFormat="false" ht="14.25" hidden="false" customHeight="false" outlineLevel="0" collapsed="false">
      <c r="H1244" s="0" t="n">
        <v>3.19</v>
      </c>
    </row>
    <row r="1245" customFormat="false" ht="14.25" hidden="false" customHeight="false" outlineLevel="0" collapsed="false">
      <c r="H1245" s="0" t="n">
        <v>3.19</v>
      </c>
    </row>
    <row r="1246" customFormat="false" ht="14.25" hidden="false" customHeight="false" outlineLevel="0" collapsed="false">
      <c r="H1246" s="0" t="n">
        <v>3.19</v>
      </c>
    </row>
    <row r="1247" customFormat="false" ht="14.25" hidden="false" customHeight="false" outlineLevel="0" collapsed="false">
      <c r="H1247" s="0" t="n">
        <v>3.18</v>
      </c>
    </row>
    <row r="1248" customFormat="false" ht="14.25" hidden="false" customHeight="false" outlineLevel="0" collapsed="false">
      <c r="H1248" s="0" t="n">
        <v>3.18</v>
      </c>
    </row>
    <row r="1249" customFormat="false" ht="14.25" hidden="false" customHeight="false" outlineLevel="0" collapsed="false">
      <c r="H1249" s="0" t="n">
        <v>3.19</v>
      </c>
    </row>
    <row r="1250" customFormat="false" ht="14.25" hidden="false" customHeight="false" outlineLevel="0" collapsed="false">
      <c r="H1250" s="0" t="n">
        <v>3.2</v>
      </c>
    </row>
    <row r="1251" customFormat="false" ht="14.25" hidden="false" customHeight="false" outlineLevel="0" collapsed="false">
      <c r="H1251" s="0" t="n">
        <v>3.19</v>
      </c>
    </row>
    <row r="1252" customFormat="false" ht="14.25" hidden="false" customHeight="false" outlineLevel="0" collapsed="false">
      <c r="H1252" s="0" t="n">
        <v>3.19</v>
      </c>
    </row>
    <row r="1253" customFormat="false" ht="14.25" hidden="false" customHeight="false" outlineLevel="0" collapsed="false">
      <c r="H1253" s="0" t="n">
        <v>3.19</v>
      </c>
    </row>
    <row r="1254" customFormat="false" ht="14.25" hidden="false" customHeight="false" outlineLevel="0" collapsed="false">
      <c r="H1254" s="0" t="n">
        <v>3.18</v>
      </c>
    </row>
    <row r="1255" customFormat="false" ht="14.25" hidden="false" customHeight="false" outlineLevel="0" collapsed="false">
      <c r="H1255" s="0" t="n">
        <v>3.18</v>
      </c>
    </row>
    <row r="1256" customFormat="false" ht="14.25" hidden="false" customHeight="false" outlineLevel="0" collapsed="false">
      <c r="H1256" s="0" t="n">
        <v>3.19</v>
      </c>
    </row>
    <row r="1257" customFormat="false" ht="14.25" hidden="false" customHeight="false" outlineLevel="0" collapsed="false">
      <c r="H1257" s="0" t="n">
        <v>3.22</v>
      </c>
    </row>
    <row r="1258" customFormat="false" ht="14.25" hidden="false" customHeight="false" outlineLevel="0" collapsed="false">
      <c r="H1258" s="0" t="n">
        <v>3.18</v>
      </c>
    </row>
    <row r="1259" customFormat="false" ht="14.25" hidden="false" customHeight="false" outlineLevel="0" collapsed="false">
      <c r="H1259" s="0" t="n">
        <v>3.19</v>
      </c>
    </row>
    <row r="1260" customFormat="false" ht="14.25" hidden="false" customHeight="false" outlineLevel="0" collapsed="false">
      <c r="H1260" s="0" t="n">
        <v>3.2</v>
      </c>
    </row>
    <row r="1261" customFormat="false" ht="14.25" hidden="false" customHeight="false" outlineLevel="0" collapsed="false">
      <c r="H1261" s="0" t="n">
        <v>3.19</v>
      </c>
    </row>
    <row r="1262" customFormat="false" ht="14.25" hidden="false" customHeight="false" outlineLevel="0" collapsed="false">
      <c r="H1262" s="0" t="n">
        <v>3.19</v>
      </c>
    </row>
    <row r="1263" customFormat="false" ht="14.25" hidden="false" customHeight="false" outlineLevel="0" collapsed="false">
      <c r="H1263" s="0" t="n">
        <v>3.19</v>
      </c>
    </row>
    <row r="1264" customFormat="false" ht="14.25" hidden="false" customHeight="false" outlineLevel="0" collapsed="false">
      <c r="H1264" s="0" t="n">
        <v>3.19</v>
      </c>
    </row>
    <row r="1265" customFormat="false" ht="14.25" hidden="false" customHeight="false" outlineLevel="0" collapsed="false">
      <c r="H1265" s="0" t="n">
        <v>3.19</v>
      </c>
    </row>
    <row r="1266" customFormat="false" ht="14.25" hidden="false" customHeight="false" outlineLevel="0" collapsed="false">
      <c r="H1266" s="0" t="n">
        <v>3.19</v>
      </c>
    </row>
    <row r="1267" customFormat="false" ht="14.25" hidden="false" customHeight="false" outlineLevel="0" collapsed="false">
      <c r="H1267" s="0" t="n">
        <v>3.18</v>
      </c>
    </row>
    <row r="1268" customFormat="false" ht="14.25" hidden="false" customHeight="false" outlineLevel="0" collapsed="false">
      <c r="H1268" s="0" t="n">
        <v>3.19</v>
      </c>
    </row>
    <row r="1269" customFormat="false" ht="14.25" hidden="false" customHeight="false" outlineLevel="0" collapsed="false">
      <c r="H1269" s="0" t="n">
        <v>3.19</v>
      </c>
    </row>
    <row r="1270" customFormat="false" ht="14.25" hidden="false" customHeight="false" outlineLevel="0" collapsed="false">
      <c r="H1270" s="0" t="n">
        <v>3.19</v>
      </c>
    </row>
    <row r="1271" customFormat="false" ht="14.25" hidden="false" customHeight="false" outlineLevel="0" collapsed="false">
      <c r="H1271" s="0" t="n">
        <v>3.19</v>
      </c>
    </row>
    <row r="1272" customFormat="false" ht="14.25" hidden="false" customHeight="false" outlineLevel="0" collapsed="false">
      <c r="H1272" s="0" t="n">
        <v>3.19</v>
      </c>
    </row>
    <row r="1273" customFormat="false" ht="14.25" hidden="false" customHeight="false" outlineLevel="0" collapsed="false">
      <c r="H1273" s="0" t="n">
        <v>3.19</v>
      </c>
    </row>
    <row r="1274" customFormat="false" ht="14.25" hidden="false" customHeight="false" outlineLevel="0" collapsed="false">
      <c r="H1274" s="0" t="n">
        <v>3.19</v>
      </c>
    </row>
    <row r="1275" customFormat="false" ht="14.25" hidden="false" customHeight="false" outlineLevel="0" collapsed="false">
      <c r="H1275" s="0" t="n">
        <v>3.2</v>
      </c>
    </row>
    <row r="1276" customFormat="false" ht="14.25" hidden="false" customHeight="false" outlineLevel="0" collapsed="false">
      <c r="H1276" s="0" t="n">
        <v>3.19</v>
      </c>
    </row>
    <row r="1277" customFormat="false" ht="14.25" hidden="false" customHeight="false" outlineLevel="0" collapsed="false">
      <c r="H1277" s="0" t="n">
        <v>3.19</v>
      </c>
    </row>
    <row r="1278" customFormat="false" ht="14.25" hidden="false" customHeight="false" outlineLevel="0" collapsed="false">
      <c r="H1278" s="0" t="n">
        <v>3.2</v>
      </c>
    </row>
    <row r="1279" customFormat="false" ht="14.25" hidden="false" customHeight="false" outlineLevel="0" collapsed="false">
      <c r="H1279" s="0" t="n">
        <v>3.21</v>
      </c>
    </row>
    <row r="1280" customFormat="false" ht="14.25" hidden="false" customHeight="false" outlineLevel="0" collapsed="false">
      <c r="H1280" s="0" t="n">
        <v>3.21</v>
      </c>
    </row>
    <row r="1281" customFormat="false" ht="14.25" hidden="false" customHeight="false" outlineLevel="0" collapsed="false">
      <c r="H1281" s="0" t="n">
        <v>3.21</v>
      </c>
    </row>
    <row r="1282" customFormat="false" ht="14.25" hidden="false" customHeight="false" outlineLevel="0" collapsed="false">
      <c r="H1282" s="0" t="n">
        <v>3.2</v>
      </c>
    </row>
    <row r="1283" customFormat="false" ht="14.25" hidden="false" customHeight="false" outlineLevel="0" collapsed="false">
      <c r="H1283" s="0" t="n">
        <v>3.2</v>
      </c>
    </row>
    <row r="1284" customFormat="false" ht="14.25" hidden="false" customHeight="false" outlineLevel="0" collapsed="false">
      <c r="H1284" s="0" t="n">
        <v>3.2</v>
      </c>
    </row>
    <row r="1285" customFormat="false" ht="14.25" hidden="false" customHeight="false" outlineLevel="0" collapsed="false">
      <c r="H1285" s="0" t="n">
        <v>3.19</v>
      </c>
    </row>
    <row r="1286" customFormat="false" ht="14.25" hidden="false" customHeight="false" outlineLevel="0" collapsed="false">
      <c r="H1286" s="0" t="n">
        <v>3.21</v>
      </c>
    </row>
    <row r="1287" customFormat="false" ht="14.25" hidden="false" customHeight="false" outlineLevel="0" collapsed="false">
      <c r="H1287" s="0" t="n">
        <v>3.2</v>
      </c>
    </row>
    <row r="1288" customFormat="false" ht="14.25" hidden="false" customHeight="false" outlineLevel="0" collapsed="false">
      <c r="H1288" s="0" t="n">
        <v>3.21</v>
      </c>
    </row>
    <row r="1289" customFormat="false" ht="14.25" hidden="false" customHeight="false" outlineLevel="0" collapsed="false">
      <c r="H1289" s="0" t="n">
        <v>3.22</v>
      </c>
    </row>
    <row r="1290" customFormat="false" ht="14.25" hidden="false" customHeight="false" outlineLevel="0" collapsed="false">
      <c r="H1290" s="0" t="n">
        <v>3.21</v>
      </c>
    </row>
    <row r="1291" customFormat="false" ht="14.25" hidden="false" customHeight="false" outlineLevel="0" collapsed="false">
      <c r="H1291" s="0" t="n">
        <v>3.19</v>
      </c>
    </row>
    <row r="1292" customFormat="false" ht="14.25" hidden="false" customHeight="false" outlineLevel="0" collapsed="false">
      <c r="H1292" s="0" t="n">
        <v>3.19</v>
      </c>
    </row>
    <row r="1293" customFormat="false" ht="14.25" hidden="false" customHeight="false" outlineLevel="0" collapsed="false">
      <c r="H1293" s="0" t="n">
        <v>3.19</v>
      </c>
    </row>
    <row r="1294" customFormat="false" ht="14.25" hidden="false" customHeight="false" outlineLevel="0" collapsed="false">
      <c r="H1294" s="0" t="n">
        <v>3.19</v>
      </c>
    </row>
    <row r="1295" customFormat="false" ht="14.25" hidden="false" customHeight="false" outlineLevel="0" collapsed="false">
      <c r="H1295" s="0" t="n">
        <v>3.19</v>
      </c>
    </row>
    <row r="1296" customFormat="false" ht="14.25" hidden="false" customHeight="false" outlineLevel="0" collapsed="false">
      <c r="H1296" s="0" t="n">
        <v>3.19</v>
      </c>
    </row>
    <row r="1297" customFormat="false" ht="14.25" hidden="false" customHeight="false" outlineLevel="0" collapsed="false">
      <c r="H1297" s="0" t="n">
        <v>3.2</v>
      </c>
    </row>
    <row r="1298" customFormat="false" ht="14.25" hidden="false" customHeight="false" outlineLevel="0" collapsed="false">
      <c r="H1298" s="0" t="n">
        <v>3.19</v>
      </c>
    </row>
    <row r="1299" customFormat="false" ht="14.25" hidden="false" customHeight="false" outlineLevel="0" collapsed="false">
      <c r="H1299" s="0" t="n">
        <v>3.19</v>
      </c>
    </row>
    <row r="1300" customFormat="false" ht="14.25" hidden="false" customHeight="false" outlineLevel="0" collapsed="false">
      <c r="H1300" s="0" t="n">
        <v>3.18</v>
      </c>
    </row>
    <row r="1301" customFormat="false" ht="14.25" hidden="false" customHeight="false" outlineLevel="0" collapsed="false">
      <c r="H1301" s="0" t="n">
        <v>3.19</v>
      </c>
    </row>
    <row r="1302" customFormat="false" ht="14.25" hidden="false" customHeight="false" outlineLevel="0" collapsed="false">
      <c r="H1302" s="0" t="n">
        <v>3.2</v>
      </c>
    </row>
    <row r="1303" customFormat="false" ht="14.25" hidden="false" customHeight="false" outlineLevel="0" collapsed="false">
      <c r="H1303" s="0" t="n">
        <v>3.18</v>
      </c>
    </row>
    <row r="1304" customFormat="false" ht="14.25" hidden="false" customHeight="false" outlineLevel="0" collapsed="false">
      <c r="H1304" s="0" t="n">
        <v>3.19</v>
      </c>
    </row>
    <row r="1305" customFormat="false" ht="14.25" hidden="false" customHeight="false" outlineLevel="0" collapsed="false">
      <c r="H1305" s="0" t="n">
        <v>3.19</v>
      </c>
    </row>
    <row r="1306" customFormat="false" ht="14.25" hidden="false" customHeight="false" outlineLevel="0" collapsed="false">
      <c r="H1306" s="0" t="n">
        <v>3.19</v>
      </c>
    </row>
    <row r="1307" customFormat="false" ht="14.25" hidden="false" customHeight="false" outlineLevel="0" collapsed="false">
      <c r="H1307" s="0" t="n">
        <v>3.2</v>
      </c>
    </row>
    <row r="1308" customFormat="false" ht="14.25" hidden="false" customHeight="false" outlineLevel="0" collapsed="false">
      <c r="H1308" s="0" t="n">
        <v>3.18</v>
      </c>
    </row>
    <row r="1309" customFormat="false" ht="14.25" hidden="false" customHeight="false" outlineLevel="0" collapsed="false">
      <c r="H1309" s="0" t="n">
        <v>3.2</v>
      </c>
    </row>
    <row r="1310" customFormat="false" ht="14.25" hidden="false" customHeight="false" outlineLevel="0" collapsed="false">
      <c r="H1310" s="0" t="n">
        <v>3.18</v>
      </c>
    </row>
    <row r="1311" customFormat="false" ht="14.25" hidden="false" customHeight="false" outlineLevel="0" collapsed="false">
      <c r="H1311" s="0" t="n">
        <v>3.19</v>
      </c>
    </row>
    <row r="1312" customFormat="false" ht="14.25" hidden="false" customHeight="false" outlineLevel="0" collapsed="false">
      <c r="H1312" s="0" t="n">
        <v>3.19</v>
      </c>
    </row>
    <row r="1313" customFormat="false" ht="14.25" hidden="false" customHeight="false" outlineLevel="0" collapsed="false">
      <c r="H1313" s="0" t="n">
        <v>3.18</v>
      </c>
    </row>
    <row r="1314" customFormat="false" ht="14.25" hidden="false" customHeight="false" outlineLevel="0" collapsed="false">
      <c r="H1314" s="0" t="n">
        <v>3.2</v>
      </c>
    </row>
    <row r="1315" customFormat="false" ht="14.25" hidden="false" customHeight="false" outlineLevel="0" collapsed="false">
      <c r="H1315" s="0" t="n">
        <v>3.21</v>
      </c>
    </row>
    <row r="1316" customFormat="false" ht="14.25" hidden="false" customHeight="false" outlineLevel="0" collapsed="false">
      <c r="H1316" s="0" t="n">
        <v>3.21</v>
      </c>
    </row>
    <row r="1317" customFormat="false" ht="14.25" hidden="false" customHeight="false" outlineLevel="0" collapsed="false">
      <c r="H1317" s="0" t="n">
        <v>3.19</v>
      </c>
    </row>
    <row r="1318" customFormat="false" ht="14.25" hidden="false" customHeight="false" outlineLevel="0" collapsed="false">
      <c r="H1318" s="0" t="n">
        <v>3.18</v>
      </c>
    </row>
    <row r="1319" customFormat="false" ht="14.25" hidden="false" customHeight="false" outlineLevel="0" collapsed="false">
      <c r="H1319" s="0" t="n">
        <v>3.21</v>
      </c>
    </row>
    <row r="1320" customFormat="false" ht="14.25" hidden="false" customHeight="false" outlineLevel="0" collapsed="false">
      <c r="H1320" s="0" t="n">
        <v>3.19</v>
      </c>
    </row>
    <row r="1321" customFormat="false" ht="14.25" hidden="false" customHeight="false" outlineLevel="0" collapsed="false">
      <c r="H1321" s="0" t="n">
        <v>3.15</v>
      </c>
    </row>
    <row r="1322" customFormat="false" ht="14.25" hidden="false" customHeight="false" outlineLevel="0" collapsed="false">
      <c r="H1322" s="0" t="n">
        <v>3.14</v>
      </c>
    </row>
    <row r="1323" customFormat="false" ht="14.25" hidden="false" customHeight="false" outlineLevel="0" collapsed="false">
      <c r="H1323" s="0" t="n">
        <v>3.17</v>
      </c>
    </row>
    <row r="1324" customFormat="false" ht="14.25" hidden="false" customHeight="false" outlineLevel="0" collapsed="false">
      <c r="H1324" s="0" t="n">
        <v>3.16</v>
      </c>
    </row>
    <row r="1325" customFormat="false" ht="14.25" hidden="false" customHeight="false" outlineLevel="0" collapsed="false">
      <c r="H1325" s="0" t="n">
        <v>3.17</v>
      </c>
    </row>
    <row r="1326" customFormat="false" ht="14.25" hidden="false" customHeight="false" outlineLevel="0" collapsed="false">
      <c r="H1326" s="0" t="n">
        <v>3.14</v>
      </c>
    </row>
    <row r="1327" customFormat="false" ht="14.25" hidden="false" customHeight="false" outlineLevel="0" collapsed="false">
      <c r="H1327" s="0" t="n">
        <v>3.18</v>
      </c>
    </row>
    <row r="1328" customFormat="false" ht="14.25" hidden="false" customHeight="false" outlineLevel="0" collapsed="false">
      <c r="H1328" s="0" t="n">
        <v>3.18</v>
      </c>
    </row>
    <row r="1329" customFormat="false" ht="14.25" hidden="false" customHeight="false" outlineLevel="0" collapsed="false">
      <c r="H1329" s="0" t="n">
        <v>3.19</v>
      </c>
    </row>
    <row r="1330" customFormat="false" ht="14.25" hidden="false" customHeight="false" outlineLevel="0" collapsed="false">
      <c r="H1330" s="0" t="n">
        <v>3.19</v>
      </c>
    </row>
    <row r="1331" customFormat="false" ht="14.25" hidden="false" customHeight="false" outlineLevel="0" collapsed="false">
      <c r="H1331" s="0" t="n">
        <v>3.17</v>
      </c>
    </row>
    <row r="1332" customFormat="false" ht="14.25" hidden="false" customHeight="false" outlineLevel="0" collapsed="false">
      <c r="H1332" s="0" t="n">
        <v>3.19</v>
      </c>
    </row>
    <row r="1333" customFormat="false" ht="14.25" hidden="false" customHeight="false" outlineLevel="0" collapsed="false">
      <c r="H1333" s="0" t="n">
        <v>3.18</v>
      </c>
    </row>
    <row r="1334" customFormat="false" ht="14.25" hidden="false" customHeight="false" outlineLevel="0" collapsed="false">
      <c r="H1334" s="0" t="n">
        <v>3.18</v>
      </c>
    </row>
    <row r="1335" customFormat="false" ht="14.25" hidden="false" customHeight="false" outlineLevel="0" collapsed="false">
      <c r="H1335" s="0" t="n">
        <v>3.22</v>
      </c>
    </row>
    <row r="1336" customFormat="false" ht="14.25" hidden="false" customHeight="false" outlineLevel="0" collapsed="false">
      <c r="H1336" s="0" t="n">
        <v>3.23</v>
      </c>
    </row>
    <row r="1337" customFormat="false" ht="14.25" hidden="false" customHeight="false" outlineLevel="0" collapsed="false">
      <c r="H1337" s="0" t="n">
        <v>3.2</v>
      </c>
    </row>
    <row r="1338" customFormat="false" ht="14.25" hidden="false" customHeight="false" outlineLevel="0" collapsed="false">
      <c r="H1338" s="0" t="n">
        <v>3.17</v>
      </c>
    </row>
    <row r="1339" customFormat="false" ht="14.25" hidden="false" customHeight="false" outlineLevel="0" collapsed="false">
      <c r="H1339" s="0" t="n">
        <v>3.16</v>
      </c>
    </row>
    <row r="1340" customFormat="false" ht="14.25" hidden="false" customHeight="false" outlineLevel="0" collapsed="false">
      <c r="H1340" s="0" t="n">
        <v>3.2</v>
      </c>
    </row>
    <row r="1341" customFormat="false" ht="14.25" hidden="false" customHeight="false" outlineLevel="0" collapsed="false">
      <c r="H1341" s="0" t="n">
        <v>3.18</v>
      </c>
    </row>
    <row r="1342" customFormat="false" ht="14.25" hidden="false" customHeight="false" outlineLevel="0" collapsed="false">
      <c r="H1342" s="0" t="n">
        <v>3.2</v>
      </c>
    </row>
    <row r="1343" customFormat="false" ht="14.25" hidden="false" customHeight="false" outlineLevel="0" collapsed="false">
      <c r="H1343" s="0" t="n">
        <v>3.19</v>
      </c>
    </row>
    <row r="1344" customFormat="false" ht="14.25" hidden="false" customHeight="false" outlineLevel="0" collapsed="false">
      <c r="H1344" s="0" t="n">
        <v>3.21</v>
      </c>
    </row>
    <row r="1345" customFormat="false" ht="14.25" hidden="false" customHeight="false" outlineLevel="0" collapsed="false">
      <c r="H1345" s="0" t="n">
        <v>3.26</v>
      </c>
    </row>
    <row r="1346" customFormat="false" ht="14.25" hidden="false" customHeight="false" outlineLevel="0" collapsed="false">
      <c r="H1346" s="0" t="n">
        <v>3.27</v>
      </c>
    </row>
    <row r="1347" customFormat="false" ht="14.25" hidden="false" customHeight="false" outlineLevel="0" collapsed="false">
      <c r="H1347" s="0" t="n">
        <v>3.22</v>
      </c>
    </row>
    <row r="1348" customFormat="false" ht="14.25" hidden="false" customHeight="false" outlineLevel="0" collapsed="false">
      <c r="H1348" s="0" t="n">
        <v>3.21</v>
      </c>
    </row>
    <row r="1349" customFormat="false" ht="14.25" hidden="false" customHeight="false" outlineLevel="0" collapsed="false">
      <c r="H1349" s="0" t="n">
        <v>3.2</v>
      </c>
    </row>
    <row r="1350" customFormat="false" ht="14.25" hidden="false" customHeight="false" outlineLevel="0" collapsed="false">
      <c r="H1350" s="0" t="n">
        <v>3.19</v>
      </c>
    </row>
    <row r="1351" customFormat="false" ht="14.25" hidden="false" customHeight="false" outlineLevel="0" collapsed="false">
      <c r="H1351" s="0" t="n">
        <v>3.2</v>
      </c>
    </row>
    <row r="1352" customFormat="false" ht="14.25" hidden="false" customHeight="false" outlineLevel="0" collapsed="false">
      <c r="H1352" s="0" t="n">
        <v>3.21</v>
      </c>
    </row>
    <row r="1353" customFormat="false" ht="14.25" hidden="false" customHeight="false" outlineLevel="0" collapsed="false">
      <c r="H1353" s="0" t="n">
        <v>3.21</v>
      </c>
    </row>
    <row r="1354" customFormat="false" ht="14.25" hidden="false" customHeight="false" outlineLevel="0" collapsed="false">
      <c r="H1354" s="0" t="n">
        <v>3.2</v>
      </c>
    </row>
    <row r="1355" customFormat="false" ht="14.25" hidden="false" customHeight="false" outlineLevel="0" collapsed="false">
      <c r="H1355" s="0" t="n">
        <v>3.2</v>
      </c>
    </row>
    <row r="1356" customFormat="false" ht="14.25" hidden="false" customHeight="false" outlineLevel="0" collapsed="false">
      <c r="H1356" s="0" t="n">
        <v>3.19</v>
      </c>
    </row>
    <row r="1357" customFormat="false" ht="14.25" hidden="false" customHeight="false" outlineLevel="0" collapsed="false">
      <c r="H1357" s="0" t="n">
        <v>3.2</v>
      </c>
    </row>
    <row r="1358" customFormat="false" ht="14.25" hidden="false" customHeight="false" outlineLevel="0" collapsed="false">
      <c r="H1358" s="0" t="n">
        <v>3.19</v>
      </c>
    </row>
    <row r="1359" customFormat="false" ht="14.25" hidden="false" customHeight="false" outlineLevel="0" collapsed="false">
      <c r="H1359" s="0" t="n">
        <v>3.19</v>
      </c>
    </row>
    <row r="1360" customFormat="false" ht="14.25" hidden="false" customHeight="false" outlineLevel="0" collapsed="false">
      <c r="H1360" s="0" t="n">
        <v>3.19</v>
      </c>
    </row>
    <row r="1361" customFormat="false" ht="14.25" hidden="false" customHeight="false" outlineLevel="0" collapsed="false">
      <c r="H1361" s="0" t="n">
        <v>3.18</v>
      </c>
    </row>
    <row r="1362" customFormat="false" ht="14.25" hidden="false" customHeight="false" outlineLevel="0" collapsed="false">
      <c r="H1362" s="0" t="n">
        <v>3.19</v>
      </c>
    </row>
    <row r="1363" customFormat="false" ht="14.25" hidden="false" customHeight="false" outlineLevel="0" collapsed="false">
      <c r="H1363" s="0" t="n">
        <v>3.22</v>
      </c>
    </row>
    <row r="1364" customFormat="false" ht="14.25" hidden="false" customHeight="false" outlineLevel="0" collapsed="false">
      <c r="H1364" s="0" t="n">
        <v>3.2</v>
      </c>
    </row>
    <row r="1365" customFormat="false" ht="14.25" hidden="false" customHeight="false" outlineLevel="0" collapsed="false">
      <c r="H1365" s="0" t="n">
        <v>3.22</v>
      </c>
    </row>
    <row r="1366" customFormat="false" ht="14.25" hidden="false" customHeight="false" outlineLevel="0" collapsed="false">
      <c r="H1366" s="0" t="n">
        <v>3.21</v>
      </c>
    </row>
    <row r="1367" customFormat="false" ht="14.25" hidden="false" customHeight="false" outlineLevel="0" collapsed="false">
      <c r="H1367" s="0" t="n">
        <v>3.22</v>
      </c>
    </row>
    <row r="1368" customFormat="false" ht="14.25" hidden="false" customHeight="false" outlineLevel="0" collapsed="false">
      <c r="H1368" s="0" t="n">
        <v>3.27</v>
      </c>
    </row>
    <row r="1369" customFormat="false" ht="14.25" hidden="false" customHeight="false" outlineLevel="0" collapsed="false">
      <c r="H1369" s="0" t="n">
        <v>3.28</v>
      </c>
    </row>
    <row r="1370" customFormat="false" ht="14.25" hidden="false" customHeight="false" outlineLevel="0" collapsed="false">
      <c r="H1370" s="0" t="n">
        <v>3.24</v>
      </c>
    </row>
    <row r="1371" customFormat="false" ht="14.25" hidden="false" customHeight="false" outlineLevel="0" collapsed="false">
      <c r="H1371" s="0" t="n">
        <v>3.2</v>
      </c>
    </row>
    <row r="1372" customFormat="false" ht="14.25" hidden="false" customHeight="false" outlineLevel="0" collapsed="false">
      <c r="H1372" s="0" t="n">
        <v>3.2</v>
      </c>
    </row>
    <row r="1373" customFormat="false" ht="14.25" hidden="false" customHeight="false" outlineLevel="0" collapsed="false">
      <c r="H1373" s="0" t="n">
        <v>3.21</v>
      </c>
    </row>
    <row r="1374" customFormat="false" ht="14.25" hidden="false" customHeight="false" outlineLevel="0" collapsed="false">
      <c r="H1374" s="0" t="n">
        <v>3.23</v>
      </c>
    </row>
    <row r="1375" customFormat="false" ht="14.25" hidden="false" customHeight="false" outlineLevel="0" collapsed="false">
      <c r="H1375" s="0" t="n">
        <v>3.26</v>
      </c>
    </row>
    <row r="1376" customFormat="false" ht="14.25" hidden="false" customHeight="false" outlineLevel="0" collapsed="false">
      <c r="H1376" s="0" t="n">
        <v>3.28</v>
      </c>
    </row>
    <row r="1377" customFormat="false" ht="14.25" hidden="false" customHeight="false" outlineLevel="0" collapsed="false">
      <c r="H1377" s="0" t="n">
        <v>3.22</v>
      </c>
    </row>
    <row r="1378" customFormat="false" ht="14.25" hidden="false" customHeight="false" outlineLevel="0" collapsed="false">
      <c r="H1378" s="0" t="n">
        <v>3.21</v>
      </c>
    </row>
    <row r="1379" customFormat="false" ht="14.25" hidden="false" customHeight="false" outlineLevel="0" collapsed="false">
      <c r="H1379" s="0" t="n">
        <v>3.21</v>
      </c>
    </row>
    <row r="1380" customFormat="false" ht="14.25" hidden="false" customHeight="false" outlineLevel="0" collapsed="false">
      <c r="H1380" s="0" t="n">
        <v>3.21</v>
      </c>
    </row>
    <row r="1381" customFormat="false" ht="14.25" hidden="false" customHeight="false" outlineLevel="0" collapsed="false">
      <c r="H1381" s="0" t="n">
        <v>3.23</v>
      </c>
    </row>
    <row r="1382" customFormat="false" ht="14.25" hidden="false" customHeight="false" outlineLevel="0" collapsed="false">
      <c r="H1382" s="0" t="n">
        <v>3.23</v>
      </c>
    </row>
    <row r="1383" customFormat="false" ht="14.25" hidden="false" customHeight="false" outlineLevel="0" collapsed="false">
      <c r="H1383" s="0" t="n">
        <v>3.23</v>
      </c>
    </row>
    <row r="1384" customFormat="false" ht="14.25" hidden="false" customHeight="false" outlineLevel="0" collapsed="false">
      <c r="H1384" s="0" t="n">
        <v>3.22</v>
      </c>
    </row>
    <row r="1385" customFormat="false" ht="14.25" hidden="false" customHeight="false" outlineLevel="0" collapsed="false">
      <c r="H1385" s="0" t="n">
        <v>3.26</v>
      </c>
    </row>
    <row r="1386" customFormat="false" ht="14.25" hidden="false" customHeight="false" outlineLevel="0" collapsed="false">
      <c r="H1386" s="0" t="n">
        <v>3.31</v>
      </c>
    </row>
    <row r="1387" customFormat="false" ht="14.25" hidden="false" customHeight="false" outlineLevel="0" collapsed="false">
      <c r="H1387" s="0" t="n">
        <v>3.28</v>
      </c>
    </row>
    <row r="1388" customFormat="false" ht="14.25" hidden="false" customHeight="false" outlineLevel="0" collapsed="false">
      <c r="H1388" s="0" t="n">
        <v>3.26</v>
      </c>
    </row>
    <row r="1389" customFormat="false" ht="14.25" hidden="false" customHeight="false" outlineLevel="0" collapsed="false">
      <c r="H1389" s="0" t="n">
        <v>3.24</v>
      </c>
    </row>
    <row r="1390" customFormat="false" ht="14.25" hidden="false" customHeight="false" outlineLevel="0" collapsed="false">
      <c r="H1390" s="0" t="n">
        <v>3.24</v>
      </c>
    </row>
    <row r="1391" customFormat="false" ht="14.25" hidden="false" customHeight="false" outlineLevel="0" collapsed="false">
      <c r="H1391" s="0" t="n">
        <v>3.25</v>
      </c>
    </row>
    <row r="1392" customFormat="false" ht="14.25" hidden="false" customHeight="false" outlineLevel="0" collapsed="false">
      <c r="H1392" s="0" t="n">
        <v>3.28</v>
      </c>
    </row>
    <row r="1393" customFormat="false" ht="14.25" hidden="false" customHeight="false" outlineLevel="0" collapsed="false">
      <c r="H1393" s="0" t="n">
        <v>3.3</v>
      </c>
    </row>
    <row r="1394" customFormat="false" ht="14.25" hidden="false" customHeight="false" outlineLevel="0" collapsed="false">
      <c r="H1394" s="0" t="n">
        <v>3.27</v>
      </c>
    </row>
    <row r="1395" customFormat="false" ht="14.25" hidden="false" customHeight="false" outlineLevel="0" collapsed="false">
      <c r="H1395" s="0" t="n">
        <v>3.24</v>
      </c>
    </row>
    <row r="1396" customFormat="false" ht="14.25" hidden="false" customHeight="false" outlineLevel="0" collapsed="false">
      <c r="H1396" s="0" t="n">
        <v>3.25</v>
      </c>
    </row>
    <row r="1397" customFormat="false" ht="14.25" hidden="false" customHeight="false" outlineLevel="0" collapsed="false">
      <c r="H1397" s="0" t="n">
        <v>3.24</v>
      </c>
    </row>
    <row r="1398" customFormat="false" ht="14.25" hidden="false" customHeight="false" outlineLevel="0" collapsed="false">
      <c r="H1398" s="0" t="n">
        <v>3.25</v>
      </c>
    </row>
    <row r="1399" customFormat="false" ht="14.25" hidden="false" customHeight="false" outlineLevel="0" collapsed="false">
      <c r="H1399" s="0" t="n">
        <v>3.26</v>
      </c>
    </row>
    <row r="1400" customFormat="false" ht="14.25" hidden="false" customHeight="false" outlineLevel="0" collapsed="false">
      <c r="H1400" s="0" t="n">
        <v>3.25</v>
      </c>
    </row>
    <row r="1401" customFormat="false" ht="14.25" hidden="false" customHeight="false" outlineLevel="0" collapsed="false">
      <c r="H1401" s="0" t="n">
        <v>3.25</v>
      </c>
    </row>
    <row r="1402" customFormat="false" ht="14.25" hidden="false" customHeight="false" outlineLevel="0" collapsed="false">
      <c r="H1402" s="0" t="n">
        <v>3.27</v>
      </c>
    </row>
    <row r="1403" customFormat="false" ht="14.25" hidden="false" customHeight="false" outlineLevel="0" collapsed="false">
      <c r="H1403" s="0" t="n">
        <v>3.32</v>
      </c>
    </row>
    <row r="1404" customFormat="false" ht="14.25" hidden="false" customHeight="false" outlineLevel="0" collapsed="false">
      <c r="H1404" s="0" t="n">
        <v>3.32</v>
      </c>
    </row>
    <row r="1405" customFormat="false" ht="14.25" hidden="false" customHeight="false" outlineLevel="0" collapsed="false">
      <c r="H1405" s="0" t="n">
        <v>3.25</v>
      </c>
    </row>
    <row r="1406" customFormat="false" ht="14.25" hidden="false" customHeight="false" outlineLevel="0" collapsed="false">
      <c r="H1406" s="0" t="n">
        <v>3.25</v>
      </c>
    </row>
    <row r="1407" customFormat="false" ht="14.25" hidden="false" customHeight="false" outlineLevel="0" collapsed="false">
      <c r="H1407" s="0" t="n">
        <v>3.24</v>
      </c>
    </row>
    <row r="1408" customFormat="false" ht="14.25" hidden="false" customHeight="false" outlineLevel="0" collapsed="false">
      <c r="H1408" s="0" t="n">
        <v>3.26</v>
      </c>
    </row>
    <row r="1409" customFormat="false" ht="14.25" hidden="false" customHeight="false" outlineLevel="0" collapsed="false">
      <c r="H1409" s="0" t="n">
        <v>3.26</v>
      </c>
    </row>
    <row r="1410" customFormat="false" ht="14.25" hidden="false" customHeight="false" outlineLevel="0" collapsed="false">
      <c r="H1410" s="0" t="n">
        <v>3.25</v>
      </c>
    </row>
    <row r="1411" customFormat="false" ht="14.25" hidden="false" customHeight="false" outlineLevel="0" collapsed="false">
      <c r="H1411" s="0" t="n">
        <v>3.25</v>
      </c>
    </row>
    <row r="1412" customFormat="false" ht="14.25" hidden="false" customHeight="false" outlineLevel="0" collapsed="false">
      <c r="H1412" s="0" t="n">
        <v>3.26</v>
      </c>
    </row>
    <row r="1413" customFormat="false" ht="14.25" hidden="false" customHeight="false" outlineLevel="0" collapsed="false">
      <c r="H1413" s="0" t="n">
        <v>3.26</v>
      </c>
    </row>
    <row r="1414" customFormat="false" ht="14.25" hidden="false" customHeight="false" outlineLevel="0" collapsed="false">
      <c r="H1414" s="0" t="n">
        <v>3.26</v>
      </c>
    </row>
    <row r="1415" customFormat="false" ht="14.25" hidden="false" customHeight="false" outlineLevel="0" collapsed="false">
      <c r="H1415" s="0" t="n">
        <v>3.26</v>
      </c>
    </row>
    <row r="1416" customFormat="false" ht="14.25" hidden="false" customHeight="false" outlineLevel="0" collapsed="false">
      <c r="H1416" s="0" t="n">
        <v>3.26</v>
      </c>
    </row>
    <row r="1417" customFormat="false" ht="14.25" hidden="false" customHeight="false" outlineLevel="0" collapsed="false">
      <c r="H1417" s="0" t="n">
        <v>3.26</v>
      </c>
    </row>
    <row r="1418" customFormat="false" ht="14.25" hidden="false" customHeight="false" outlineLevel="0" collapsed="false">
      <c r="H1418" s="0" t="n">
        <v>3.26</v>
      </c>
    </row>
    <row r="1419" customFormat="false" ht="14.25" hidden="false" customHeight="false" outlineLevel="0" collapsed="false">
      <c r="H1419" s="0" t="n">
        <v>3.27</v>
      </c>
    </row>
    <row r="1420" customFormat="false" ht="14.25" hidden="false" customHeight="false" outlineLevel="0" collapsed="false">
      <c r="H1420" s="0" t="n">
        <v>3.26</v>
      </c>
    </row>
    <row r="1421" customFormat="false" ht="14.25" hidden="false" customHeight="false" outlineLevel="0" collapsed="false">
      <c r="H1421" s="0" t="n">
        <v>3.26</v>
      </c>
    </row>
    <row r="1422" customFormat="false" ht="14.25" hidden="false" customHeight="false" outlineLevel="0" collapsed="false">
      <c r="H1422" s="0" t="n">
        <v>3.27</v>
      </c>
    </row>
    <row r="1423" customFormat="false" ht="14.25" hidden="false" customHeight="false" outlineLevel="0" collapsed="false">
      <c r="H1423" s="0" t="n">
        <v>3.27</v>
      </c>
    </row>
    <row r="1424" customFormat="false" ht="14.25" hidden="false" customHeight="false" outlineLevel="0" collapsed="false">
      <c r="H1424" s="0" t="n">
        <v>3.27</v>
      </c>
    </row>
    <row r="1425" customFormat="false" ht="14.25" hidden="false" customHeight="false" outlineLevel="0" collapsed="false">
      <c r="H1425" s="0" t="n">
        <v>3.26</v>
      </c>
    </row>
    <row r="1426" customFormat="false" ht="14.25" hidden="false" customHeight="false" outlineLevel="0" collapsed="false">
      <c r="H1426" s="0" t="n">
        <v>3.27</v>
      </c>
    </row>
    <row r="1427" customFormat="false" ht="14.25" hidden="false" customHeight="false" outlineLevel="0" collapsed="false">
      <c r="H1427" s="0" t="n">
        <v>3.27</v>
      </c>
    </row>
    <row r="1428" customFormat="false" ht="14.25" hidden="false" customHeight="false" outlineLevel="0" collapsed="false">
      <c r="H1428" s="0" t="n">
        <v>3.28</v>
      </c>
    </row>
    <row r="1429" customFormat="false" ht="14.25" hidden="false" customHeight="false" outlineLevel="0" collapsed="false">
      <c r="H1429" s="0" t="n">
        <v>3.26</v>
      </c>
    </row>
    <row r="1430" customFormat="false" ht="14.25" hidden="false" customHeight="false" outlineLevel="0" collapsed="false">
      <c r="H1430" s="0" t="n">
        <v>3.27</v>
      </c>
    </row>
    <row r="1431" customFormat="false" ht="14.25" hidden="false" customHeight="false" outlineLevel="0" collapsed="false">
      <c r="H1431" s="0" t="n">
        <v>3.26</v>
      </c>
    </row>
    <row r="1432" customFormat="false" ht="14.25" hidden="false" customHeight="false" outlineLevel="0" collapsed="false">
      <c r="H1432" s="0" t="n">
        <v>3.28</v>
      </c>
    </row>
    <row r="1433" customFormat="false" ht="14.25" hidden="false" customHeight="false" outlineLevel="0" collapsed="false">
      <c r="H1433" s="0" t="n">
        <v>3.26</v>
      </c>
    </row>
    <row r="1434" customFormat="false" ht="14.25" hidden="false" customHeight="false" outlineLevel="0" collapsed="false">
      <c r="H1434" s="0" t="n">
        <v>3.28</v>
      </c>
    </row>
    <row r="1435" customFormat="false" ht="14.25" hidden="false" customHeight="false" outlineLevel="0" collapsed="false">
      <c r="H1435" s="0" t="n">
        <v>3.28</v>
      </c>
    </row>
  </sheetData>
  <mergeCells count="3">
    <mergeCell ref="A1:G1"/>
    <mergeCell ref="H1:AG1"/>
    <mergeCell ref="AH1:AU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P174"/>
  <sheetViews>
    <sheetView showFormulas="false" showGridLines="true" showRowColHeaders="true" showZeros="true" rightToLeft="false" tabSelected="false" showOutlineSymbols="true" defaultGridColor="true" view="normal" topLeftCell="BC1" colorId="64" zoomScale="100" zoomScaleNormal="100" zoomScalePageLayoutView="100" workbookViewId="0">
      <pane xSplit="0" ySplit="2" topLeftCell="A69" activePane="bottomLeft" state="frozen"/>
      <selection pane="topLeft" activeCell="BC1" activeCellId="0" sqref="BC1"/>
      <selection pane="bottomLeft" activeCell="BB68" activeCellId="0" sqref="BB68"/>
    </sheetView>
  </sheetViews>
  <sheetFormatPr defaultColWidth="8.54296875" defaultRowHeight="14.25" zeroHeight="false" outlineLevelRow="0" outlineLevelCol="0"/>
  <cols>
    <col collapsed="false" customWidth="true" hidden="false" outlineLevel="0" max="1" min="1" style="0" width="9.78"/>
    <col collapsed="false" customWidth="true" hidden="false" outlineLevel="0" max="2" min="2" style="0" width="24"/>
    <col collapsed="false" customWidth="true" hidden="false" outlineLevel="0" max="5" min="5" style="0" width="9.78"/>
    <col collapsed="false" customWidth="true" hidden="false" outlineLevel="0" max="6" min="6" style="0" width="24"/>
    <col collapsed="false" customWidth="true" hidden="false" outlineLevel="0" max="7" min="7" style="0" width="9.78"/>
    <col collapsed="false" customWidth="true" hidden="false" outlineLevel="0" max="8" min="8" style="0" width="24"/>
    <col collapsed="false" customWidth="true" hidden="false" outlineLevel="0" max="9" min="9" style="0" width="9.78"/>
    <col collapsed="false" customWidth="true" hidden="false" outlineLevel="0" max="10" min="10" style="0" width="24"/>
    <col collapsed="false" customWidth="true" hidden="false" outlineLevel="0" max="11" min="11" style="0" width="9.78"/>
    <col collapsed="false" customWidth="true" hidden="false" outlineLevel="0" max="12" min="12" style="0" width="24"/>
    <col collapsed="false" customWidth="true" hidden="false" outlineLevel="0" max="13" min="13" style="0" width="9.78"/>
    <col collapsed="false" customWidth="true" hidden="false" outlineLevel="0" max="14" min="14" style="0" width="24"/>
    <col collapsed="false" customWidth="true" hidden="false" outlineLevel="0" max="15" min="15" style="0" width="9.78"/>
    <col collapsed="false" customWidth="true" hidden="false" outlineLevel="0" max="16" min="16" style="0" width="24"/>
    <col collapsed="false" customWidth="true" hidden="false" outlineLevel="0" max="17" min="17" style="0" width="9.78"/>
    <col collapsed="false" customWidth="true" hidden="false" outlineLevel="0" max="18" min="18" style="0" width="24"/>
    <col collapsed="false" customWidth="true" hidden="false" outlineLevel="0" max="19" min="19" style="0" width="9.78"/>
    <col collapsed="false" customWidth="true" hidden="false" outlineLevel="0" max="20" min="20" style="0" width="24"/>
    <col collapsed="false" customWidth="true" hidden="false" outlineLevel="0" max="21" min="21" style="0" width="9.78"/>
    <col collapsed="false" customWidth="true" hidden="false" outlineLevel="0" max="22" min="22" style="0" width="24"/>
    <col collapsed="false" customWidth="true" hidden="false" outlineLevel="0" max="23" min="23" style="0" width="9.78"/>
    <col collapsed="false" customWidth="true" hidden="false" outlineLevel="0" max="24" min="24" style="0" width="24"/>
    <col collapsed="false" customWidth="true" hidden="false" outlineLevel="0" max="25" min="25" style="0" width="9.78"/>
    <col collapsed="false" customWidth="true" hidden="false" outlineLevel="0" max="26" min="26" style="0" width="24"/>
    <col collapsed="false" customWidth="true" hidden="false" outlineLevel="0" max="27" min="27" style="0" width="9.78"/>
    <col collapsed="false" customWidth="true" hidden="false" outlineLevel="0" max="28" min="28" style="0" width="24"/>
    <col collapsed="false" customWidth="true" hidden="false" outlineLevel="0" max="29" min="29" style="0" width="9.78"/>
    <col collapsed="false" customWidth="true" hidden="false" outlineLevel="0" max="30" min="30" style="0" width="24"/>
    <col collapsed="false" customWidth="true" hidden="false" outlineLevel="0" max="31" min="31" style="0" width="9.78"/>
    <col collapsed="false" customWidth="true" hidden="false" outlineLevel="0" max="32" min="32" style="0" width="24"/>
    <col collapsed="false" customWidth="true" hidden="false" outlineLevel="0" max="33" min="33" style="0" width="9.78"/>
    <col collapsed="false" customWidth="true" hidden="false" outlineLevel="0" max="34" min="34" style="0" width="24"/>
    <col collapsed="false" customWidth="true" hidden="false" outlineLevel="0" max="35" min="35" style="0" width="9.78"/>
    <col collapsed="false" customWidth="true" hidden="false" outlineLevel="0" max="36" min="36" style="0" width="24"/>
    <col collapsed="false" customWidth="true" hidden="false" outlineLevel="0" max="37" min="37" style="0" width="9.78"/>
    <col collapsed="false" customWidth="true" hidden="false" outlineLevel="0" max="38" min="38" style="0" width="24"/>
    <col collapsed="false" customWidth="true" hidden="false" outlineLevel="0" max="39" min="39" style="0" width="9.78"/>
    <col collapsed="false" customWidth="true" hidden="false" outlineLevel="0" max="40" min="40" style="0" width="24"/>
    <col collapsed="false" customWidth="true" hidden="false" outlineLevel="0" max="41" min="41" style="0" width="9.78"/>
    <col collapsed="false" customWidth="true" hidden="false" outlineLevel="0" max="42" min="42" style="0" width="24"/>
    <col collapsed="false" customWidth="true" hidden="false" outlineLevel="0" max="43" min="43" style="0" width="9.78"/>
    <col collapsed="false" customWidth="true" hidden="false" outlineLevel="0" max="44" min="44" style="0" width="24"/>
    <col collapsed="false" customWidth="true" hidden="false" outlineLevel="0" max="45" min="45" style="0" width="9.78"/>
    <col collapsed="false" customWidth="true" hidden="false" outlineLevel="0" max="46" min="46" style="0" width="24"/>
    <col collapsed="false" customWidth="true" hidden="false" outlineLevel="0" max="47" min="47" style="0" width="9.78"/>
    <col collapsed="false" customWidth="true" hidden="false" outlineLevel="0" max="48" min="48" style="0" width="24"/>
    <col collapsed="false" customWidth="true" hidden="false" outlineLevel="0" max="49" min="49" style="0" width="9.78"/>
    <col collapsed="false" customWidth="true" hidden="false" outlineLevel="0" max="50" min="50" style="0" width="24"/>
    <col collapsed="false" customWidth="true" hidden="false" outlineLevel="0" max="51" min="51" style="0" width="9.78"/>
    <col collapsed="false" customWidth="true" hidden="false" outlineLevel="0" max="52" min="52" style="0" width="24"/>
    <col collapsed="false" customWidth="true" hidden="false" outlineLevel="0" max="53" min="53" style="0" width="9.78"/>
    <col collapsed="false" customWidth="true" hidden="false" outlineLevel="0" max="54" min="54" style="0" width="24"/>
    <col collapsed="false" customWidth="true" hidden="false" outlineLevel="0" max="55" min="55" style="0" width="9.78"/>
    <col collapsed="false" customWidth="true" hidden="false" outlineLevel="0" max="56" min="56" style="0" width="24"/>
    <col collapsed="false" customWidth="true" hidden="false" outlineLevel="0" max="57" min="57" style="0" width="9.78"/>
    <col collapsed="false" customWidth="true" hidden="false" outlineLevel="0" max="58" min="58" style="0" width="24"/>
    <col collapsed="false" customWidth="true" hidden="false" outlineLevel="0" max="59" min="59" style="0" width="9.78"/>
    <col collapsed="false" customWidth="true" hidden="false" outlineLevel="0" max="60" min="60" style="0" width="24"/>
    <col collapsed="false" customWidth="true" hidden="false" outlineLevel="0" max="61" min="61" style="0" width="9.78"/>
    <col collapsed="false" customWidth="true" hidden="false" outlineLevel="0" max="62" min="62" style="0" width="24"/>
    <col collapsed="false" customWidth="true" hidden="false" outlineLevel="0" max="63" min="63" style="0" width="9.78"/>
    <col collapsed="false" customWidth="true" hidden="false" outlineLevel="0" max="64" min="64" style="0" width="24"/>
    <col collapsed="false" customWidth="true" hidden="false" outlineLevel="0" max="65" min="65" style="0" width="9.78"/>
    <col collapsed="false" customWidth="true" hidden="false" outlineLevel="0" max="66" min="66" style="0" width="24"/>
    <col collapsed="false" customWidth="true" hidden="false" outlineLevel="0" max="67" min="67" style="0" width="9.78"/>
    <col collapsed="false" customWidth="true" hidden="false" outlineLevel="0" max="68" min="68" style="0" width="24"/>
    <col collapsed="false" customWidth="true" hidden="false" outlineLevel="0" max="69" min="69" style="0" width="9.78"/>
    <col collapsed="false" customWidth="true" hidden="false" outlineLevel="0" max="70" min="70" style="0" width="24"/>
    <col collapsed="false" customWidth="true" hidden="false" outlineLevel="0" max="71" min="71" style="0" width="9.78"/>
    <col collapsed="false" customWidth="true" hidden="false" outlineLevel="0" max="72" min="72" style="0" width="24"/>
    <col collapsed="false" customWidth="true" hidden="false" outlineLevel="0" max="73" min="73" style="0" width="9.78"/>
    <col collapsed="false" customWidth="true" hidden="false" outlineLevel="0" max="74" min="74" style="0" width="24"/>
    <col collapsed="false" customWidth="true" hidden="false" outlineLevel="0" max="75" min="75" style="0" width="9.78"/>
    <col collapsed="false" customWidth="true" hidden="false" outlineLevel="0" max="76" min="76" style="0" width="7.22"/>
    <col collapsed="false" customWidth="true" hidden="false" outlineLevel="0" max="77" min="77" style="0" width="9.78"/>
    <col collapsed="false" customWidth="true" hidden="false" outlineLevel="0" max="78" min="78" style="0" width="24"/>
    <col collapsed="false" customWidth="true" hidden="false" outlineLevel="0" max="79" min="79" style="0" width="9.78"/>
    <col collapsed="false" customWidth="true" hidden="false" outlineLevel="0" max="80" min="80" style="0" width="24"/>
    <col collapsed="false" customWidth="true" hidden="false" outlineLevel="0" max="81" min="81" style="0" width="9.78"/>
    <col collapsed="false" customWidth="true" hidden="false" outlineLevel="0" max="82" min="82" style="0" width="7.22"/>
    <col collapsed="false" customWidth="true" hidden="false" outlineLevel="0" max="83" min="83" style="0" width="9.78"/>
    <col collapsed="false" customWidth="true" hidden="false" outlineLevel="0" max="84" min="84" style="0" width="24"/>
    <col collapsed="false" customWidth="true" hidden="false" outlineLevel="0" max="85" min="85" style="0" width="9.78"/>
    <col collapsed="false" customWidth="true" hidden="false" outlineLevel="0" max="86" min="86" style="0" width="24"/>
    <col collapsed="false" customWidth="true" hidden="false" outlineLevel="0" max="87" min="87" style="0" width="9.78"/>
    <col collapsed="false" customWidth="true" hidden="false" outlineLevel="0" max="88" min="88" style="0" width="24"/>
    <col collapsed="false" customWidth="true" hidden="false" outlineLevel="0" max="89" min="89" style="0" width="9.78"/>
    <col collapsed="false" customWidth="true" hidden="false" outlineLevel="0" max="90" min="90" style="0" width="24"/>
    <col collapsed="false" customWidth="true" hidden="false" outlineLevel="0" max="91" min="91" style="0" width="9.78"/>
    <col collapsed="false" customWidth="true" hidden="false" outlineLevel="0" max="92" min="92" style="0" width="24"/>
    <col collapsed="false" customWidth="true" hidden="false" outlineLevel="0" max="93" min="93" style="0" width="9.78"/>
    <col collapsed="false" customWidth="true" hidden="false" outlineLevel="0" max="94" min="94" style="0" width="24"/>
  </cols>
  <sheetData>
    <row r="1" customFormat="false" ht="14.25" hidden="false" customHeight="false" outlineLevel="0" collapsed="false">
      <c r="A1" s="180" t="s">
        <v>299</v>
      </c>
      <c r="B1" s="180"/>
      <c r="C1" s="180"/>
      <c r="D1" s="180"/>
      <c r="E1" s="180"/>
      <c r="F1" s="180"/>
      <c r="G1" s="180"/>
      <c r="H1" s="180"/>
      <c r="I1" s="180"/>
      <c r="J1" s="180"/>
      <c r="K1" s="180"/>
      <c r="L1" s="180"/>
      <c r="M1" s="180"/>
      <c r="N1" s="184"/>
      <c r="O1" s="181" t="s">
        <v>300</v>
      </c>
      <c r="P1" s="181"/>
      <c r="Q1" s="181"/>
      <c r="R1" s="181"/>
      <c r="S1" s="181"/>
      <c r="T1" s="181"/>
      <c r="U1" s="181"/>
      <c r="V1" s="181"/>
      <c r="W1" s="181"/>
      <c r="X1" s="181"/>
      <c r="Y1" s="181"/>
      <c r="Z1" s="181"/>
      <c r="AA1" s="181"/>
      <c r="AB1" s="181"/>
      <c r="AC1" s="181"/>
      <c r="AD1" s="181"/>
      <c r="AE1" s="181"/>
      <c r="AF1" s="181"/>
      <c r="AG1" s="181"/>
      <c r="AH1" s="181"/>
      <c r="AI1" s="181"/>
      <c r="AJ1" s="181"/>
      <c r="AK1" s="181"/>
      <c r="AL1" s="181"/>
      <c r="AM1" s="181"/>
      <c r="AN1" s="181"/>
      <c r="AO1" s="181"/>
      <c r="AP1" s="181"/>
      <c r="AQ1" s="181"/>
      <c r="AR1" s="181"/>
      <c r="AS1" s="181"/>
      <c r="AT1" s="181"/>
      <c r="AU1" s="181"/>
      <c r="AV1" s="181"/>
      <c r="AW1" s="181"/>
      <c r="AX1" s="181"/>
      <c r="AY1" s="181"/>
      <c r="AZ1" s="181"/>
      <c r="BA1" s="181"/>
      <c r="BB1" s="181"/>
      <c r="BC1" s="181"/>
      <c r="BD1" s="181"/>
      <c r="BE1" s="181"/>
      <c r="BF1" s="181"/>
      <c r="BG1" s="181"/>
      <c r="BH1" s="181"/>
      <c r="BI1" s="181"/>
      <c r="BJ1" s="181"/>
      <c r="BK1" s="181"/>
      <c r="BL1" s="181"/>
      <c r="BM1" s="181"/>
      <c r="BN1" s="185"/>
      <c r="BO1" s="182" t="s">
        <v>301</v>
      </c>
      <c r="BP1" s="182"/>
      <c r="BQ1" s="182"/>
      <c r="BR1" s="182"/>
      <c r="BS1" s="182"/>
      <c r="BT1" s="182"/>
      <c r="BU1" s="182"/>
      <c r="BV1" s="182"/>
      <c r="BW1" s="182"/>
      <c r="BX1" s="182"/>
      <c r="BY1" s="182"/>
      <c r="BZ1" s="182"/>
      <c r="CA1" s="182"/>
      <c r="CB1" s="182"/>
      <c r="CC1" s="182"/>
      <c r="CD1" s="182"/>
      <c r="CE1" s="182"/>
      <c r="CF1" s="182"/>
      <c r="CG1" s="182"/>
      <c r="CH1" s="182"/>
      <c r="CI1" s="182"/>
      <c r="CJ1" s="182"/>
      <c r="CK1" s="182"/>
      <c r="CL1" s="182"/>
      <c r="CM1" s="182"/>
      <c r="CN1" s="182"/>
      <c r="CO1" s="182"/>
      <c r="CP1" s="182"/>
    </row>
    <row r="2" customFormat="false" ht="14.25" hidden="false" customHeight="false" outlineLevel="0" collapsed="false">
      <c r="A2" s="186" t="s">
        <v>302</v>
      </c>
      <c r="B2" s="186"/>
      <c r="C2" s="186" t="s">
        <v>303</v>
      </c>
      <c r="D2" s="186"/>
      <c r="E2" s="186" t="s">
        <v>304</v>
      </c>
      <c r="F2" s="186"/>
      <c r="G2" s="186" t="s">
        <v>305</v>
      </c>
      <c r="H2" s="186"/>
      <c r="I2" s="186" t="s">
        <v>306</v>
      </c>
      <c r="J2" s="186"/>
      <c r="K2" s="186" t="s">
        <v>307</v>
      </c>
      <c r="L2" s="186"/>
      <c r="M2" s="186" t="s">
        <v>308</v>
      </c>
      <c r="N2" s="186"/>
      <c r="O2" s="186" t="s">
        <v>309</v>
      </c>
      <c r="P2" s="186"/>
      <c r="Q2" s="186" t="s">
        <v>310</v>
      </c>
      <c r="R2" s="186"/>
      <c r="S2" s="186" t="s">
        <v>311</v>
      </c>
      <c r="T2" s="186"/>
      <c r="U2" s="186" t="s">
        <v>312</v>
      </c>
      <c r="V2" s="186"/>
      <c r="W2" s="186" t="s">
        <v>350</v>
      </c>
      <c r="X2" s="186"/>
      <c r="Y2" s="186" t="s">
        <v>314</v>
      </c>
      <c r="Z2" s="186"/>
      <c r="AA2" s="186" t="s">
        <v>315</v>
      </c>
      <c r="AB2" s="186"/>
      <c r="AC2" s="186" t="s">
        <v>316</v>
      </c>
      <c r="AD2" s="186"/>
      <c r="AE2" s="186" t="s">
        <v>317</v>
      </c>
      <c r="AF2" s="186"/>
      <c r="AG2" s="186" t="s">
        <v>318</v>
      </c>
      <c r="AH2" s="186"/>
      <c r="AI2" s="186" t="s">
        <v>319</v>
      </c>
      <c r="AJ2" s="186"/>
      <c r="AK2" s="186" t="s">
        <v>320</v>
      </c>
      <c r="AL2" s="186"/>
      <c r="AM2" s="186" t="s">
        <v>321</v>
      </c>
      <c r="AN2" s="186"/>
      <c r="AO2" s="186" t="s">
        <v>322</v>
      </c>
      <c r="AP2" s="186"/>
      <c r="AQ2" s="186" t="s">
        <v>323</v>
      </c>
      <c r="AR2" s="186"/>
      <c r="AS2" s="186" t="s">
        <v>324</v>
      </c>
      <c r="AT2" s="186"/>
      <c r="AU2" s="186" t="s">
        <v>325</v>
      </c>
      <c r="AV2" s="186"/>
      <c r="AW2" s="186" t="s">
        <v>326</v>
      </c>
      <c r="AX2" s="186"/>
      <c r="AY2" s="186" t="s">
        <v>327</v>
      </c>
      <c r="AZ2" s="186"/>
      <c r="BA2" s="186" t="s">
        <v>328</v>
      </c>
      <c r="BB2" s="186"/>
      <c r="BC2" s="186" t="s">
        <v>329</v>
      </c>
      <c r="BD2" s="186"/>
      <c r="BE2" s="186" t="s">
        <v>330</v>
      </c>
      <c r="BF2" s="186"/>
      <c r="BG2" s="186" t="s">
        <v>331</v>
      </c>
      <c r="BH2" s="186"/>
      <c r="BI2" s="186" t="s">
        <v>332</v>
      </c>
      <c r="BJ2" s="186"/>
      <c r="BK2" s="186" t="s">
        <v>333</v>
      </c>
      <c r="BL2" s="186"/>
      <c r="BM2" s="186" t="s">
        <v>334</v>
      </c>
      <c r="BN2" s="186"/>
      <c r="BO2" s="186" t="s">
        <v>335</v>
      </c>
      <c r="BP2" s="186"/>
      <c r="BQ2" s="186" t="s">
        <v>336</v>
      </c>
      <c r="BR2" s="186"/>
      <c r="BS2" s="186" t="s">
        <v>337</v>
      </c>
      <c r="BT2" s="186"/>
      <c r="BU2" s="186" t="s">
        <v>338</v>
      </c>
      <c r="BV2" s="186"/>
      <c r="BW2" s="186" t="s">
        <v>339</v>
      </c>
      <c r="BX2" s="186"/>
      <c r="BY2" s="186" t="s">
        <v>340</v>
      </c>
      <c r="BZ2" s="186"/>
      <c r="CA2" s="186" t="s">
        <v>341</v>
      </c>
      <c r="CB2" s="186"/>
      <c r="CC2" s="186" t="s">
        <v>342</v>
      </c>
      <c r="CD2" s="186"/>
      <c r="CE2" s="186" t="s">
        <v>343</v>
      </c>
      <c r="CF2" s="186"/>
      <c r="CG2" s="186" t="s">
        <v>344</v>
      </c>
      <c r="CH2" s="186"/>
      <c r="CI2" s="186" t="s">
        <v>345</v>
      </c>
      <c r="CJ2" s="186"/>
      <c r="CK2" s="186" t="s">
        <v>346</v>
      </c>
      <c r="CL2" s="186"/>
      <c r="CM2" s="186" t="s">
        <v>347</v>
      </c>
      <c r="CN2" s="186"/>
      <c r="CO2" s="186" t="s">
        <v>348</v>
      </c>
      <c r="CP2" s="186"/>
    </row>
    <row r="3" customFormat="false" ht="14.25" hidden="false" customHeight="false" outlineLevel="0" collapsed="false">
      <c r="A3" s="183" t="s">
        <v>349</v>
      </c>
      <c r="B3" s="183" t="s">
        <v>351</v>
      </c>
      <c r="C3" s="183" t="s">
        <v>352</v>
      </c>
      <c r="D3" s="183" t="s">
        <v>352</v>
      </c>
      <c r="E3" s="183" t="s">
        <v>349</v>
      </c>
      <c r="F3" s="183" t="s">
        <v>351</v>
      </c>
      <c r="G3" s="183" t="s">
        <v>349</v>
      </c>
      <c r="H3" s="183" t="s">
        <v>351</v>
      </c>
      <c r="I3" s="183" t="s">
        <v>349</v>
      </c>
      <c r="J3" s="183" t="s">
        <v>351</v>
      </c>
      <c r="K3" s="183" t="s">
        <v>349</v>
      </c>
      <c r="L3" s="183" t="s">
        <v>351</v>
      </c>
      <c r="M3" s="183" t="s">
        <v>349</v>
      </c>
      <c r="N3" s="183" t="s">
        <v>351</v>
      </c>
      <c r="O3" s="183" t="s">
        <v>349</v>
      </c>
      <c r="P3" s="183" t="s">
        <v>351</v>
      </c>
      <c r="Q3" s="183" t="s">
        <v>349</v>
      </c>
      <c r="R3" s="183" t="s">
        <v>351</v>
      </c>
      <c r="S3" s="183" t="s">
        <v>349</v>
      </c>
      <c r="T3" s="183" t="s">
        <v>351</v>
      </c>
      <c r="U3" s="183" t="s">
        <v>349</v>
      </c>
      <c r="V3" s="183" t="s">
        <v>351</v>
      </c>
      <c r="W3" s="183" t="s">
        <v>349</v>
      </c>
      <c r="X3" s="183" t="s">
        <v>351</v>
      </c>
      <c r="Y3" s="183" t="s">
        <v>349</v>
      </c>
      <c r="Z3" s="183" t="s">
        <v>351</v>
      </c>
      <c r="AA3" s="183" t="s">
        <v>349</v>
      </c>
      <c r="AB3" s="183" t="s">
        <v>351</v>
      </c>
      <c r="AC3" s="183" t="s">
        <v>349</v>
      </c>
      <c r="AD3" s="183" t="s">
        <v>351</v>
      </c>
      <c r="AE3" s="183" t="s">
        <v>349</v>
      </c>
      <c r="AF3" s="183" t="s">
        <v>351</v>
      </c>
      <c r="AG3" s="183" t="s">
        <v>349</v>
      </c>
      <c r="AH3" s="183" t="s">
        <v>351</v>
      </c>
      <c r="AI3" s="183" t="s">
        <v>349</v>
      </c>
      <c r="AJ3" s="183" t="s">
        <v>351</v>
      </c>
      <c r="AK3" s="183" t="s">
        <v>349</v>
      </c>
      <c r="AL3" s="183" t="s">
        <v>351</v>
      </c>
      <c r="AM3" s="183" t="s">
        <v>349</v>
      </c>
      <c r="AN3" s="183" t="s">
        <v>351</v>
      </c>
      <c r="AO3" s="183" t="s">
        <v>349</v>
      </c>
      <c r="AP3" s="183" t="s">
        <v>351</v>
      </c>
      <c r="AQ3" s="183" t="s">
        <v>349</v>
      </c>
      <c r="AR3" s="183" t="s">
        <v>351</v>
      </c>
      <c r="AS3" s="183" t="s">
        <v>349</v>
      </c>
      <c r="AT3" s="183" t="s">
        <v>351</v>
      </c>
      <c r="AU3" s="183" t="s">
        <v>349</v>
      </c>
      <c r="AV3" s="183" t="s">
        <v>351</v>
      </c>
      <c r="AW3" s="183" t="s">
        <v>349</v>
      </c>
      <c r="AX3" s="183" t="s">
        <v>351</v>
      </c>
      <c r="AY3" s="183" t="s">
        <v>349</v>
      </c>
      <c r="AZ3" s="183" t="s">
        <v>351</v>
      </c>
      <c r="BA3" s="183" t="s">
        <v>349</v>
      </c>
      <c r="BB3" s="183" t="s">
        <v>351</v>
      </c>
      <c r="BC3" s="183" t="s">
        <v>349</v>
      </c>
      <c r="BD3" s="183" t="s">
        <v>351</v>
      </c>
      <c r="BE3" s="183" t="s">
        <v>349</v>
      </c>
      <c r="BF3" s="183" t="s">
        <v>351</v>
      </c>
      <c r="BG3" s="183" t="s">
        <v>349</v>
      </c>
      <c r="BH3" s="183" t="s">
        <v>351</v>
      </c>
      <c r="BI3" s="183" t="s">
        <v>349</v>
      </c>
      <c r="BJ3" s="183" t="s">
        <v>351</v>
      </c>
      <c r="BK3" s="183" t="s">
        <v>349</v>
      </c>
      <c r="BL3" s="183" t="s">
        <v>351</v>
      </c>
      <c r="BM3" s="183" t="s">
        <v>349</v>
      </c>
      <c r="BN3" s="183" t="s">
        <v>351</v>
      </c>
      <c r="BO3" s="183" t="s">
        <v>349</v>
      </c>
      <c r="BP3" s="183" t="s">
        <v>351</v>
      </c>
      <c r="BQ3" s="183" t="s">
        <v>349</v>
      </c>
      <c r="BR3" s="183" t="s">
        <v>351</v>
      </c>
      <c r="BS3" s="183" t="s">
        <v>349</v>
      </c>
      <c r="BT3" s="183" t="s">
        <v>351</v>
      </c>
      <c r="BU3" s="183" t="s">
        <v>349</v>
      </c>
      <c r="BV3" s="183" t="s">
        <v>351</v>
      </c>
      <c r="BW3" s="183" t="s">
        <v>349</v>
      </c>
      <c r="BX3" s="183" t="s">
        <v>351</v>
      </c>
      <c r="BY3" s="183" t="s">
        <v>349</v>
      </c>
      <c r="BZ3" s="183" t="s">
        <v>351</v>
      </c>
      <c r="CA3" s="183" t="s">
        <v>349</v>
      </c>
      <c r="CB3" s="183" t="s">
        <v>351</v>
      </c>
      <c r="CC3" s="183" t="s">
        <v>349</v>
      </c>
      <c r="CD3" s="183" t="s">
        <v>351</v>
      </c>
      <c r="CE3" s="183" t="s">
        <v>349</v>
      </c>
      <c r="CF3" s="183" t="s">
        <v>351</v>
      </c>
      <c r="CG3" s="183" t="s">
        <v>349</v>
      </c>
      <c r="CH3" s="183" t="s">
        <v>351</v>
      </c>
      <c r="CI3" s="183" t="s">
        <v>349</v>
      </c>
      <c r="CJ3" s="183" t="s">
        <v>351</v>
      </c>
      <c r="CK3" s="183" t="s">
        <v>349</v>
      </c>
      <c r="CL3" s="183" t="s">
        <v>351</v>
      </c>
      <c r="CM3" s="183" t="s">
        <v>349</v>
      </c>
      <c r="CN3" s="183" t="s">
        <v>351</v>
      </c>
      <c r="CO3" s="183" t="s">
        <v>349</v>
      </c>
      <c r="CP3" s="183" t="s">
        <v>351</v>
      </c>
    </row>
    <row r="4" customFormat="false" ht="14.25" hidden="false" customHeight="false" outlineLevel="0" collapsed="false">
      <c r="A4" s="0" t="n">
        <v>12.1</v>
      </c>
      <c r="B4" s="187" t="s">
        <v>353</v>
      </c>
      <c r="E4" s="0" t="n">
        <v>6.3</v>
      </c>
      <c r="F4" s="187" t="s">
        <v>353</v>
      </c>
      <c r="G4" s="0" t="n">
        <v>9.6</v>
      </c>
      <c r="H4" s="187" t="s">
        <v>353</v>
      </c>
      <c r="I4" s="0" t="n">
        <v>4</v>
      </c>
      <c r="J4" s="187" t="s">
        <v>353</v>
      </c>
      <c r="K4" s="0" t="n">
        <v>20.2</v>
      </c>
      <c r="L4" s="187" t="s">
        <v>353</v>
      </c>
      <c r="M4" s="0" t="n">
        <v>16</v>
      </c>
      <c r="N4" s="187" t="s">
        <v>353</v>
      </c>
      <c r="O4" s="0" t="n">
        <v>2.9</v>
      </c>
      <c r="P4" s="187" t="s">
        <v>353</v>
      </c>
      <c r="Q4" s="0" t="n">
        <v>667.6</v>
      </c>
      <c r="R4" s="187" t="s">
        <v>353</v>
      </c>
      <c r="S4" s="0" t="n">
        <v>4.3</v>
      </c>
      <c r="T4" s="187" t="s">
        <v>353</v>
      </c>
      <c r="U4" s="0" t="n">
        <v>651.2</v>
      </c>
      <c r="V4" s="187" t="s">
        <v>353</v>
      </c>
      <c r="W4" s="0" t="n">
        <v>645.9</v>
      </c>
      <c r="X4" s="187" t="s">
        <v>353</v>
      </c>
      <c r="Y4" s="0" t="n">
        <v>639.5</v>
      </c>
      <c r="Z4" s="187" t="s">
        <v>353</v>
      </c>
      <c r="AA4" s="0" t="n">
        <v>631.4</v>
      </c>
      <c r="AB4" s="187" t="s">
        <v>353</v>
      </c>
      <c r="AC4" s="0" t="n">
        <v>621.1</v>
      </c>
      <c r="AD4" s="187" t="s">
        <v>353</v>
      </c>
      <c r="AE4" s="0" t="n">
        <v>613</v>
      </c>
      <c r="AF4" s="187" t="s">
        <v>353</v>
      </c>
      <c r="AG4" s="0" t="n">
        <v>4.6</v>
      </c>
      <c r="AH4" s="187" t="s">
        <v>353</v>
      </c>
      <c r="AI4" s="0" t="n">
        <v>5.1</v>
      </c>
      <c r="AJ4" s="187" t="s">
        <v>353</v>
      </c>
      <c r="AK4" s="0" t="n">
        <v>4.6</v>
      </c>
      <c r="AL4" s="187" t="s">
        <v>353</v>
      </c>
      <c r="AM4" s="0" t="n">
        <v>4.6</v>
      </c>
      <c r="AN4" s="187" t="s">
        <v>353</v>
      </c>
      <c r="AO4" s="0" t="n">
        <v>4.5</v>
      </c>
      <c r="AP4" s="187" t="s">
        <v>353</v>
      </c>
      <c r="AQ4" s="0" t="n">
        <v>4.6</v>
      </c>
      <c r="AR4" s="187" t="s">
        <v>353</v>
      </c>
      <c r="AS4" s="0" t="n">
        <v>3.8</v>
      </c>
      <c r="AT4" s="187" t="s">
        <v>353</v>
      </c>
      <c r="AU4" s="0" t="n">
        <v>3.7</v>
      </c>
      <c r="AV4" s="187" t="s">
        <v>353</v>
      </c>
      <c r="AW4" s="0" t="n">
        <v>1.5</v>
      </c>
      <c r="AX4" s="187" t="s">
        <v>353</v>
      </c>
      <c r="AY4" s="0" t="n">
        <v>3.4</v>
      </c>
      <c r="AZ4" s="187" t="s">
        <v>353</v>
      </c>
      <c r="BA4" s="0" t="n">
        <v>3.4</v>
      </c>
      <c r="BB4" s="187" t="s">
        <v>353</v>
      </c>
      <c r="BC4" s="0" t="n">
        <v>3.6</v>
      </c>
      <c r="BD4" s="187" t="s">
        <v>353</v>
      </c>
      <c r="BE4" s="0" t="n">
        <v>4.6</v>
      </c>
      <c r="BF4" s="187" t="s">
        <v>353</v>
      </c>
      <c r="BG4" s="0" t="n">
        <v>14.2</v>
      </c>
      <c r="BH4" s="187" t="s">
        <v>353</v>
      </c>
      <c r="BI4" s="0" t="n">
        <v>14.6</v>
      </c>
      <c r="BJ4" s="187" t="s">
        <v>353</v>
      </c>
      <c r="BK4" s="0" t="n">
        <v>4.3</v>
      </c>
      <c r="BL4" s="187" t="s">
        <v>353</v>
      </c>
      <c r="BM4" s="0" t="n">
        <v>3.1</v>
      </c>
      <c r="BN4" s="187" t="s">
        <v>353</v>
      </c>
      <c r="BO4" s="0" t="n">
        <v>12.6</v>
      </c>
      <c r="BP4" s="187" t="s">
        <v>353</v>
      </c>
      <c r="BQ4" s="0" t="n">
        <v>16.3</v>
      </c>
      <c r="BR4" s="187" t="s">
        <v>353</v>
      </c>
      <c r="BS4" s="0" t="n">
        <v>8.3</v>
      </c>
      <c r="BT4" s="187" t="s">
        <v>353</v>
      </c>
      <c r="BU4" s="0" t="n">
        <v>6.9</v>
      </c>
      <c r="BV4" s="187" t="s">
        <v>353</v>
      </c>
      <c r="BY4" s="0" t="n">
        <v>9.6</v>
      </c>
      <c r="BZ4" s="187" t="s">
        <v>353</v>
      </c>
      <c r="CA4" s="0" t="n">
        <v>10.9</v>
      </c>
      <c r="CB4" s="187" t="s">
        <v>353</v>
      </c>
      <c r="CE4" s="0" t="n">
        <v>16.2</v>
      </c>
      <c r="CF4" s="187" t="s">
        <v>353</v>
      </c>
      <c r="CG4" s="0" t="n">
        <v>10.2</v>
      </c>
      <c r="CH4" s="187" t="s">
        <v>353</v>
      </c>
      <c r="CI4" s="0" t="n">
        <v>9.6</v>
      </c>
      <c r="CJ4" s="187" t="s">
        <v>353</v>
      </c>
      <c r="CK4" s="0" t="n">
        <v>13.5</v>
      </c>
      <c r="CL4" s="187" t="s">
        <v>353</v>
      </c>
      <c r="CM4" s="0" t="n">
        <v>11.1</v>
      </c>
      <c r="CN4" s="187" t="s">
        <v>353</v>
      </c>
      <c r="CO4" s="0" t="n">
        <v>13.6</v>
      </c>
      <c r="CP4" s="187" t="s">
        <v>353</v>
      </c>
    </row>
    <row r="5" customFormat="false" ht="14.25" hidden="false" customHeight="false" outlineLevel="0" collapsed="false">
      <c r="A5" s="0" t="n">
        <v>12</v>
      </c>
      <c r="B5" s="187" t="s">
        <v>354</v>
      </c>
      <c r="E5" s="0" t="n">
        <v>6.3</v>
      </c>
      <c r="F5" s="187" t="s">
        <v>354</v>
      </c>
      <c r="G5" s="0" t="n">
        <v>9.6</v>
      </c>
      <c r="H5" s="187" t="s">
        <v>354</v>
      </c>
      <c r="I5" s="0" t="n">
        <v>4</v>
      </c>
      <c r="J5" s="187" t="s">
        <v>354</v>
      </c>
      <c r="K5" s="0" t="n">
        <v>20.3</v>
      </c>
      <c r="L5" s="187" t="s">
        <v>354</v>
      </c>
      <c r="M5" s="0" t="n">
        <v>16</v>
      </c>
      <c r="N5" s="187" t="s">
        <v>354</v>
      </c>
      <c r="O5" s="0" t="n">
        <v>2.9</v>
      </c>
      <c r="P5" s="187" t="s">
        <v>354</v>
      </c>
      <c r="Q5" s="0" t="n">
        <v>667.6</v>
      </c>
      <c r="R5" s="187" t="s">
        <v>354</v>
      </c>
      <c r="S5" s="0" t="n">
        <v>4.3</v>
      </c>
      <c r="T5" s="187" t="s">
        <v>354</v>
      </c>
      <c r="U5" s="0" t="n">
        <v>651.2</v>
      </c>
      <c r="V5" s="187" t="s">
        <v>354</v>
      </c>
      <c r="W5" s="0" t="n">
        <v>645.9</v>
      </c>
      <c r="X5" s="187" t="s">
        <v>354</v>
      </c>
      <c r="Y5" s="0" t="n">
        <v>639.5</v>
      </c>
      <c r="Z5" s="187" t="s">
        <v>354</v>
      </c>
      <c r="AA5" s="0" t="n">
        <v>631.4</v>
      </c>
      <c r="AB5" s="187" t="s">
        <v>354</v>
      </c>
      <c r="AC5" s="0" t="n">
        <v>621.1</v>
      </c>
      <c r="AD5" s="187" t="s">
        <v>354</v>
      </c>
      <c r="AE5" s="0" t="n">
        <v>613</v>
      </c>
      <c r="AF5" s="187" t="s">
        <v>354</v>
      </c>
      <c r="AG5" s="0" t="n">
        <v>4.5</v>
      </c>
      <c r="AH5" s="187" t="s">
        <v>354</v>
      </c>
      <c r="AI5" s="0" t="n">
        <v>5</v>
      </c>
      <c r="AJ5" s="187" t="s">
        <v>354</v>
      </c>
      <c r="AK5" s="0" t="n">
        <v>4.5</v>
      </c>
      <c r="AL5" s="187" t="s">
        <v>354</v>
      </c>
      <c r="AM5" s="0" t="n">
        <v>4.6</v>
      </c>
      <c r="AN5" s="187" t="s">
        <v>354</v>
      </c>
      <c r="AO5" s="0" t="n">
        <v>4.4</v>
      </c>
      <c r="AP5" s="187" t="s">
        <v>354</v>
      </c>
      <c r="AQ5" s="0" t="n">
        <v>4.5</v>
      </c>
      <c r="AR5" s="187" t="s">
        <v>354</v>
      </c>
      <c r="AS5" s="0" t="n">
        <v>3.7</v>
      </c>
      <c r="AT5" s="187" t="s">
        <v>354</v>
      </c>
      <c r="AU5" s="0" t="n">
        <v>3.7</v>
      </c>
      <c r="AV5" s="187" t="s">
        <v>354</v>
      </c>
      <c r="AW5" s="0" t="n">
        <v>1.5</v>
      </c>
      <c r="AX5" s="187" t="s">
        <v>354</v>
      </c>
      <c r="AY5" s="0" t="n">
        <v>3.7</v>
      </c>
      <c r="AZ5" s="187" t="s">
        <v>354</v>
      </c>
      <c r="BA5" s="0" t="n">
        <v>3.4</v>
      </c>
      <c r="BB5" s="187" t="s">
        <v>354</v>
      </c>
      <c r="BC5" s="0" t="n">
        <v>3.6</v>
      </c>
      <c r="BD5" s="187" t="s">
        <v>354</v>
      </c>
      <c r="BE5" s="0" t="n">
        <v>4.6</v>
      </c>
      <c r="BF5" s="187" t="s">
        <v>354</v>
      </c>
      <c r="BG5" s="0" t="n">
        <v>14.2</v>
      </c>
      <c r="BH5" s="187" t="s">
        <v>354</v>
      </c>
      <c r="BI5" s="0" t="n">
        <v>14.6</v>
      </c>
      <c r="BJ5" s="187" t="s">
        <v>354</v>
      </c>
      <c r="BK5" s="0" t="n">
        <v>4.7</v>
      </c>
      <c r="BL5" s="187" t="s">
        <v>354</v>
      </c>
      <c r="BM5" s="0" t="n">
        <v>3.9</v>
      </c>
      <c r="BN5" s="187" t="s">
        <v>354</v>
      </c>
      <c r="BO5" s="0" t="n">
        <v>12.6</v>
      </c>
      <c r="BP5" s="187" t="s">
        <v>354</v>
      </c>
      <c r="BQ5" s="0" t="n">
        <v>15.9</v>
      </c>
      <c r="BR5" s="187" t="s">
        <v>354</v>
      </c>
      <c r="BS5" s="0" t="n">
        <v>8.7</v>
      </c>
      <c r="BT5" s="187" t="s">
        <v>354</v>
      </c>
      <c r="BU5" s="0" t="n">
        <v>7.1</v>
      </c>
      <c r="BV5" s="187" t="s">
        <v>354</v>
      </c>
      <c r="BY5" s="0" t="n">
        <v>9.6</v>
      </c>
      <c r="BZ5" s="187" t="s">
        <v>354</v>
      </c>
      <c r="CA5" s="0" t="n">
        <v>10.9</v>
      </c>
      <c r="CB5" s="187" t="s">
        <v>354</v>
      </c>
      <c r="CE5" s="0" t="n">
        <v>16.9</v>
      </c>
      <c r="CF5" s="187" t="s">
        <v>354</v>
      </c>
      <c r="CG5" s="0" t="n">
        <v>11.2</v>
      </c>
      <c r="CH5" s="187" t="s">
        <v>354</v>
      </c>
      <c r="CI5" s="0" t="n">
        <v>9.9</v>
      </c>
      <c r="CJ5" s="187" t="s">
        <v>354</v>
      </c>
      <c r="CK5" s="0" t="n">
        <v>13.9</v>
      </c>
      <c r="CL5" s="187" t="s">
        <v>354</v>
      </c>
      <c r="CM5" s="0" t="n">
        <v>12.4</v>
      </c>
      <c r="CN5" s="187" t="s">
        <v>354</v>
      </c>
      <c r="CO5" s="0" t="n">
        <v>15.4</v>
      </c>
      <c r="CP5" s="187" t="s">
        <v>354</v>
      </c>
    </row>
    <row r="6" customFormat="false" ht="14.25" hidden="false" customHeight="false" outlineLevel="0" collapsed="false">
      <c r="A6" s="0" t="n">
        <v>12</v>
      </c>
      <c r="B6" s="187" t="s">
        <v>355</v>
      </c>
      <c r="E6" s="0" t="n">
        <v>6.3</v>
      </c>
      <c r="F6" s="187" t="s">
        <v>355</v>
      </c>
      <c r="G6" s="0" t="n">
        <v>9.6</v>
      </c>
      <c r="H6" s="187" t="s">
        <v>355</v>
      </c>
      <c r="I6" s="0" t="n">
        <v>4</v>
      </c>
      <c r="J6" s="187" t="s">
        <v>355</v>
      </c>
      <c r="K6" s="0" t="n">
        <v>20.4</v>
      </c>
      <c r="L6" s="187" t="s">
        <v>355</v>
      </c>
      <c r="M6" s="0" t="n">
        <v>16.1</v>
      </c>
      <c r="N6" s="187" t="s">
        <v>355</v>
      </c>
      <c r="O6" s="0" t="n">
        <v>2.9</v>
      </c>
      <c r="P6" s="187" t="s">
        <v>355</v>
      </c>
      <c r="Q6" s="0" t="n">
        <v>667.6</v>
      </c>
      <c r="R6" s="187" t="s">
        <v>355</v>
      </c>
      <c r="S6" s="0" t="n">
        <v>4.3</v>
      </c>
      <c r="T6" s="187" t="s">
        <v>355</v>
      </c>
      <c r="U6" s="0" t="n">
        <v>651.2</v>
      </c>
      <c r="V6" s="187" t="s">
        <v>355</v>
      </c>
      <c r="W6" s="0" t="n">
        <v>645.9</v>
      </c>
      <c r="X6" s="187" t="s">
        <v>355</v>
      </c>
      <c r="Y6" s="0" t="n">
        <v>639.5</v>
      </c>
      <c r="Z6" s="187" t="s">
        <v>355</v>
      </c>
      <c r="AA6" s="0" t="n">
        <v>631.3</v>
      </c>
      <c r="AB6" s="187" t="s">
        <v>355</v>
      </c>
      <c r="AC6" s="0" t="n">
        <v>621</v>
      </c>
      <c r="AD6" s="187" t="s">
        <v>355</v>
      </c>
      <c r="AE6" s="0" t="n">
        <v>612.9</v>
      </c>
      <c r="AF6" s="187" t="s">
        <v>355</v>
      </c>
      <c r="AG6" s="0" t="n">
        <v>4.4</v>
      </c>
      <c r="AH6" s="187" t="s">
        <v>355</v>
      </c>
      <c r="AI6" s="0" t="n">
        <v>5</v>
      </c>
      <c r="AJ6" s="187" t="s">
        <v>355</v>
      </c>
      <c r="AK6" s="0" t="n">
        <v>4.5</v>
      </c>
      <c r="AL6" s="187" t="s">
        <v>355</v>
      </c>
      <c r="AM6" s="0" t="n">
        <v>4.6</v>
      </c>
      <c r="AN6" s="187" t="s">
        <v>355</v>
      </c>
      <c r="AO6" s="0" t="n">
        <v>4.4</v>
      </c>
      <c r="AP6" s="187" t="s">
        <v>355</v>
      </c>
      <c r="AQ6" s="0" t="n">
        <v>4.5</v>
      </c>
      <c r="AR6" s="187" t="s">
        <v>355</v>
      </c>
      <c r="AS6" s="0" t="n">
        <v>3.7</v>
      </c>
      <c r="AT6" s="187" t="s">
        <v>355</v>
      </c>
      <c r="AU6" s="0" t="n">
        <v>3.7</v>
      </c>
      <c r="AV6" s="187" t="s">
        <v>355</v>
      </c>
      <c r="AW6" s="0" t="n">
        <v>1.5</v>
      </c>
      <c r="AX6" s="187" t="s">
        <v>355</v>
      </c>
      <c r="AY6" s="0" t="n">
        <v>3.4</v>
      </c>
      <c r="AZ6" s="187" t="s">
        <v>355</v>
      </c>
      <c r="BA6" s="0" t="n">
        <v>3.4</v>
      </c>
      <c r="BB6" s="187" t="s">
        <v>355</v>
      </c>
      <c r="BC6" s="0" t="n">
        <v>3.6</v>
      </c>
      <c r="BD6" s="187" t="s">
        <v>355</v>
      </c>
      <c r="BE6" s="0" t="n">
        <v>4.5</v>
      </c>
      <c r="BF6" s="187" t="s">
        <v>355</v>
      </c>
      <c r="BG6" s="0" t="n">
        <v>14.2</v>
      </c>
      <c r="BH6" s="187" t="s">
        <v>355</v>
      </c>
      <c r="BI6" s="0" t="n">
        <v>14.6</v>
      </c>
      <c r="BJ6" s="187" t="s">
        <v>355</v>
      </c>
      <c r="BK6" s="0" t="n">
        <v>5.1</v>
      </c>
      <c r="BL6" s="187" t="s">
        <v>355</v>
      </c>
      <c r="BM6" s="0" t="n">
        <v>4.8</v>
      </c>
      <c r="BN6" s="187" t="s">
        <v>355</v>
      </c>
      <c r="BO6" s="0" t="n">
        <v>12.7</v>
      </c>
      <c r="BP6" s="187" t="s">
        <v>355</v>
      </c>
      <c r="BQ6" s="0" t="n">
        <v>15.6</v>
      </c>
      <c r="BR6" s="187" t="s">
        <v>355</v>
      </c>
      <c r="BS6" s="0" t="n">
        <v>9</v>
      </c>
      <c r="BT6" s="187" t="s">
        <v>355</v>
      </c>
      <c r="BU6" s="0" t="n">
        <v>7.3</v>
      </c>
      <c r="BV6" s="187" t="s">
        <v>355</v>
      </c>
      <c r="BY6" s="0" t="n">
        <v>9.6</v>
      </c>
      <c r="BZ6" s="187" t="s">
        <v>355</v>
      </c>
      <c r="CA6" s="0" t="n">
        <v>10.9</v>
      </c>
      <c r="CB6" s="187" t="s">
        <v>355</v>
      </c>
      <c r="CE6" s="0" t="n">
        <v>17.1</v>
      </c>
      <c r="CF6" s="187" t="s">
        <v>355</v>
      </c>
      <c r="CG6" s="0" t="n">
        <v>12</v>
      </c>
      <c r="CH6" s="187" t="s">
        <v>355</v>
      </c>
      <c r="CI6" s="0" t="n">
        <v>10.6</v>
      </c>
      <c r="CJ6" s="187" t="s">
        <v>355</v>
      </c>
      <c r="CK6" s="0" t="n">
        <v>13.6</v>
      </c>
      <c r="CL6" s="187" t="s">
        <v>355</v>
      </c>
      <c r="CM6" s="0" t="n">
        <v>12.8</v>
      </c>
      <c r="CN6" s="187" t="s">
        <v>355</v>
      </c>
      <c r="CO6" s="0" t="n">
        <v>17.1</v>
      </c>
      <c r="CP6" s="187" t="s">
        <v>355</v>
      </c>
    </row>
    <row r="7" customFormat="false" ht="14.25" hidden="false" customHeight="false" outlineLevel="0" collapsed="false">
      <c r="A7" s="0" t="n">
        <v>12</v>
      </c>
      <c r="B7" s="187" t="s">
        <v>356</v>
      </c>
      <c r="E7" s="0" t="n">
        <v>6.2</v>
      </c>
      <c r="F7" s="187" t="s">
        <v>356</v>
      </c>
      <c r="G7" s="0" t="n">
        <v>9.6</v>
      </c>
      <c r="H7" s="187" t="s">
        <v>356</v>
      </c>
      <c r="I7" s="0" t="n">
        <v>4</v>
      </c>
      <c r="J7" s="187" t="s">
        <v>356</v>
      </c>
      <c r="K7" s="0" t="n">
        <v>20.4</v>
      </c>
      <c r="L7" s="187" t="s">
        <v>356</v>
      </c>
      <c r="M7" s="0" t="n">
        <v>16.1</v>
      </c>
      <c r="N7" s="187" t="s">
        <v>356</v>
      </c>
      <c r="O7" s="0" t="n">
        <v>2.9</v>
      </c>
      <c r="P7" s="187" t="s">
        <v>356</v>
      </c>
      <c r="Q7" s="0" t="n">
        <v>667.6</v>
      </c>
      <c r="R7" s="187" t="s">
        <v>356</v>
      </c>
      <c r="S7" s="0" t="n">
        <v>4.3</v>
      </c>
      <c r="T7" s="187" t="s">
        <v>356</v>
      </c>
      <c r="U7" s="0" t="n">
        <v>651.2</v>
      </c>
      <c r="V7" s="187" t="s">
        <v>356</v>
      </c>
      <c r="W7" s="0" t="n">
        <v>645.9</v>
      </c>
      <c r="X7" s="187" t="s">
        <v>356</v>
      </c>
      <c r="Y7" s="0" t="n">
        <v>639.4</v>
      </c>
      <c r="Z7" s="187" t="s">
        <v>356</v>
      </c>
      <c r="AA7" s="0" t="n">
        <v>631.3</v>
      </c>
      <c r="AB7" s="187" t="s">
        <v>356</v>
      </c>
      <c r="AC7" s="0" t="n">
        <v>621</v>
      </c>
      <c r="AD7" s="187" t="s">
        <v>356</v>
      </c>
      <c r="AE7" s="0" t="n">
        <v>612.8</v>
      </c>
      <c r="AF7" s="187" t="s">
        <v>356</v>
      </c>
      <c r="AG7" s="0" t="n">
        <v>4.3</v>
      </c>
      <c r="AH7" s="187" t="s">
        <v>356</v>
      </c>
      <c r="AI7" s="0" t="n">
        <v>5</v>
      </c>
      <c r="AJ7" s="187" t="s">
        <v>356</v>
      </c>
      <c r="AK7" s="0" t="n">
        <v>4.4</v>
      </c>
      <c r="AL7" s="187" t="s">
        <v>356</v>
      </c>
      <c r="AM7" s="0" t="n">
        <v>4.5</v>
      </c>
      <c r="AN7" s="187" t="s">
        <v>356</v>
      </c>
      <c r="AO7" s="0" t="n">
        <v>4.4</v>
      </c>
      <c r="AP7" s="187" t="s">
        <v>356</v>
      </c>
      <c r="AQ7" s="0" t="n">
        <v>4.5</v>
      </c>
      <c r="AR7" s="187" t="s">
        <v>356</v>
      </c>
      <c r="AS7" s="0" t="n">
        <v>3.7</v>
      </c>
      <c r="AT7" s="187" t="s">
        <v>356</v>
      </c>
      <c r="AU7" s="0" t="n">
        <v>3.7</v>
      </c>
      <c r="AV7" s="187" t="s">
        <v>356</v>
      </c>
      <c r="AW7" s="0" t="n">
        <v>1.4</v>
      </c>
      <c r="AX7" s="187" t="s">
        <v>356</v>
      </c>
      <c r="AY7" s="0" t="n">
        <v>2.9</v>
      </c>
      <c r="AZ7" s="187" t="s">
        <v>356</v>
      </c>
      <c r="BA7" s="0" t="n">
        <v>3.3</v>
      </c>
      <c r="BB7" s="187" t="s">
        <v>356</v>
      </c>
      <c r="BC7" s="0" t="n">
        <v>3.6</v>
      </c>
      <c r="BD7" s="187" t="s">
        <v>356</v>
      </c>
      <c r="BE7" s="0" t="n">
        <v>4.5</v>
      </c>
      <c r="BF7" s="187" t="s">
        <v>356</v>
      </c>
      <c r="BG7" s="0" t="n">
        <v>14.1</v>
      </c>
      <c r="BH7" s="187" t="s">
        <v>356</v>
      </c>
      <c r="BI7" s="0" t="n">
        <v>14.5</v>
      </c>
      <c r="BJ7" s="187" t="s">
        <v>356</v>
      </c>
      <c r="BK7" s="0" t="n">
        <v>5.6</v>
      </c>
      <c r="BL7" s="187" t="s">
        <v>356</v>
      </c>
      <c r="BM7" s="0" t="n">
        <v>5.8</v>
      </c>
      <c r="BN7" s="187" t="s">
        <v>356</v>
      </c>
      <c r="BO7" s="0" t="n">
        <v>12.7</v>
      </c>
      <c r="BP7" s="187" t="s">
        <v>356</v>
      </c>
      <c r="BQ7" s="0" t="n">
        <v>15.4</v>
      </c>
      <c r="BR7" s="187" t="s">
        <v>356</v>
      </c>
      <c r="BS7" s="0" t="n">
        <v>9.1</v>
      </c>
      <c r="BT7" s="187" t="s">
        <v>356</v>
      </c>
      <c r="BU7" s="0" t="n">
        <v>7.6</v>
      </c>
      <c r="BV7" s="187" t="s">
        <v>356</v>
      </c>
      <c r="BY7" s="0" t="n">
        <v>9.5</v>
      </c>
      <c r="BZ7" s="187" t="s">
        <v>356</v>
      </c>
      <c r="CA7" s="0" t="n">
        <v>10.8</v>
      </c>
      <c r="CB7" s="187" t="s">
        <v>356</v>
      </c>
      <c r="CE7" s="0" t="n">
        <v>17.2</v>
      </c>
      <c r="CF7" s="187" t="s">
        <v>356</v>
      </c>
      <c r="CG7" s="0" t="n">
        <v>12.5</v>
      </c>
      <c r="CH7" s="187" t="s">
        <v>356</v>
      </c>
      <c r="CI7" s="0" t="n">
        <v>11.1</v>
      </c>
      <c r="CJ7" s="187" t="s">
        <v>356</v>
      </c>
      <c r="CK7" s="0" t="n">
        <v>12.7</v>
      </c>
      <c r="CL7" s="187" t="s">
        <v>356</v>
      </c>
      <c r="CM7" s="0" t="n">
        <v>12.4</v>
      </c>
      <c r="CN7" s="187" t="s">
        <v>356</v>
      </c>
      <c r="CO7" s="0" t="n">
        <v>18.2</v>
      </c>
      <c r="CP7" s="187" t="s">
        <v>356</v>
      </c>
    </row>
    <row r="8" customFormat="false" ht="14.25" hidden="false" customHeight="false" outlineLevel="0" collapsed="false">
      <c r="A8" s="0" t="n">
        <v>12</v>
      </c>
      <c r="B8" s="187" t="s">
        <v>357</v>
      </c>
      <c r="E8" s="0" t="n">
        <v>6.2</v>
      </c>
      <c r="F8" s="187" t="s">
        <v>357</v>
      </c>
      <c r="G8" s="0" t="n">
        <v>9.5</v>
      </c>
      <c r="H8" s="187" t="s">
        <v>357</v>
      </c>
      <c r="I8" s="0" t="n">
        <v>3.9</v>
      </c>
      <c r="J8" s="187" t="s">
        <v>357</v>
      </c>
      <c r="K8" s="0" t="n">
        <v>20.4</v>
      </c>
      <c r="L8" s="187" t="s">
        <v>357</v>
      </c>
      <c r="M8" s="0" t="n">
        <v>16.1</v>
      </c>
      <c r="N8" s="187" t="s">
        <v>357</v>
      </c>
      <c r="O8" s="0" t="n">
        <v>2.9</v>
      </c>
      <c r="P8" s="187" t="s">
        <v>357</v>
      </c>
      <c r="Q8" s="0" t="n">
        <v>667.6</v>
      </c>
      <c r="R8" s="187" t="s">
        <v>357</v>
      </c>
      <c r="S8" s="0" t="n">
        <v>4.3</v>
      </c>
      <c r="T8" s="187" t="s">
        <v>357</v>
      </c>
      <c r="U8" s="0" t="n">
        <v>651.2</v>
      </c>
      <c r="V8" s="187" t="s">
        <v>357</v>
      </c>
      <c r="W8" s="0" t="n">
        <v>645.9</v>
      </c>
      <c r="X8" s="187" t="s">
        <v>357</v>
      </c>
      <c r="Y8" s="0" t="n">
        <v>639.4</v>
      </c>
      <c r="Z8" s="187" t="s">
        <v>357</v>
      </c>
      <c r="AA8" s="0" t="n">
        <v>631.3</v>
      </c>
      <c r="AB8" s="187" t="s">
        <v>357</v>
      </c>
      <c r="AC8" s="0" t="n">
        <v>620.9</v>
      </c>
      <c r="AD8" s="187" t="s">
        <v>357</v>
      </c>
      <c r="AE8" s="0" t="n">
        <v>612.7</v>
      </c>
      <c r="AF8" s="187" t="s">
        <v>357</v>
      </c>
      <c r="AG8" s="0" t="n">
        <v>4.3</v>
      </c>
      <c r="AH8" s="187" t="s">
        <v>357</v>
      </c>
      <c r="AI8" s="0" t="n">
        <v>4.9</v>
      </c>
      <c r="AJ8" s="187" t="s">
        <v>357</v>
      </c>
      <c r="AK8" s="0" t="n">
        <v>4.4</v>
      </c>
      <c r="AL8" s="187" t="s">
        <v>357</v>
      </c>
      <c r="AM8" s="0" t="n">
        <v>4.5</v>
      </c>
      <c r="AN8" s="187" t="s">
        <v>357</v>
      </c>
      <c r="AO8" s="0" t="n">
        <v>4.4</v>
      </c>
      <c r="AP8" s="187" t="s">
        <v>357</v>
      </c>
      <c r="AQ8" s="0" t="n">
        <v>4.4</v>
      </c>
      <c r="AR8" s="187" t="s">
        <v>357</v>
      </c>
      <c r="AS8" s="0" t="n">
        <v>3.6</v>
      </c>
      <c r="AT8" s="187" t="s">
        <v>357</v>
      </c>
      <c r="AU8" s="0" t="n">
        <v>3.6</v>
      </c>
      <c r="AV8" s="187" t="s">
        <v>357</v>
      </c>
      <c r="AW8" s="0" t="n">
        <v>1.4</v>
      </c>
      <c r="AX8" s="187" t="s">
        <v>357</v>
      </c>
      <c r="AY8" s="0" t="n">
        <v>3.3</v>
      </c>
      <c r="AZ8" s="187" t="s">
        <v>357</v>
      </c>
      <c r="BA8" s="0" t="n">
        <v>3.3</v>
      </c>
      <c r="BB8" s="187" t="s">
        <v>357</v>
      </c>
      <c r="BC8" s="0" t="n">
        <v>3.5</v>
      </c>
      <c r="BD8" s="187" t="s">
        <v>357</v>
      </c>
      <c r="BE8" s="0" t="n">
        <v>4.5</v>
      </c>
      <c r="BF8" s="187" t="s">
        <v>357</v>
      </c>
      <c r="BG8" s="0" t="n">
        <v>14.1</v>
      </c>
      <c r="BH8" s="187" t="s">
        <v>357</v>
      </c>
      <c r="BI8" s="0" t="n">
        <v>14.5</v>
      </c>
      <c r="BJ8" s="187" t="s">
        <v>357</v>
      </c>
      <c r="BK8" s="0" t="n">
        <v>6</v>
      </c>
      <c r="BL8" s="187" t="s">
        <v>357</v>
      </c>
      <c r="BM8" s="0" t="n">
        <v>6.8</v>
      </c>
      <c r="BN8" s="187" t="s">
        <v>357</v>
      </c>
      <c r="BO8" s="0" t="n">
        <v>12.7</v>
      </c>
      <c r="BP8" s="187" t="s">
        <v>357</v>
      </c>
      <c r="BQ8" s="0" t="n">
        <v>15.3</v>
      </c>
      <c r="BR8" s="187" t="s">
        <v>357</v>
      </c>
      <c r="BS8" s="0" t="n">
        <v>9</v>
      </c>
      <c r="BT8" s="187" t="s">
        <v>357</v>
      </c>
      <c r="BU8" s="0" t="n">
        <v>7.9</v>
      </c>
      <c r="BV8" s="187" t="s">
        <v>357</v>
      </c>
      <c r="BY8" s="0" t="n">
        <v>9.6</v>
      </c>
      <c r="BZ8" s="187" t="s">
        <v>357</v>
      </c>
      <c r="CA8" s="0" t="n">
        <v>10.8</v>
      </c>
      <c r="CB8" s="187" t="s">
        <v>357</v>
      </c>
      <c r="CE8" s="0" t="n">
        <v>17.2</v>
      </c>
      <c r="CF8" s="187" t="s">
        <v>357</v>
      </c>
      <c r="CG8" s="0" t="n">
        <v>12.7</v>
      </c>
      <c r="CH8" s="187" t="s">
        <v>357</v>
      </c>
      <c r="CI8" s="0" t="n">
        <v>11.4</v>
      </c>
      <c r="CJ8" s="187" t="s">
        <v>357</v>
      </c>
      <c r="CK8" s="0" t="n">
        <v>12.1</v>
      </c>
      <c r="CL8" s="187" t="s">
        <v>357</v>
      </c>
      <c r="CM8" s="0" t="n">
        <v>11.5</v>
      </c>
      <c r="CN8" s="187" t="s">
        <v>357</v>
      </c>
      <c r="CO8" s="0" t="n">
        <v>18.6</v>
      </c>
      <c r="CP8" s="187" t="s">
        <v>357</v>
      </c>
    </row>
    <row r="9" customFormat="false" ht="14.25" hidden="false" customHeight="false" outlineLevel="0" collapsed="false">
      <c r="A9" s="0" t="n">
        <v>12</v>
      </c>
      <c r="B9" s="187" t="s">
        <v>358</v>
      </c>
      <c r="E9" s="0" t="n">
        <v>6.1</v>
      </c>
      <c r="F9" s="187" t="s">
        <v>358</v>
      </c>
      <c r="G9" s="0" t="n">
        <v>9.5</v>
      </c>
      <c r="H9" s="187" t="s">
        <v>358</v>
      </c>
      <c r="I9" s="0" t="n">
        <v>3.8</v>
      </c>
      <c r="J9" s="187" t="s">
        <v>358</v>
      </c>
      <c r="K9" s="0" t="n">
        <v>20.4</v>
      </c>
      <c r="L9" s="187" t="s">
        <v>358</v>
      </c>
      <c r="M9" s="0" t="n">
        <v>16.1</v>
      </c>
      <c r="N9" s="187" t="s">
        <v>358</v>
      </c>
      <c r="O9" s="0" t="n">
        <v>2.9</v>
      </c>
      <c r="P9" s="187" t="s">
        <v>358</v>
      </c>
      <c r="Q9" s="0" t="n">
        <v>667.6</v>
      </c>
      <c r="R9" s="187" t="s">
        <v>358</v>
      </c>
      <c r="S9" s="0" t="n">
        <v>4.3</v>
      </c>
      <c r="T9" s="187" t="s">
        <v>358</v>
      </c>
      <c r="U9" s="0" t="n">
        <v>651.2</v>
      </c>
      <c r="V9" s="187" t="s">
        <v>358</v>
      </c>
      <c r="W9" s="0" t="n">
        <v>645.9</v>
      </c>
      <c r="X9" s="187" t="s">
        <v>358</v>
      </c>
      <c r="Y9" s="0" t="n">
        <v>639.4</v>
      </c>
      <c r="Z9" s="187" t="s">
        <v>358</v>
      </c>
      <c r="AA9" s="0" t="n">
        <v>631.3</v>
      </c>
      <c r="AB9" s="187" t="s">
        <v>358</v>
      </c>
      <c r="AC9" s="0" t="n">
        <v>620.9</v>
      </c>
      <c r="AD9" s="187" t="s">
        <v>358</v>
      </c>
      <c r="AE9" s="0" t="n">
        <v>612.6</v>
      </c>
      <c r="AF9" s="187" t="s">
        <v>358</v>
      </c>
      <c r="AG9" s="0" t="n">
        <v>4.2</v>
      </c>
      <c r="AH9" s="187" t="s">
        <v>358</v>
      </c>
      <c r="AI9" s="0" t="n">
        <v>4.9</v>
      </c>
      <c r="AJ9" s="187" t="s">
        <v>358</v>
      </c>
      <c r="AK9" s="0" t="n">
        <v>4.3</v>
      </c>
      <c r="AL9" s="187" t="s">
        <v>358</v>
      </c>
      <c r="AM9" s="0" t="n">
        <v>4.5</v>
      </c>
      <c r="AN9" s="187" t="s">
        <v>358</v>
      </c>
      <c r="AO9" s="0" t="n">
        <v>4.4</v>
      </c>
      <c r="AP9" s="187" t="s">
        <v>358</v>
      </c>
      <c r="AQ9" s="0" t="n">
        <v>4.4</v>
      </c>
      <c r="AR9" s="187" t="s">
        <v>358</v>
      </c>
      <c r="AS9" s="0" t="n">
        <v>3.6</v>
      </c>
      <c r="AT9" s="187" t="s">
        <v>358</v>
      </c>
      <c r="AU9" s="0" t="n">
        <v>3.6</v>
      </c>
      <c r="AV9" s="187" t="s">
        <v>358</v>
      </c>
      <c r="AW9" s="0" t="n">
        <v>1.4</v>
      </c>
      <c r="AX9" s="187" t="s">
        <v>358</v>
      </c>
      <c r="AY9" s="0" t="n">
        <v>3.6</v>
      </c>
      <c r="AZ9" s="187" t="s">
        <v>358</v>
      </c>
      <c r="BA9" s="0" t="n">
        <v>3.2</v>
      </c>
      <c r="BB9" s="187" t="s">
        <v>358</v>
      </c>
      <c r="BC9" s="0" t="n">
        <v>3.5</v>
      </c>
      <c r="BD9" s="187" t="s">
        <v>358</v>
      </c>
      <c r="BE9" s="0" t="n">
        <v>4.5</v>
      </c>
      <c r="BF9" s="187" t="s">
        <v>358</v>
      </c>
      <c r="BG9" s="0" t="n">
        <v>14.1</v>
      </c>
      <c r="BH9" s="187" t="s">
        <v>358</v>
      </c>
      <c r="BI9" s="0" t="n">
        <v>14.5</v>
      </c>
      <c r="BJ9" s="187" t="s">
        <v>358</v>
      </c>
      <c r="BK9" s="0" t="n">
        <v>6.3</v>
      </c>
      <c r="BL9" s="187" t="s">
        <v>358</v>
      </c>
      <c r="BM9" s="0" t="n">
        <v>7.6</v>
      </c>
      <c r="BN9" s="187" t="s">
        <v>358</v>
      </c>
      <c r="BO9" s="0" t="n">
        <v>12.7</v>
      </c>
      <c r="BP9" s="187" t="s">
        <v>358</v>
      </c>
      <c r="BQ9" s="0" t="n">
        <v>15.2</v>
      </c>
      <c r="BR9" s="187" t="s">
        <v>358</v>
      </c>
      <c r="BS9" s="0" t="n">
        <v>8.8</v>
      </c>
      <c r="BT9" s="187" t="s">
        <v>358</v>
      </c>
      <c r="BU9" s="0" t="n">
        <v>8.1</v>
      </c>
      <c r="BV9" s="187" t="s">
        <v>358</v>
      </c>
      <c r="BY9" s="0" t="n">
        <v>9.7</v>
      </c>
      <c r="BZ9" s="187" t="s">
        <v>358</v>
      </c>
      <c r="CA9" s="0" t="n">
        <v>10.8</v>
      </c>
      <c r="CB9" s="187" t="s">
        <v>358</v>
      </c>
      <c r="CE9" s="0" t="n">
        <v>17</v>
      </c>
      <c r="CF9" s="187" t="s">
        <v>358</v>
      </c>
      <c r="CG9" s="0" t="n">
        <v>12.8</v>
      </c>
      <c r="CH9" s="187" t="s">
        <v>358</v>
      </c>
      <c r="CI9" s="0" t="n">
        <v>11.8</v>
      </c>
      <c r="CJ9" s="187" t="s">
        <v>358</v>
      </c>
      <c r="CK9" s="0" t="n">
        <v>11.4</v>
      </c>
      <c r="CL9" s="187" t="s">
        <v>358</v>
      </c>
      <c r="CM9" s="0" t="n">
        <v>10.5</v>
      </c>
      <c r="CN9" s="187" t="s">
        <v>358</v>
      </c>
      <c r="CO9" s="0" t="n">
        <v>18.5</v>
      </c>
      <c r="CP9" s="187" t="s">
        <v>358</v>
      </c>
    </row>
    <row r="10" customFormat="false" ht="14.25" hidden="false" customHeight="false" outlineLevel="0" collapsed="false">
      <c r="A10" s="0" t="n">
        <v>11.9</v>
      </c>
      <c r="B10" s="187" t="s">
        <v>359</v>
      </c>
      <c r="E10" s="0" t="n">
        <v>6.1</v>
      </c>
      <c r="F10" s="187" t="s">
        <v>359</v>
      </c>
      <c r="G10" s="0" t="n">
        <v>9.5</v>
      </c>
      <c r="H10" s="187" t="s">
        <v>359</v>
      </c>
      <c r="I10" s="0" t="n">
        <v>3.8</v>
      </c>
      <c r="J10" s="187" t="s">
        <v>359</v>
      </c>
      <c r="K10" s="0" t="n">
        <v>20.3</v>
      </c>
      <c r="L10" s="187" t="s">
        <v>359</v>
      </c>
      <c r="M10" s="0" t="n">
        <v>16.1</v>
      </c>
      <c r="N10" s="187" t="s">
        <v>359</v>
      </c>
      <c r="O10" s="0" t="n">
        <v>2.9</v>
      </c>
      <c r="P10" s="187" t="s">
        <v>359</v>
      </c>
      <c r="Q10" s="0" t="n">
        <v>667.6</v>
      </c>
      <c r="R10" s="187" t="s">
        <v>359</v>
      </c>
      <c r="S10" s="0" t="n">
        <v>4.3</v>
      </c>
      <c r="T10" s="187" t="s">
        <v>359</v>
      </c>
      <c r="U10" s="0" t="n">
        <v>651.2</v>
      </c>
      <c r="V10" s="187" t="s">
        <v>359</v>
      </c>
      <c r="W10" s="0" t="n">
        <v>645.9</v>
      </c>
      <c r="X10" s="187" t="s">
        <v>359</v>
      </c>
      <c r="Y10" s="0" t="n">
        <v>639.4</v>
      </c>
      <c r="Z10" s="187" t="s">
        <v>359</v>
      </c>
      <c r="AA10" s="0" t="n">
        <v>631.3</v>
      </c>
      <c r="AB10" s="187" t="s">
        <v>359</v>
      </c>
      <c r="AC10" s="0" t="n">
        <v>620.9</v>
      </c>
      <c r="AD10" s="187" t="s">
        <v>359</v>
      </c>
      <c r="AE10" s="0" t="n">
        <v>612.6</v>
      </c>
      <c r="AF10" s="187" t="s">
        <v>359</v>
      </c>
      <c r="AG10" s="0" t="n">
        <v>4.2</v>
      </c>
      <c r="AH10" s="187" t="s">
        <v>359</v>
      </c>
      <c r="AI10" s="0" t="n">
        <v>4.9</v>
      </c>
      <c r="AJ10" s="187" t="s">
        <v>359</v>
      </c>
      <c r="AK10" s="0" t="n">
        <v>4.3</v>
      </c>
      <c r="AL10" s="187" t="s">
        <v>359</v>
      </c>
      <c r="AM10" s="0" t="n">
        <v>4.4</v>
      </c>
      <c r="AN10" s="187" t="s">
        <v>359</v>
      </c>
      <c r="AO10" s="0" t="n">
        <v>4.3</v>
      </c>
      <c r="AP10" s="187" t="s">
        <v>359</v>
      </c>
      <c r="AQ10" s="0" t="n">
        <v>4.3</v>
      </c>
      <c r="AR10" s="187" t="s">
        <v>359</v>
      </c>
      <c r="AS10" s="0" t="n">
        <v>3.5</v>
      </c>
      <c r="AT10" s="187" t="s">
        <v>359</v>
      </c>
      <c r="AU10" s="0" t="n">
        <v>3.5</v>
      </c>
      <c r="AV10" s="187" t="s">
        <v>359</v>
      </c>
      <c r="AW10" s="0" t="n">
        <v>1.3</v>
      </c>
      <c r="AX10" s="187" t="s">
        <v>359</v>
      </c>
      <c r="AY10" s="0" t="n">
        <v>2.8</v>
      </c>
      <c r="AZ10" s="187" t="s">
        <v>359</v>
      </c>
      <c r="BA10" s="0" t="n">
        <v>3.1</v>
      </c>
      <c r="BB10" s="187" t="s">
        <v>359</v>
      </c>
      <c r="BC10" s="0" t="n">
        <v>3.5</v>
      </c>
      <c r="BD10" s="187" t="s">
        <v>359</v>
      </c>
      <c r="BE10" s="0" t="n">
        <v>4.5</v>
      </c>
      <c r="BF10" s="187" t="s">
        <v>359</v>
      </c>
      <c r="BG10" s="0" t="n">
        <v>14.1</v>
      </c>
      <c r="BH10" s="187" t="s">
        <v>359</v>
      </c>
      <c r="BI10" s="0" t="n">
        <v>14.5</v>
      </c>
      <c r="BJ10" s="187" t="s">
        <v>359</v>
      </c>
      <c r="BK10" s="0" t="n">
        <v>6.5</v>
      </c>
      <c r="BL10" s="187" t="s">
        <v>359</v>
      </c>
      <c r="BM10" s="0" t="n">
        <v>8</v>
      </c>
      <c r="BN10" s="187" t="s">
        <v>359</v>
      </c>
      <c r="BO10" s="0" t="n">
        <v>12.7</v>
      </c>
      <c r="BP10" s="187" t="s">
        <v>359</v>
      </c>
      <c r="BQ10" s="0" t="n">
        <v>15.2</v>
      </c>
      <c r="BR10" s="187" t="s">
        <v>359</v>
      </c>
      <c r="BS10" s="0" t="n">
        <v>8.7</v>
      </c>
      <c r="BT10" s="187" t="s">
        <v>359</v>
      </c>
      <c r="BU10" s="0" t="n">
        <v>8</v>
      </c>
      <c r="BV10" s="187" t="s">
        <v>359</v>
      </c>
      <c r="BY10" s="0" t="n">
        <v>10</v>
      </c>
      <c r="BZ10" s="187" t="s">
        <v>359</v>
      </c>
      <c r="CA10" s="0" t="n">
        <v>10.8</v>
      </c>
      <c r="CB10" s="187" t="s">
        <v>359</v>
      </c>
      <c r="CE10" s="0" t="n">
        <v>16.7</v>
      </c>
      <c r="CF10" s="187" t="s">
        <v>359</v>
      </c>
      <c r="CG10" s="0" t="n">
        <v>12.7</v>
      </c>
      <c r="CH10" s="187" t="s">
        <v>359</v>
      </c>
      <c r="CI10" s="0" t="n">
        <v>12</v>
      </c>
      <c r="CJ10" s="187" t="s">
        <v>359</v>
      </c>
      <c r="CK10" s="0" t="n">
        <v>11.1</v>
      </c>
      <c r="CL10" s="187" t="s">
        <v>359</v>
      </c>
      <c r="CM10" s="0" t="n">
        <v>9.6</v>
      </c>
      <c r="CN10" s="187" t="s">
        <v>359</v>
      </c>
      <c r="CO10" s="0" t="n">
        <v>18.1</v>
      </c>
      <c r="CP10" s="187" t="s">
        <v>359</v>
      </c>
    </row>
    <row r="11" customFormat="false" ht="14.25" hidden="false" customHeight="false" outlineLevel="0" collapsed="false">
      <c r="A11" s="0" t="n">
        <v>11.9</v>
      </c>
      <c r="B11" s="187" t="s">
        <v>360</v>
      </c>
      <c r="E11" s="0" t="n">
        <v>6.1</v>
      </c>
      <c r="F11" s="187" t="s">
        <v>360</v>
      </c>
      <c r="G11" s="0" t="n">
        <v>9.5</v>
      </c>
      <c r="H11" s="187" t="s">
        <v>360</v>
      </c>
      <c r="I11" s="0" t="n">
        <v>3.7</v>
      </c>
      <c r="J11" s="187" t="s">
        <v>360</v>
      </c>
      <c r="K11" s="0" t="n">
        <v>20.2</v>
      </c>
      <c r="L11" s="187" t="s">
        <v>360</v>
      </c>
      <c r="M11" s="0" t="n">
        <v>16.1</v>
      </c>
      <c r="N11" s="187" t="s">
        <v>360</v>
      </c>
      <c r="O11" s="0" t="n">
        <v>2.9</v>
      </c>
      <c r="P11" s="187" t="s">
        <v>360</v>
      </c>
      <c r="Q11" s="0" t="n">
        <v>667.6</v>
      </c>
      <c r="R11" s="187" t="s">
        <v>360</v>
      </c>
      <c r="S11" s="0" t="n">
        <v>4.3</v>
      </c>
      <c r="T11" s="187" t="s">
        <v>360</v>
      </c>
      <c r="U11" s="0" t="n">
        <v>651.2</v>
      </c>
      <c r="V11" s="187" t="s">
        <v>360</v>
      </c>
      <c r="W11" s="0" t="n">
        <v>645.9</v>
      </c>
      <c r="X11" s="187" t="s">
        <v>360</v>
      </c>
      <c r="Y11" s="0" t="n">
        <v>639.4</v>
      </c>
      <c r="Z11" s="187" t="s">
        <v>360</v>
      </c>
      <c r="AA11" s="0" t="n">
        <v>631.3</v>
      </c>
      <c r="AB11" s="187" t="s">
        <v>360</v>
      </c>
      <c r="AC11" s="0" t="n">
        <v>620.8</v>
      </c>
      <c r="AD11" s="187" t="s">
        <v>360</v>
      </c>
      <c r="AE11" s="0" t="n">
        <v>612.5</v>
      </c>
      <c r="AF11" s="187" t="s">
        <v>360</v>
      </c>
      <c r="AG11" s="0" t="n">
        <v>4.1</v>
      </c>
      <c r="AH11" s="187" t="s">
        <v>360</v>
      </c>
      <c r="AI11" s="0" t="n">
        <v>4.9</v>
      </c>
      <c r="AJ11" s="187" t="s">
        <v>360</v>
      </c>
      <c r="AK11" s="0" t="n">
        <v>4.2</v>
      </c>
      <c r="AL11" s="187" t="s">
        <v>360</v>
      </c>
      <c r="AM11" s="0" t="n">
        <v>4.4</v>
      </c>
      <c r="AN11" s="187" t="s">
        <v>360</v>
      </c>
      <c r="AO11" s="0" t="n">
        <v>4.3</v>
      </c>
      <c r="AP11" s="187" t="s">
        <v>360</v>
      </c>
      <c r="AQ11" s="0" t="n">
        <v>4.3</v>
      </c>
      <c r="AR11" s="187" t="s">
        <v>360</v>
      </c>
      <c r="AS11" s="0" t="n">
        <v>3.5</v>
      </c>
      <c r="AT11" s="187" t="s">
        <v>360</v>
      </c>
      <c r="AU11" s="0" t="n">
        <v>3.5</v>
      </c>
      <c r="AV11" s="187" t="s">
        <v>360</v>
      </c>
      <c r="AW11" s="0" t="n">
        <v>1.3</v>
      </c>
      <c r="AX11" s="187" t="s">
        <v>360</v>
      </c>
      <c r="AY11" s="0" t="n">
        <v>3.2</v>
      </c>
      <c r="AZ11" s="187" t="s">
        <v>360</v>
      </c>
      <c r="BA11" s="0" t="n">
        <v>3.2</v>
      </c>
      <c r="BB11" s="187" t="s">
        <v>360</v>
      </c>
      <c r="BC11" s="0" t="n">
        <v>3.4</v>
      </c>
      <c r="BD11" s="187" t="s">
        <v>360</v>
      </c>
      <c r="BE11" s="0" t="n">
        <v>4.5</v>
      </c>
      <c r="BF11" s="187" t="s">
        <v>360</v>
      </c>
      <c r="BG11" s="0" t="n">
        <v>14</v>
      </c>
      <c r="BH11" s="187" t="s">
        <v>360</v>
      </c>
      <c r="BI11" s="0" t="n">
        <v>14.4</v>
      </c>
      <c r="BJ11" s="187" t="s">
        <v>360</v>
      </c>
      <c r="BK11" s="0" t="n">
        <v>6.5</v>
      </c>
      <c r="BL11" s="187" t="s">
        <v>360</v>
      </c>
      <c r="BM11" s="0" t="n">
        <v>8.1</v>
      </c>
      <c r="BN11" s="187" t="s">
        <v>360</v>
      </c>
      <c r="BO11" s="0" t="n">
        <v>12.7</v>
      </c>
      <c r="BP11" s="187" t="s">
        <v>360</v>
      </c>
      <c r="BQ11" s="0" t="n">
        <v>15.2</v>
      </c>
      <c r="BR11" s="187" t="s">
        <v>360</v>
      </c>
      <c r="BS11" s="0" t="n">
        <v>8.6</v>
      </c>
      <c r="BT11" s="187" t="s">
        <v>360</v>
      </c>
      <c r="BU11" s="0" t="n">
        <v>7.9</v>
      </c>
      <c r="BV11" s="187" t="s">
        <v>360</v>
      </c>
      <c r="BY11" s="0" t="n">
        <v>10.2</v>
      </c>
      <c r="BZ11" s="187" t="s">
        <v>360</v>
      </c>
      <c r="CA11" s="0" t="n">
        <v>10.9</v>
      </c>
      <c r="CB11" s="187" t="s">
        <v>360</v>
      </c>
      <c r="CE11" s="0" t="n">
        <v>16.3</v>
      </c>
      <c r="CF11" s="187" t="s">
        <v>360</v>
      </c>
      <c r="CG11" s="0" t="n">
        <v>12.5</v>
      </c>
      <c r="CH11" s="187" t="s">
        <v>360</v>
      </c>
      <c r="CI11" s="0" t="n">
        <v>12</v>
      </c>
      <c r="CJ11" s="187" t="s">
        <v>360</v>
      </c>
      <c r="CK11" s="0" t="n">
        <v>10.8</v>
      </c>
      <c r="CL11" s="187" t="s">
        <v>360</v>
      </c>
      <c r="CM11" s="0" t="n">
        <v>9</v>
      </c>
      <c r="CN11" s="187" t="s">
        <v>360</v>
      </c>
      <c r="CO11" s="0" t="n">
        <v>17.4</v>
      </c>
      <c r="CP11" s="187" t="s">
        <v>360</v>
      </c>
    </row>
    <row r="12" customFormat="false" ht="14.25" hidden="false" customHeight="false" outlineLevel="0" collapsed="false">
      <c r="A12" s="0" t="n">
        <v>11.9</v>
      </c>
      <c r="B12" s="187" t="s">
        <v>361</v>
      </c>
      <c r="E12" s="0" t="n">
        <v>6</v>
      </c>
      <c r="F12" s="187" t="s">
        <v>361</v>
      </c>
      <c r="G12" s="0" t="n">
        <v>9.5</v>
      </c>
      <c r="H12" s="187" t="s">
        <v>361</v>
      </c>
      <c r="I12" s="0" t="n">
        <v>3.7</v>
      </c>
      <c r="J12" s="187" t="s">
        <v>361</v>
      </c>
      <c r="K12" s="0" t="n">
        <v>20.1</v>
      </c>
      <c r="L12" s="187" t="s">
        <v>361</v>
      </c>
      <c r="M12" s="0" t="n">
        <v>16.1</v>
      </c>
      <c r="N12" s="187" t="s">
        <v>361</v>
      </c>
      <c r="O12" s="0" t="n">
        <v>2.9</v>
      </c>
      <c r="P12" s="187" t="s">
        <v>361</v>
      </c>
      <c r="Q12" s="0" t="n">
        <v>667.6</v>
      </c>
      <c r="R12" s="187" t="s">
        <v>361</v>
      </c>
      <c r="S12" s="0" t="n">
        <v>4.2</v>
      </c>
      <c r="T12" s="187" t="s">
        <v>361</v>
      </c>
      <c r="U12" s="0" t="n">
        <v>651.2</v>
      </c>
      <c r="V12" s="187" t="s">
        <v>361</v>
      </c>
      <c r="W12" s="0" t="n">
        <v>645.9</v>
      </c>
      <c r="X12" s="187" t="s">
        <v>361</v>
      </c>
      <c r="Y12" s="0" t="n">
        <v>639.4</v>
      </c>
      <c r="Z12" s="187" t="s">
        <v>361</v>
      </c>
      <c r="AA12" s="0" t="n">
        <v>631.3</v>
      </c>
      <c r="AB12" s="187" t="s">
        <v>361</v>
      </c>
      <c r="AC12" s="0" t="n">
        <v>620.8</v>
      </c>
      <c r="AD12" s="187" t="s">
        <v>361</v>
      </c>
      <c r="AE12" s="0" t="n">
        <v>612.5</v>
      </c>
      <c r="AF12" s="187" t="s">
        <v>361</v>
      </c>
      <c r="AG12" s="0" t="n">
        <v>4.1</v>
      </c>
      <c r="AH12" s="187" t="s">
        <v>361</v>
      </c>
      <c r="AI12" s="0" t="n">
        <v>4.8</v>
      </c>
      <c r="AJ12" s="187" t="s">
        <v>361</v>
      </c>
      <c r="AK12" s="0" t="n">
        <v>4.2</v>
      </c>
      <c r="AL12" s="187" t="s">
        <v>361</v>
      </c>
      <c r="AM12" s="0" t="n">
        <v>4.4</v>
      </c>
      <c r="AN12" s="187" t="s">
        <v>361</v>
      </c>
      <c r="AO12" s="0" t="n">
        <v>4.3</v>
      </c>
      <c r="AP12" s="187" t="s">
        <v>361</v>
      </c>
      <c r="AQ12" s="0" t="n">
        <v>4.2</v>
      </c>
      <c r="AR12" s="187" t="s">
        <v>361</v>
      </c>
      <c r="AS12" s="0" t="n">
        <v>3.4</v>
      </c>
      <c r="AT12" s="187" t="s">
        <v>361</v>
      </c>
      <c r="AU12" s="0" t="n">
        <v>3.4</v>
      </c>
      <c r="AV12" s="187" t="s">
        <v>361</v>
      </c>
      <c r="AW12" s="0" t="n">
        <v>1.3</v>
      </c>
      <c r="AX12" s="187" t="s">
        <v>361</v>
      </c>
      <c r="AY12" s="0" t="n">
        <v>3.2</v>
      </c>
      <c r="AZ12" s="187" t="s">
        <v>361</v>
      </c>
      <c r="BA12" s="0" t="n">
        <v>3.1</v>
      </c>
      <c r="BB12" s="187" t="s">
        <v>361</v>
      </c>
      <c r="BC12" s="0" t="n">
        <v>3.4</v>
      </c>
      <c r="BD12" s="187" t="s">
        <v>361</v>
      </c>
      <c r="BE12" s="0" t="n">
        <v>4.5</v>
      </c>
      <c r="BF12" s="187" t="s">
        <v>361</v>
      </c>
      <c r="BG12" s="0" t="n">
        <v>14</v>
      </c>
      <c r="BH12" s="187" t="s">
        <v>361</v>
      </c>
      <c r="BI12" s="0" t="n">
        <v>14.4</v>
      </c>
      <c r="BJ12" s="187" t="s">
        <v>361</v>
      </c>
      <c r="BK12" s="0" t="n">
        <v>6.3</v>
      </c>
      <c r="BL12" s="187" t="s">
        <v>361</v>
      </c>
      <c r="BM12" s="0" t="n">
        <v>7.9</v>
      </c>
      <c r="BN12" s="187" t="s">
        <v>361</v>
      </c>
      <c r="BO12" s="0" t="n">
        <v>12.7</v>
      </c>
      <c r="BP12" s="187" t="s">
        <v>361</v>
      </c>
      <c r="BQ12" s="0" t="n">
        <v>15.2</v>
      </c>
      <c r="BR12" s="187" t="s">
        <v>361</v>
      </c>
      <c r="BS12" s="0" t="n">
        <v>8.5</v>
      </c>
      <c r="BT12" s="187" t="s">
        <v>361</v>
      </c>
      <c r="BU12" s="0" t="n">
        <v>7.8</v>
      </c>
      <c r="BV12" s="187" t="s">
        <v>361</v>
      </c>
      <c r="BY12" s="0" t="n">
        <v>10.4</v>
      </c>
      <c r="BZ12" s="187" t="s">
        <v>361</v>
      </c>
      <c r="CA12" s="0" t="n">
        <v>11</v>
      </c>
      <c r="CB12" s="187" t="s">
        <v>361</v>
      </c>
      <c r="CE12" s="0" t="n">
        <v>15.8</v>
      </c>
      <c r="CF12" s="187" t="s">
        <v>361</v>
      </c>
      <c r="CG12" s="0" t="n">
        <v>12.2</v>
      </c>
      <c r="CH12" s="187" t="s">
        <v>361</v>
      </c>
      <c r="CI12" s="0" t="n">
        <v>11.9</v>
      </c>
      <c r="CJ12" s="187" t="s">
        <v>361</v>
      </c>
      <c r="CK12" s="0" t="n">
        <v>10.7</v>
      </c>
      <c r="CL12" s="187" t="s">
        <v>361</v>
      </c>
      <c r="CM12" s="0" t="n">
        <v>8.5</v>
      </c>
      <c r="CN12" s="187" t="s">
        <v>361</v>
      </c>
      <c r="CO12" s="0" t="n">
        <v>16.7</v>
      </c>
      <c r="CP12" s="187" t="s">
        <v>361</v>
      </c>
    </row>
    <row r="13" customFormat="false" ht="14.25" hidden="false" customHeight="false" outlineLevel="0" collapsed="false">
      <c r="A13" s="0" t="n">
        <v>11.9</v>
      </c>
      <c r="B13" s="187" t="s">
        <v>362</v>
      </c>
      <c r="E13" s="0" t="n">
        <v>6</v>
      </c>
      <c r="F13" s="187" t="s">
        <v>362</v>
      </c>
      <c r="G13" s="0" t="n">
        <v>9.5</v>
      </c>
      <c r="H13" s="187" t="s">
        <v>362</v>
      </c>
      <c r="I13" s="0" t="n">
        <v>3.6</v>
      </c>
      <c r="J13" s="187" t="s">
        <v>362</v>
      </c>
      <c r="K13" s="0" t="n">
        <v>20</v>
      </c>
      <c r="L13" s="187" t="s">
        <v>362</v>
      </c>
      <c r="M13" s="0" t="n">
        <v>16.1</v>
      </c>
      <c r="N13" s="187" t="s">
        <v>362</v>
      </c>
      <c r="O13" s="0" t="n">
        <v>2.9</v>
      </c>
      <c r="P13" s="187" t="s">
        <v>362</v>
      </c>
      <c r="Q13" s="0" t="n">
        <v>667.6</v>
      </c>
      <c r="R13" s="187" t="s">
        <v>362</v>
      </c>
      <c r="S13" s="0" t="n">
        <v>4.2</v>
      </c>
      <c r="T13" s="187" t="s">
        <v>362</v>
      </c>
      <c r="U13" s="0" t="n">
        <v>651.2</v>
      </c>
      <c r="V13" s="187" t="s">
        <v>362</v>
      </c>
      <c r="W13" s="0" t="n">
        <v>645.9</v>
      </c>
      <c r="X13" s="187" t="s">
        <v>362</v>
      </c>
      <c r="Y13" s="0" t="n">
        <v>639.4</v>
      </c>
      <c r="Z13" s="187" t="s">
        <v>362</v>
      </c>
      <c r="AA13" s="0" t="n">
        <v>631.3</v>
      </c>
      <c r="AB13" s="187" t="s">
        <v>362</v>
      </c>
      <c r="AC13" s="0" t="n">
        <v>620.8</v>
      </c>
      <c r="AD13" s="187" t="s">
        <v>362</v>
      </c>
      <c r="AE13" s="0" t="n">
        <v>612.4</v>
      </c>
      <c r="AF13" s="187" t="s">
        <v>362</v>
      </c>
      <c r="AG13" s="0" t="n">
        <v>4</v>
      </c>
      <c r="AH13" s="187" t="s">
        <v>362</v>
      </c>
      <c r="AI13" s="0" t="n">
        <v>4.8</v>
      </c>
      <c r="AJ13" s="187" t="s">
        <v>362</v>
      </c>
      <c r="AK13" s="0" t="n">
        <v>4.1</v>
      </c>
      <c r="AL13" s="187" t="s">
        <v>362</v>
      </c>
      <c r="AM13" s="0" t="n">
        <v>4.3</v>
      </c>
      <c r="AN13" s="187" t="s">
        <v>362</v>
      </c>
      <c r="AO13" s="0" t="n">
        <v>4.3</v>
      </c>
      <c r="AP13" s="187" t="s">
        <v>362</v>
      </c>
      <c r="AQ13" s="0" t="n">
        <v>4.2</v>
      </c>
      <c r="AR13" s="187" t="s">
        <v>362</v>
      </c>
      <c r="AS13" s="0" t="n">
        <v>3.4</v>
      </c>
      <c r="AT13" s="187" t="s">
        <v>362</v>
      </c>
      <c r="AU13" s="0" t="n">
        <v>3.4</v>
      </c>
      <c r="AV13" s="187" t="s">
        <v>362</v>
      </c>
      <c r="AW13" s="0" t="n">
        <v>1.2</v>
      </c>
      <c r="AX13" s="187" t="s">
        <v>362</v>
      </c>
      <c r="AY13" s="0" t="n">
        <v>3.5</v>
      </c>
      <c r="AZ13" s="187" t="s">
        <v>362</v>
      </c>
      <c r="BA13" s="0" t="n">
        <v>3.1</v>
      </c>
      <c r="BB13" s="187" t="s">
        <v>362</v>
      </c>
      <c r="BC13" s="0" t="n">
        <v>3.3</v>
      </c>
      <c r="BD13" s="187" t="s">
        <v>362</v>
      </c>
      <c r="BE13" s="0" t="n">
        <v>4.5</v>
      </c>
      <c r="BF13" s="187" t="s">
        <v>362</v>
      </c>
      <c r="BG13" s="0" t="n">
        <v>14</v>
      </c>
      <c r="BH13" s="187" t="s">
        <v>362</v>
      </c>
      <c r="BI13" s="0" t="n">
        <v>14.3</v>
      </c>
      <c r="BJ13" s="187" t="s">
        <v>362</v>
      </c>
      <c r="BK13" s="0" t="n">
        <v>6</v>
      </c>
      <c r="BL13" s="187" t="s">
        <v>362</v>
      </c>
      <c r="BM13" s="0" t="n">
        <v>7.5</v>
      </c>
      <c r="BN13" s="187" t="s">
        <v>362</v>
      </c>
      <c r="BO13" s="0" t="n">
        <v>12.7</v>
      </c>
      <c r="BP13" s="187" t="s">
        <v>362</v>
      </c>
      <c r="BQ13" s="0" t="n">
        <v>15.2</v>
      </c>
      <c r="BR13" s="187" t="s">
        <v>362</v>
      </c>
      <c r="BS13" s="0" t="n">
        <v>8.5</v>
      </c>
      <c r="BT13" s="187" t="s">
        <v>362</v>
      </c>
      <c r="BU13" s="0" t="n">
        <v>7.6</v>
      </c>
      <c r="BV13" s="187" t="s">
        <v>362</v>
      </c>
      <c r="BY13" s="0" t="n">
        <v>10.5</v>
      </c>
      <c r="BZ13" s="187" t="s">
        <v>362</v>
      </c>
      <c r="CA13" s="0" t="n">
        <v>11.1</v>
      </c>
      <c r="CB13" s="187" t="s">
        <v>362</v>
      </c>
      <c r="CE13" s="0" t="n">
        <v>15.3</v>
      </c>
      <c r="CF13" s="187" t="s">
        <v>362</v>
      </c>
      <c r="CG13" s="0" t="n">
        <v>11.8</v>
      </c>
      <c r="CH13" s="187" t="s">
        <v>362</v>
      </c>
      <c r="CI13" s="0" t="n">
        <v>11.7</v>
      </c>
      <c r="CJ13" s="187" t="s">
        <v>362</v>
      </c>
      <c r="CK13" s="0" t="n">
        <v>10.5</v>
      </c>
      <c r="CL13" s="187" t="s">
        <v>362</v>
      </c>
      <c r="CM13" s="0" t="n">
        <v>8.2</v>
      </c>
      <c r="CN13" s="187" t="s">
        <v>362</v>
      </c>
      <c r="CO13" s="0" t="n">
        <v>16</v>
      </c>
      <c r="CP13" s="187" t="s">
        <v>362</v>
      </c>
    </row>
    <row r="14" customFormat="false" ht="14.25" hidden="false" customHeight="false" outlineLevel="0" collapsed="false">
      <c r="A14" s="0" t="n">
        <v>11.9</v>
      </c>
      <c r="B14" s="187" t="s">
        <v>363</v>
      </c>
      <c r="E14" s="0" t="n">
        <v>5.9</v>
      </c>
      <c r="F14" s="187" t="s">
        <v>363</v>
      </c>
      <c r="G14" s="0" t="n">
        <v>9.5</v>
      </c>
      <c r="H14" s="187" t="s">
        <v>363</v>
      </c>
      <c r="I14" s="0" t="n">
        <v>3.5</v>
      </c>
      <c r="J14" s="187" t="s">
        <v>363</v>
      </c>
      <c r="K14" s="0" t="n">
        <v>19.9</v>
      </c>
      <c r="L14" s="187" t="s">
        <v>363</v>
      </c>
      <c r="M14" s="0" t="n">
        <v>16.1</v>
      </c>
      <c r="N14" s="187" t="s">
        <v>363</v>
      </c>
      <c r="O14" s="0" t="n">
        <v>2.9</v>
      </c>
      <c r="P14" s="187" t="s">
        <v>363</v>
      </c>
      <c r="Q14" s="0" t="n">
        <v>667.6</v>
      </c>
      <c r="R14" s="187" t="s">
        <v>363</v>
      </c>
      <c r="S14" s="0" t="n">
        <v>4.2</v>
      </c>
      <c r="T14" s="187" t="s">
        <v>363</v>
      </c>
      <c r="U14" s="0" t="n">
        <v>651.2</v>
      </c>
      <c r="V14" s="187" t="s">
        <v>363</v>
      </c>
      <c r="W14" s="0" t="n">
        <v>645.9</v>
      </c>
      <c r="X14" s="187" t="s">
        <v>363</v>
      </c>
      <c r="Y14" s="0" t="n">
        <v>639.4</v>
      </c>
      <c r="Z14" s="187" t="s">
        <v>363</v>
      </c>
      <c r="AA14" s="0" t="n">
        <v>631.3</v>
      </c>
      <c r="AB14" s="187" t="s">
        <v>363</v>
      </c>
      <c r="AC14" s="0" t="n">
        <v>620.8</v>
      </c>
      <c r="AD14" s="187" t="s">
        <v>363</v>
      </c>
      <c r="AE14" s="0" t="n">
        <v>612.4</v>
      </c>
      <c r="AF14" s="187" t="s">
        <v>363</v>
      </c>
      <c r="AG14" s="0" t="n">
        <v>4</v>
      </c>
      <c r="AH14" s="187" t="s">
        <v>363</v>
      </c>
      <c r="AI14" s="0" t="n">
        <v>4.8</v>
      </c>
      <c r="AJ14" s="187" t="s">
        <v>363</v>
      </c>
      <c r="AK14" s="0" t="n">
        <v>4.1</v>
      </c>
      <c r="AL14" s="187" t="s">
        <v>363</v>
      </c>
      <c r="AM14" s="0" t="n">
        <v>4.3</v>
      </c>
      <c r="AN14" s="187" t="s">
        <v>363</v>
      </c>
      <c r="AO14" s="0" t="n">
        <v>4.3</v>
      </c>
      <c r="AP14" s="187" t="s">
        <v>363</v>
      </c>
      <c r="AQ14" s="0" t="n">
        <v>4.1</v>
      </c>
      <c r="AR14" s="187" t="s">
        <v>363</v>
      </c>
      <c r="AS14" s="0" t="n">
        <v>3.4</v>
      </c>
      <c r="AT14" s="187" t="s">
        <v>363</v>
      </c>
      <c r="AU14" s="0" t="n">
        <v>3.3</v>
      </c>
      <c r="AV14" s="187" t="s">
        <v>363</v>
      </c>
      <c r="AW14" s="0" t="n">
        <v>1.2</v>
      </c>
      <c r="AX14" s="187" t="s">
        <v>363</v>
      </c>
      <c r="AY14" s="0" t="n">
        <v>2.9</v>
      </c>
      <c r="AZ14" s="187" t="s">
        <v>363</v>
      </c>
      <c r="BA14" s="0" t="n">
        <v>3.1</v>
      </c>
      <c r="BB14" s="187" t="s">
        <v>363</v>
      </c>
      <c r="BC14" s="0" t="n">
        <v>3.3</v>
      </c>
      <c r="BD14" s="187" t="s">
        <v>363</v>
      </c>
      <c r="BE14" s="0" t="n">
        <v>4.5</v>
      </c>
      <c r="BF14" s="187" t="s">
        <v>363</v>
      </c>
      <c r="BG14" s="0" t="n">
        <v>13.9</v>
      </c>
      <c r="BH14" s="187" t="s">
        <v>363</v>
      </c>
      <c r="BI14" s="0" t="n">
        <v>14.2</v>
      </c>
      <c r="BJ14" s="187" t="s">
        <v>363</v>
      </c>
      <c r="BK14" s="0" t="n">
        <v>5.7</v>
      </c>
      <c r="BL14" s="187" t="s">
        <v>363</v>
      </c>
      <c r="BM14" s="0" t="n">
        <v>7</v>
      </c>
      <c r="BN14" s="187" t="s">
        <v>363</v>
      </c>
      <c r="BO14" s="0" t="n">
        <v>12.8</v>
      </c>
      <c r="BP14" s="187" t="s">
        <v>363</v>
      </c>
      <c r="BQ14" s="0" t="n">
        <v>15.3</v>
      </c>
      <c r="BR14" s="187" t="s">
        <v>363</v>
      </c>
      <c r="BS14" s="0" t="n">
        <v>8.5</v>
      </c>
      <c r="BT14" s="187" t="s">
        <v>363</v>
      </c>
      <c r="BU14" s="0" t="n">
        <v>7.5</v>
      </c>
      <c r="BV14" s="187" t="s">
        <v>363</v>
      </c>
      <c r="BY14" s="0" t="n">
        <v>10.5</v>
      </c>
      <c r="BZ14" s="187" t="s">
        <v>363</v>
      </c>
      <c r="CA14" s="0" t="n">
        <v>11.3</v>
      </c>
      <c r="CB14" s="187" t="s">
        <v>363</v>
      </c>
      <c r="CE14" s="0" t="n">
        <v>14.7</v>
      </c>
      <c r="CF14" s="187" t="s">
        <v>363</v>
      </c>
      <c r="CG14" s="0" t="n">
        <v>11.3</v>
      </c>
      <c r="CH14" s="187" t="s">
        <v>363</v>
      </c>
      <c r="CI14" s="0" t="n">
        <v>11.3</v>
      </c>
      <c r="CJ14" s="187" t="s">
        <v>363</v>
      </c>
      <c r="CK14" s="0" t="n">
        <v>10.3</v>
      </c>
      <c r="CL14" s="187" t="s">
        <v>363</v>
      </c>
      <c r="CM14" s="0" t="n">
        <v>8</v>
      </c>
      <c r="CN14" s="187" t="s">
        <v>363</v>
      </c>
      <c r="CO14" s="0" t="n">
        <v>15.5</v>
      </c>
      <c r="CP14" s="187" t="s">
        <v>363</v>
      </c>
    </row>
    <row r="15" customFormat="false" ht="14.25" hidden="false" customHeight="false" outlineLevel="0" collapsed="false">
      <c r="A15" s="0" t="n">
        <v>11.9</v>
      </c>
      <c r="B15" s="187" t="s">
        <v>364</v>
      </c>
      <c r="E15" s="0" t="n">
        <v>5.9</v>
      </c>
      <c r="F15" s="187" t="s">
        <v>364</v>
      </c>
      <c r="G15" s="0" t="n">
        <v>9.5</v>
      </c>
      <c r="H15" s="187" t="s">
        <v>364</v>
      </c>
      <c r="I15" s="0" t="n">
        <v>3.5</v>
      </c>
      <c r="J15" s="187" t="s">
        <v>364</v>
      </c>
      <c r="K15" s="0" t="n">
        <v>19.9</v>
      </c>
      <c r="L15" s="187" t="s">
        <v>364</v>
      </c>
      <c r="M15" s="0" t="n">
        <v>16.1</v>
      </c>
      <c r="N15" s="187" t="s">
        <v>364</v>
      </c>
      <c r="O15" s="0" t="n">
        <v>2.9</v>
      </c>
      <c r="P15" s="187" t="s">
        <v>364</v>
      </c>
      <c r="Q15" s="0" t="n">
        <v>667.6</v>
      </c>
      <c r="R15" s="187" t="s">
        <v>364</v>
      </c>
      <c r="S15" s="0" t="n">
        <v>4.2</v>
      </c>
      <c r="T15" s="187" t="s">
        <v>364</v>
      </c>
      <c r="U15" s="0" t="n">
        <v>651.2</v>
      </c>
      <c r="V15" s="187" t="s">
        <v>364</v>
      </c>
      <c r="W15" s="0" t="n">
        <v>645.9</v>
      </c>
      <c r="X15" s="187" t="s">
        <v>364</v>
      </c>
      <c r="Y15" s="0" t="n">
        <v>639.4</v>
      </c>
      <c r="Z15" s="187" t="s">
        <v>364</v>
      </c>
      <c r="AA15" s="0" t="n">
        <v>631.3</v>
      </c>
      <c r="AB15" s="187" t="s">
        <v>364</v>
      </c>
      <c r="AC15" s="0" t="n">
        <v>620.8</v>
      </c>
      <c r="AD15" s="187" t="s">
        <v>364</v>
      </c>
      <c r="AE15" s="0" t="n">
        <v>612.4</v>
      </c>
      <c r="AF15" s="187" t="s">
        <v>364</v>
      </c>
      <c r="AG15" s="0" t="n">
        <v>4</v>
      </c>
      <c r="AH15" s="187" t="s">
        <v>364</v>
      </c>
      <c r="AI15" s="0" t="n">
        <v>4.8</v>
      </c>
      <c r="AJ15" s="187" t="s">
        <v>364</v>
      </c>
      <c r="AK15" s="0" t="n">
        <v>4</v>
      </c>
      <c r="AL15" s="187" t="s">
        <v>364</v>
      </c>
      <c r="AM15" s="0" t="n">
        <v>4.3</v>
      </c>
      <c r="AN15" s="187" t="s">
        <v>364</v>
      </c>
      <c r="AO15" s="0" t="n">
        <v>4.3</v>
      </c>
      <c r="AP15" s="187" t="s">
        <v>364</v>
      </c>
      <c r="AQ15" s="0" t="n">
        <v>4.1</v>
      </c>
      <c r="AR15" s="187" t="s">
        <v>364</v>
      </c>
      <c r="AS15" s="0" t="n">
        <v>3.3</v>
      </c>
      <c r="AT15" s="187" t="s">
        <v>364</v>
      </c>
      <c r="AU15" s="0" t="n">
        <v>3.3</v>
      </c>
      <c r="AV15" s="187" t="s">
        <v>364</v>
      </c>
      <c r="AW15" s="0" t="n">
        <v>1.1</v>
      </c>
      <c r="AX15" s="187" t="s">
        <v>364</v>
      </c>
      <c r="AY15" s="0" t="n">
        <v>2.7</v>
      </c>
      <c r="AZ15" s="187" t="s">
        <v>364</v>
      </c>
      <c r="BA15" s="0" t="n">
        <v>3.1</v>
      </c>
      <c r="BB15" s="187" t="s">
        <v>364</v>
      </c>
      <c r="BC15" s="0" t="n">
        <v>3.3</v>
      </c>
      <c r="BD15" s="187" t="s">
        <v>364</v>
      </c>
      <c r="BE15" s="0" t="n">
        <v>4.5</v>
      </c>
      <c r="BF15" s="187" t="s">
        <v>364</v>
      </c>
      <c r="BG15" s="0" t="n">
        <v>13.9</v>
      </c>
      <c r="BH15" s="187" t="s">
        <v>364</v>
      </c>
      <c r="BI15" s="0" t="n">
        <v>14.2</v>
      </c>
      <c r="BJ15" s="187" t="s">
        <v>364</v>
      </c>
      <c r="BK15" s="0" t="n">
        <v>5.4</v>
      </c>
      <c r="BL15" s="187" t="s">
        <v>364</v>
      </c>
      <c r="BM15" s="0" t="n">
        <v>6.3</v>
      </c>
      <c r="BN15" s="187" t="s">
        <v>364</v>
      </c>
      <c r="BO15" s="0" t="n">
        <v>12.8</v>
      </c>
      <c r="BP15" s="187" t="s">
        <v>364</v>
      </c>
      <c r="BQ15" s="0" t="n">
        <v>15.3</v>
      </c>
      <c r="BR15" s="187" t="s">
        <v>364</v>
      </c>
      <c r="BS15" s="0" t="n">
        <v>8.5</v>
      </c>
      <c r="BT15" s="187" t="s">
        <v>364</v>
      </c>
      <c r="BU15" s="0" t="n">
        <v>7.5</v>
      </c>
      <c r="BV15" s="187" t="s">
        <v>364</v>
      </c>
      <c r="BY15" s="0" t="n">
        <v>10.4</v>
      </c>
      <c r="BZ15" s="187" t="s">
        <v>364</v>
      </c>
      <c r="CA15" s="0" t="n">
        <v>11.4</v>
      </c>
      <c r="CB15" s="187" t="s">
        <v>364</v>
      </c>
      <c r="CE15" s="0" t="n">
        <v>14.2</v>
      </c>
      <c r="CF15" s="187" t="s">
        <v>364</v>
      </c>
      <c r="CG15" s="0" t="n">
        <v>10.8</v>
      </c>
      <c r="CH15" s="187" t="s">
        <v>364</v>
      </c>
      <c r="CI15" s="0" t="n">
        <v>10.8</v>
      </c>
      <c r="CJ15" s="187" t="s">
        <v>364</v>
      </c>
      <c r="CK15" s="0" t="n">
        <v>10</v>
      </c>
      <c r="CL15" s="187" t="s">
        <v>364</v>
      </c>
      <c r="CM15" s="0" t="n">
        <v>7.8</v>
      </c>
      <c r="CN15" s="187" t="s">
        <v>364</v>
      </c>
      <c r="CO15" s="0" t="n">
        <v>15.1</v>
      </c>
      <c r="CP15" s="187" t="s">
        <v>364</v>
      </c>
    </row>
    <row r="16" customFormat="false" ht="14.25" hidden="false" customHeight="false" outlineLevel="0" collapsed="false">
      <c r="A16" s="0" t="n">
        <v>11.9</v>
      </c>
      <c r="B16" s="187" t="s">
        <v>365</v>
      </c>
      <c r="E16" s="0" t="n">
        <v>5.9</v>
      </c>
      <c r="F16" s="187" t="s">
        <v>365</v>
      </c>
      <c r="G16" s="0" t="n">
        <v>9.5</v>
      </c>
      <c r="H16" s="187" t="s">
        <v>365</v>
      </c>
      <c r="I16" s="0" t="n">
        <v>3.4</v>
      </c>
      <c r="J16" s="187" t="s">
        <v>365</v>
      </c>
      <c r="K16" s="0" t="n">
        <v>19.8</v>
      </c>
      <c r="L16" s="187" t="s">
        <v>365</v>
      </c>
      <c r="M16" s="0" t="n">
        <v>16</v>
      </c>
      <c r="N16" s="187" t="s">
        <v>365</v>
      </c>
      <c r="O16" s="0" t="n">
        <v>2.9</v>
      </c>
      <c r="P16" s="187" t="s">
        <v>365</v>
      </c>
      <c r="Q16" s="0" t="n">
        <v>667.6</v>
      </c>
      <c r="R16" s="187" t="s">
        <v>365</v>
      </c>
      <c r="S16" s="0" t="n">
        <v>4.2</v>
      </c>
      <c r="T16" s="187" t="s">
        <v>365</v>
      </c>
      <c r="U16" s="0" t="n">
        <v>651.2</v>
      </c>
      <c r="V16" s="187" t="s">
        <v>365</v>
      </c>
      <c r="W16" s="0" t="n">
        <v>645.9</v>
      </c>
      <c r="X16" s="187" t="s">
        <v>365</v>
      </c>
      <c r="Y16" s="0" t="n">
        <v>639.4</v>
      </c>
      <c r="Z16" s="187" t="s">
        <v>365</v>
      </c>
      <c r="AA16" s="0" t="n">
        <v>631.2</v>
      </c>
      <c r="AB16" s="187" t="s">
        <v>365</v>
      </c>
      <c r="AC16" s="0" t="n">
        <v>620.7</v>
      </c>
      <c r="AD16" s="187" t="s">
        <v>365</v>
      </c>
      <c r="AE16" s="0" t="n">
        <v>612.4</v>
      </c>
      <c r="AF16" s="187" t="s">
        <v>365</v>
      </c>
      <c r="AG16" s="0" t="n">
        <v>4</v>
      </c>
      <c r="AH16" s="187" t="s">
        <v>365</v>
      </c>
      <c r="AI16" s="0" t="n">
        <v>4.7</v>
      </c>
      <c r="AJ16" s="187" t="s">
        <v>365</v>
      </c>
      <c r="AK16" s="0" t="n">
        <v>4</v>
      </c>
      <c r="AL16" s="187" t="s">
        <v>365</v>
      </c>
      <c r="AM16" s="0" t="n">
        <v>4.3</v>
      </c>
      <c r="AN16" s="187" t="s">
        <v>365</v>
      </c>
      <c r="AO16" s="0" t="n">
        <v>4.2</v>
      </c>
      <c r="AP16" s="187" t="s">
        <v>365</v>
      </c>
      <c r="AQ16" s="0" t="n">
        <v>4</v>
      </c>
      <c r="AR16" s="187" t="s">
        <v>365</v>
      </c>
      <c r="AS16" s="0" t="n">
        <v>3.3</v>
      </c>
      <c r="AT16" s="187" t="s">
        <v>365</v>
      </c>
      <c r="AU16" s="0" t="n">
        <v>3.2</v>
      </c>
      <c r="AV16" s="187" t="s">
        <v>365</v>
      </c>
      <c r="AW16" s="0" t="n">
        <v>1.1</v>
      </c>
      <c r="AX16" s="187" t="s">
        <v>365</v>
      </c>
      <c r="AY16" s="0" t="n">
        <v>3</v>
      </c>
      <c r="AZ16" s="187" t="s">
        <v>365</v>
      </c>
      <c r="BA16" s="0" t="n">
        <v>3</v>
      </c>
      <c r="BB16" s="187" t="s">
        <v>365</v>
      </c>
      <c r="BC16" s="0" t="n">
        <v>3.2</v>
      </c>
      <c r="BD16" s="187" t="s">
        <v>365</v>
      </c>
      <c r="BE16" s="0" t="n">
        <v>4.5</v>
      </c>
      <c r="BF16" s="187" t="s">
        <v>365</v>
      </c>
      <c r="BG16" s="0" t="n">
        <v>13.8</v>
      </c>
      <c r="BH16" s="187" t="s">
        <v>365</v>
      </c>
      <c r="BI16" s="0" t="n">
        <v>14.1</v>
      </c>
      <c r="BJ16" s="187" t="s">
        <v>365</v>
      </c>
      <c r="BK16" s="0" t="n">
        <v>5.1</v>
      </c>
      <c r="BL16" s="187" t="s">
        <v>365</v>
      </c>
      <c r="BM16" s="0" t="n">
        <v>5.7</v>
      </c>
      <c r="BN16" s="187" t="s">
        <v>365</v>
      </c>
      <c r="BO16" s="0" t="n">
        <v>12.8</v>
      </c>
      <c r="BP16" s="187" t="s">
        <v>365</v>
      </c>
      <c r="BQ16" s="0" t="n">
        <v>15.3</v>
      </c>
      <c r="BR16" s="187" t="s">
        <v>365</v>
      </c>
      <c r="BS16" s="0" t="n">
        <v>8.5</v>
      </c>
      <c r="BT16" s="187" t="s">
        <v>365</v>
      </c>
      <c r="BU16" s="0" t="n">
        <v>7.5</v>
      </c>
      <c r="BV16" s="187" t="s">
        <v>365</v>
      </c>
      <c r="BY16" s="0" t="n">
        <v>10.4</v>
      </c>
      <c r="BZ16" s="187" t="s">
        <v>365</v>
      </c>
      <c r="CA16" s="0" t="n">
        <v>11.5</v>
      </c>
      <c r="CB16" s="187" t="s">
        <v>365</v>
      </c>
      <c r="CE16" s="0" t="n">
        <v>13.7</v>
      </c>
      <c r="CF16" s="187" t="s">
        <v>365</v>
      </c>
      <c r="CG16" s="0" t="n">
        <v>10.3</v>
      </c>
      <c r="CH16" s="187" t="s">
        <v>365</v>
      </c>
      <c r="CI16" s="0" t="n">
        <v>10.3</v>
      </c>
      <c r="CJ16" s="187" t="s">
        <v>365</v>
      </c>
      <c r="CK16" s="0" t="n">
        <v>9.7</v>
      </c>
      <c r="CL16" s="187" t="s">
        <v>365</v>
      </c>
      <c r="CM16" s="0" t="n">
        <v>7.6</v>
      </c>
      <c r="CN16" s="187" t="s">
        <v>365</v>
      </c>
      <c r="CO16" s="0" t="n">
        <v>14.8</v>
      </c>
      <c r="CP16" s="187" t="s">
        <v>365</v>
      </c>
    </row>
    <row r="17" customFormat="false" ht="14.25" hidden="false" customHeight="false" outlineLevel="0" collapsed="false">
      <c r="A17" s="0" t="n">
        <v>11.8</v>
      </c>
      <c r="B17" s="187" t="s">
        <v>366</v>
      </c>
      <c r="E17" s="0" t="n">
        <v>5.8</v>
      </c>
      <c r="F17" s="187" t="s">
        <v>366</v>
      </c>
      <c r="G17" s="0" t="n">
        <v>9.5</v>
      </c>
      <c r="H17" s="187" t="s">
        <v>366</v>
      </c>
      <c r="I17" s="0" t="n">
        <v>3.4</v>
      </c>
      <c r="J17" s="187" t="s">
        <v>366</v>
      </c>
      <c r="K17" s="0" t="n">
        <v>19.8</v>
      </c>
      <c r="L17" s="187" t="s">
        <v>366</v>
      </c>
      <c r="M17" s="0" t="n">
        <v>16</v>
      </c>
      <c r="N17" s="187" t="s">
        <v>366</v>
      </c>
      <c r="O17" s="0" t="n">
        <v>2.9</v>
      </c>
      <c r="P17" s="187" t="s">
        <v>366</v>
      </c>
      <c r="Q17" s="0" t="n">
        <v>667.6</v>
      </c>
      <c r="R17" s="187" t="s">
        <v>366</v>
      </c>
      <c r="S17" s="0" t="n">
        <v>4.2</v>
      </c>
      <c r="T17" s="187" t="s">
        <v>366</v>
      </c>
      <c r="U17" s="0" t="n">
        <v>651.2</v>
      </c>
      <c r="V17" s="187" t="s">
        <v>366</v>
      </c>
      <c r="W17" s="0" t="n">
        <v>645.9</v>
      </c>
      <c r="X17" s="187" t="s">
        <v>366</v>
      </c>
      <c r="Y17" s="0" t="n">
        <v>639.4</v>
      </c>
      <c r="Z17" s="187" t="s">
        <v>366</v>
      </c>
      <c r="AA17" s="0" t="n">
        <v>631.2</v>
      </c>
      <c r="AB17" s="187" t="s">
        <v>366</v>
      </c>
      <c r="AC17" s="0" t="n">
        <v>620.7</v>
      </c>
      <c r="AD17" s="187" t="s">
        <v>366</v>
      </c>
      <c r="AE17" s="0" t="n">
        <v>612.3</v>
      </c>
      <c r="AF17" s="187" t="s">
        <v>366</v>
      </c>
      <c r="AG17" s="0" t="n">
        <v>4</v>
      </c>
      <c r="AH17" s="187" t="s">
        <v>366</v>
      </c>
      <c r="AI17" s="0" t="n">
        <v>4.7</v>
      </c>
      <c r="AJ17" s="187" t="s">
        <v>366</v>
      </c>
      <c r="AK17" s="0" t="n">
        <v>3.9</v>
      </c>
      <c r="AL17" s="187" t="s">
        <v>366</v>
      </c>
      <c r="AM17" s="0" t="n">
        <v>4.2</v>
      </c>
      <c r="AN17" s="187" t="s">
        <v>366</v>
      </c>
      <c r="AO17" s="0" t="n">
        <v>4.2</v>
      </c>
      <c r="AP17" s="187" t="s">
        <v>366</v>
      </c>
      <c r="AQ17" s="0" t="n">
        <v>4</v>
      </c>
      <c r="AR17" s="187" t="s">
        <v>366</v>
      </c>
      <c r="AS17" s="0" t="n">
        <v>3.3</v>
      </c>
      <c r="AT17" s="187" t="s">
        <v>366</v>
      </c>
      <c r="AU17" s="0" t="n">
        <v>3.2</v>
      </c>
      <c r="AV17" s="187" t="s">
        <v>366</v>
      </c>
      <c r="AW17" s="0" t="n">
        <v>1</v>
      </c>
      <c r="AX17" s="187" t="s">
        <v>366</v>
      </c>
      <c r="AY17" s="0" t="n">
        <v>3.3</v>
      </c>
      <c r="AZ17" s="187" t="s">
        <v>366</v>
      </c>
      <c r="BA17" s="0" t="n">
        <v>3</v>
      </c>
      <c r="BB17" s="187" t="s">
        <v>366</v>
      </c>
      <c r="BC17" s="0" t="n">
        <v>3.2</v>
      </c>
      <c r="BD17" s="187" t="s">
        <v>366</v>
      </c>
      <c r="BE17" s="0" t="n">
        <v>4.5</v>
      </c>
      <c r="BF17" s="187" t="s">
        <v>366</v>
      </c>
      <c r="BG17" s="0" t="n">
        <v>13.8</v>
      </c>
      <c r="BH17" s="187" t="s">
        <v>366</v>
      </c>
      <c r="BI17" s="0" t="n">
        <v>14</v>
      </c>
      <c r="BJ17" s="187" t="s">
        <v>366</v>
      </c>
      <c r="BK17" s="0" t="n">
        <v>4.9</v>
      </c>
      <c r="BL17" s="187" t="s">
        <v>366</v>
      </c>
      <c r="BM17" s="0" t="n">
        <v>5.1</v>
      </c>
      <c r="BN17" s="187" t="s">
        <v>366</v>
      </c>
      <c r="BO17" s="0" t="n">
        <v>12.9</v>
      </c>
      <c r="BP17" s="187" t="s">
        <v>366</v>
      </c>
      <c r="BQ17" s="0" t="n">
        <v>15.3</v>
      </c>
      <c r="BR17" s="187" t="s">
        <v>366</v>
      </c>
      <c r="BS17" s="0" t="n">
        <v>8.6</v>
      </c>
      <c r="BT17" s="187" t="s">
        <v>366</v>
      </c>
      <c r="BU17" s="0" t="n">
        <v>7.5</v>
      </c>
      <c r="BV17" s="187" t="s">
        <v>366</v>
      </c>
      <c r="BY17" s="0" t="n">
        <v>10.3</v>
      </c>
      <c r="BZ17" s="187" t="s">
        <v>366</v>
      </c>
      <c r="CA17" s="0" t="n">
        <v>11.6</v>
      </c>
      <c r="CB17" s="187" t="s">
        <v>366</v>
      </c>
      <c r="CE17" s="0" t="n">
        <v>13.2</v>
      </c>
      <c r="CF17" s="187" t="s">
        <v>366</v>
      </c>
      <c r="CG17" s="0" t="n">
        <v>9.8</v>
      </c>
      <c r="CH17" s="187" t="s">
        <v>366</v>
      </c>
      <c r="CI17" s="0" t="n">
        <v>9.8</v>
      </c>
      <c r="CJ17" s="187" t="s">
        <v>366</v>
      </c>
      <c r="CK17" s="0" t="n">
        <v>9.3</v>
      </c>
      <c r="CL17" s="187" t="s">
        <v>366</v>
      </c>
      <c r="CM17" s="0" t="n">
        <v>7.3</v>
      </c>
      <c r="CN17" s="187" t="s">
        <v>366</v>
      </c>
      <c r="CO17" s="0" t="n">
        <v>14.6</v>
      </c>
      <c r="CP17" s="187" t="s">
        <v>366</v>
      </c>
    </row>
    <row r="18" customFormat="false" ht="14.25" hidden="false" customHeight="false" outlineLevel="0" collapsed="false">
      <c r="A18" s="0" t="n">
        <v>11.8</v>
      </c>
      <c r="B18" s="187" t="s">
        <v>367</v>
      </c>
      <c r="E18" s="0" t="n">
        <v>5.8</v>
      </c>
      <c r="F18" s="187" t="s">
        <v>367</v>
      </c>
      <c r="G18" s="0" t="n">
        <v>9.5</v>
      </c>
      <c r="H18" s="187" t="s">
        <v>367</v>
      </c>
      <c r="I18" s="0" t="n">
        <v>3.3</v>
      </c>
      <c r="J18" s="187" t="s">
        <v>367</v>
      </c>
      <c r="K18" s="0" t="n">
        <v>19.8</v>
      </c>
      <c r="L18" s="187" t="s">
        <v>367</v>
      </c>
      <c r="M18" s="0" t="n">
        <v>16</v>
      </c>
      <c r="N18" s="187" t="s">
        <v>367</v>
      </c>
      <c r="O18" s="0" t="n">
        <v>2.9</v>
      </c>
      <c r="P18" s="187" t="s">
        <v>367</v>
      </c>
      <c r="Q18" s="0" t="n">
        <v>667.6</v>
      </c>
      <c r="R18" s="187" t="s">
        <v>367</v>
      </c>
      <c r="S18" s="0" t="n">
        <v>4.2</v>
      </c>
      <c r="T18" s="187" t="s">
        <v>367</v>
      </c>
      <c r="U18" s="0" t="n">
        <v>651.2</v>
      </c>
      <c r="V18" s="187" t="s">
        <v>367</v>
      </c>
      <c r="W18" s="0" t="n">
        <v>645.9</v>
      </c>
      <c r="X18" s="187" t="s">
        <v>367</v>
      </c>
      <c r="Y18" s="0" t="n">
        <v>639.4</v>
      </c>
      <c r="Z18" s="187" t="s">
        <v>367</v>
      </c>
      <c r="AA18" s="0" t="n">
        <v>631.2</v>
      </c>
      <c r="AB18" s="187" t="s">
        <v>367</v>
      </c>
      <c r="AC18" s="0" t="n">
        <v>620.7</v>
      </c>
      <c r="AD18" s="187" t="s">
        <v>367</v>
      </c>
      <c r="AE18" s="0" t="n">
        <v>612.3</v>
      </c>
      <c r="AF18" s="187" t="s">
        <v>367</v>
      </c>
      <c r="AG18" s="0" t="n">
        <v>3.9</v>
      </c>
      <c r="AH18" s="187" t="s">
        <v>367</v>
      </c>
      <c r="AI18" s="0" t="n">
        <v>4.7</v>
      </c>
      <c r="AJ18" s="187" t="s">
        <v>367</v>
      </c>
      <c r="AK18" s="0" t="n">
        <v>3.9</v>
      </c>
      <c r="AL18" s="187" t="s">
        <v>367</v>
      </c>
      <c r="AM18" s="0" t="n">
        <v>4.2</v>
      </c>
      <c r="AN18" s="187" t="s">
        <v>367</v>
      </c>
      <c r="AO18" s="0" t="n">
        <v>4.2</v>
      </c>
      <c r="AP18" s="187" t="s">
        <v>367</v>
      </c>
      <c r="AQ18" s="0" t="n">
        <v>3.9</v>
      </c>
      <c r="AR18" s="187" t="s">
        <v>367</v>
      </c>
      <c r="AS18" s="0" t="n">
        <v>3.2</v>
      </c>
      <c r="AT18" s="187" t="s">
        <v>367</v>
      </c>
      <c r="AU18" s="0" t="n">
        <v>3.1</v>
      </c>
      <c r="AV18" s="187" t="s">
        <v>367</v>
      </c>
      <c r="AW18" s="0" t="n">
        <v>1</v>
      </c>
      <c r="AX18" s="187" t="s">
        <v>367</v>
      </c>
      <c r="AY18" s="0" t="n">
        <v>2.6</v>
      </c>
      <c r="AZ18" s="187" t="s">
        <v>367</v>
      </c>
      <c r="BA18" s="0" t="n">
        <v>2.9</v>
      </c>
      <c r="BB18" s="187" t="s">
        <v>367</v>
      </c>
      <c r="BC18" s="0" t="n">
        <v>3.1</v>
      </c>
      <c r="BD18" s="187" t="s">
        <v>367</v>
      </c>
      <c r="BE18" s="0" t="n">
        <v>4.5</v>
      </c>
      <c r="BF18" s="187" t="s">
        <v>367</v>
      </c>
      <c r="BG18" s="0" t="n">
        <v>13.7</v>
      </c>
      <c r="BH18" s="187" t="s">
        <v>367</v>
      </c>
      <c r="BI18" s="0" t="n">
        <v>14</v>
      </c>
      <c r="BJ18" s="187" t="s">
        <v>367</v>
      </c>
      <c r="BK18" s="0" t="n">
        <v>4.7</v>
      </c>
      <c r="BL18" s="187" t="s">
        <v>367</v>
      </c>
      <c r="BM18" s="0" t="n">
        <v>4.5</v>
      </c>
      <c r="BN18" s="187" t="s">
        <v>367</v>
      </c>
      <c r="BO18" s="0" t="n">
        <v>12.9</v>
      </c>
      <c r="BP18" s="187" t="s">
        <v>367</v>
      </c>
      <c r="BQ18" s="0" t="n">
        <v>15.3</v>
      </c>
      <c r="BR18" s="187" t="s">
        <v>367</v>
      </c>
      <c r="BS18" s="0" t="n">
        <v>8.6</v>
      </c>
      <c r="BT18" s="187" t="s">
        <v>367</v>
      </c>
      <c r="BU18" s="0" t="n">
        <v>7.5</v>
      </c>
      <c r="BV18" s="187" t="s">
        <v>367</v>
      </c>
      <c r="BY18" s="0" t="n">
        <v>10.2</v>
      </c>
      <c r="BZ18" s="187" t="s">
        <v>367</v>
      </c>
      <c r="CA18" s="0" t="n">
        <v>11.6</v>
      </c>
      <c r="CB18" s="187" t="s">
        <v>367</v>
      </c>
      <c r="CE18" s="0" t="n">
        <v>12.8</v>
      </c>
      <c r="CF18" s="187" t="s">
        <v>367</v>
      </c>
      <c r="CG18" s="0" t="n">
        <v>9.3</v>
      </c>
      <c r="CH18" s="187" t="s">
        <v>367</v>
      </c>
      <c r="CI18" s="0" t="n">
        <v>9.4</v>
      </c>
      <c r="CJ18" s="187" t="s">
        <v>367</v>
      </c>
      <c r="CK18" s="0" t="n">
        <v>8.8</v>
      </c>
      <c r="CL18" s="187" t="s">
        <v>367</v>
      </c>
      <c r="CM18" s="0" t="n">
        <v>7</v>
      </c>
      <c r="CN18" s="187" t="s">
        <v>367</v>
      </c>
      <c r="CO18" s="0" t="n">
        <v>14.4</v>
      </c>
      <c r="CP18" s="187" t="s">
        <v>367</v>
      </c>
    </row>
    <row r="19" customFormat="false" ht="14.25" hidden="false" customHeight="false" outlineLevel="0" collapsed="false">
      <c r="A19" s="0" t="n">
        <v>11.8</v>
      </c>
      <c r="B19" s="187" t="s">
        <v>368</v>
      </c>
      <c r="E19" s="0" t="n">
        <v>5.8</v>
      </c>
      <c r="F19" s="187" t="s">
        <v>368</v>
      </c>
      <c r="G19" s="0" t="n">
        <v>9.5</v>
      </c>
      <c r="H19" s="187" t="s">
        <v>368</v>
      </c>
      <c r="I19" s="0" t="n">
        <v>3.2</v>
      </c>
      <c r="J19" s="187" t="s">
        <v>368</v>
      </c>
      <c r="K19" s="0" t="n">
        <v>19.7</v>
      </c>
      <c r="L19" s="187" t="s">
        <v>368</v>
      </c>
      <c r="M19" s="0" t="n">
        <v>15.9</v>
      </c>
      <c r="N19" s="187" t="s">
        <v>368</v>
      </c>
      <c r="O19" s="0" t="n">
        <v>2.9</v>
      </c>
      <c r="P19" s="187" t="s">
        <v>368</v>
      </c>
      <c r="Q19" s="0" t="n">
        <v>667.6</v>
      </c>
      <c r="R19" s="187" t="s">
        <v>368</v>
      </c>
      <c r="S19" s="0" t="n">
        <v>4.2</v>
      </c>
      <c r="T19" s="187" t="s">
        <v>368</v>
      </c>
      <c r="U19" s="0" t="n">
        <v>651.2</v>
      </c>
      <c r="V19" s="187" t="s">
        <v>368</v>
      </c>
      <c r="W19" s="0" t="n">
        <v>645.9</v>
      </c>
      <c r="X19" s="187" t="s">
        <v>368</v>
      </c>
      <c r="Y19" s="0" t="n">
        <v>639.4</v>
      </c>
      <c r="Z19" s="187" t="s">
        <v>368</v>
      </c>
      <c r="AA19" s="0" t="n">
        <v>631.2</v>
      </c>
      <c r="AB19" s="187" t="s">
        <v>368</v>
      </c>
      <c r="AC19" s="0" t="n">
        <v>620.7</v>
      </c>
      <c r="AD19" s="187" t="s">
        <v>368</v>
      </c>
      <c r="AE19" s="0" t="n">
        <v>612.3</v>
      </c>
      <c r="AF19" s="187" t="s">
        <v>368</v>
      </c>
      <c r="AG19" s="0" t="n">
        <v>3.9</v>
      </c>
      <c r="AH19" s="187" t="s">
        <v>368</v>
      </c>
      <c r="AI19" s="0" t="n">
        <v>4.7</v>
      </c>
      <c r="AJ19" s="187" t="s">
        <v>368</v>
      </c>
      <c r="AK19" s="0" t="n">
        <v>3.8</v>
      </c>
      <c r="AL19" s="187" t="s">
        <v>368</v>
      </c>
      <c r="AM19" s="0" t="n">
        <v>4.2</v>
      </c>
      <c r="AN19" s="187" t="s">
        <v>368</v>
      </c>
      <c r="AO19" s="0" t="n">
        <v>4.2</v>
      </c>
      <c r="AP19" s="187" t="s">
        <v>368</v>
      </c>
      <c r="AQ19" s="0" t="n">
        <v>3.9</v>
      </c>
      <c r="AR19" s="187" t="s">
        <v>368</v>
      </c>
      <c r="AS19" s="0" t="n">
        <v>3.2</v>
      </c>
      <c r="AT19" s="187" t="s">
        <v>368</v>
      </c>
      <c r="AU19" s="0" t="n">
        <v>3.1</v>
      </c>
      <c r="AV19" s="187" t="s">
        <v>368</v>
      </c>
      <c r="AW19" s="0" t="n">
        <v>1</v>
      </c>
      <c r="AX19" s="187" t="s">
        <v>368</v>
      </c>
      <c r="AY19" s="0" t="n">
        <v>2.5</v>
      </c>
      <c r="AZ19" s="187" t="s">
        <v>368</v>
      </c>
      <c r="BA19" s="0" t="n">
        <v>2.9</v>
      </c>
      <c r="BB19" s="187" t="s">
        <v>368</v>
      </c>
      <c r="BC19" s="0" t="n">
        <v>3.1</v>
      </c>
      <c r="BD19" s="187" t="s">
        <v>368</v>
      </c>
      <c r="BE19" s="0" t="n">
        <v>4.4</v>
      </c>
      <c r="BF19" s="187" t="s">
        <v>368</v>
      </c>
      <c r="BG19" s="0" t="n">
        <v>13.7</v>
      </c>
      <c r="BH19" s="187" t="s">
        <v>368</v>
      </c>
      <c r="BI19" s="0" t="n">
        <v>13.9</v>
      </c>
      <c r="BJ19" s="187" t="s">
        <v>368</v>
      </c>
      <c r="BK19" s="0" t="n">
        <v>4.5</v>
      </c>
      <c r="BL19" s="187" t="s">
        <v>368</v>
      </c>
      <c r="BM19" s="0" t="n">
        <v>4</v>
      </c>
      <c r="BN19" s="187" t="s">
        <v>368</v>
      </c>
      <c r="BO19" s="0" t="n">
        <v>12.9</v>
      </c>
      <c r="BP19" s="187" t="s">
        <v>368</v>
      </c>
      <c r="BQ19" s="0" t="n">
        <v>15.3</v>
      </c>
      <c r="BR19" s="187" t="s">
        <v>368</v>
      </c>
      <c r="BS19" s="0" t="n">
        <v>8.6</v>
      </c>
      <c r="BT19" s="187" t="s">
        <v>368</v>
      </c>
      <c r="BU19" s="0" t="n">
        <v>7.5</v>
      </c>
      <c r="BV19" s="187" t="s">
        <v>368</v>
      </c>
      <c r="BY19" s="0" t="n">
        <v>10.1</v>
      </c>
      <c r="BZ19" s="187" t="s">
        <v>368</v>
      </c>
      <c r="CA19" s="0" t="n">
        <v>11.5</v>
      </c>
      <c r="CB19" s="187" t="s">
        <v>368</v>
      </c>
      <c r="CE19" s="0" t="n">
        <v>12.5</v>
      </c>
      <c r="CF19" s="187" t="s">
        <v>368</v>
      </c>
      <c r="CG19" s="0" t="n">
        <v>8.9</v>
      </c>
      <c r="CH19" s="187" t="s">
        <v>368</v>
      </c>
      <c r="CI19" s="0" t="n">
        <v>9.1</v>
      </c>
      <c r="CJ19" s="187" t="s">
        <v>368</v>
      </c>
      <c r="CK19" s="0" t="n">
        <v>8.4</v>
      </c>
      <c r="CL19" s="187" t="s">
        <v>368</v>
      </c>
      <c r="CM19" s="0" t="n">
        <v>6.6</v>
      </c>
      <c r="CN19" s="187" t="s">
        <v>368</v>
      </c>
      <c r="CO19" s="0" t="n">
        <v>14.2</v>
      </c>
      <c r="CP19" s="187" t="s">
        <v>368</v>
      </c>
    </row>
    <row r="20" customFormat="false" ht="14.25" hidden="false" customHeight="false" outlineLevel="0" collapsed="false">
      <c r="A20" s="0" t="n">
        <v>11.8</v>
      </c>
      <c r="B20" s="187" t="s">
        <v>369</v>
      </c>
      <c r="E20" s="0" t="n">
        <v>5.7</v>
      </c>
      <c r="F20" s="187" t="s">
        <v>369</v>
      </c>
      <c r="G20" s="0" t="n">
        <v>9.5</v>
      </c>
      <c r="H20" s="187" t="s">
        <v>369</v>
      </c>
      <c r="I20" s="0" t="n">
        <v>3.2</v>
      </c>
      <c r="J20" s="187" t="s">
        <v>369</v>
      </c>
      <c r="K20" s="0" t="n">
        <v>19.7</v>
      </c>
      <c r="L20" s="187" t="s">
        <v>369</v>
      </c>
      <c r="M20" s="0" t="n">
        <v>15.9</v>
      </c>
      <c r="N20" s="187" t="s">
        <v>369</v>
      </c>
      <c r="O20" s="0" t="n">
        <v>2.9</v>
      </c>
      <c r="P20" s="187" t="s">
        <v>369</v>
      </c>
      <c r="Q20" s="0" t="n">
        <v>667.6</v>
      </c>
      <c r="R20" s="187" t="s">
        <v>369</v>
      </c>
      <c r="S20" s="0" t="n">
        <v>4.2</v>
      </c>
      <c r="T20" s="187" t="s">
        <v>369</v>
      </c>
      <c r="U20" s="0" t="n">
        <v>651.2</v>
      </c>
      <c r="V20" s="187" t="s">
        <v>369</v>
      </c>
      <c r="W20" s="0" t="n">
        <v>645.9</v>
      </c>
      <c r="X20" s="187" t="s">
        <v>369</v>
      </c>
      <c r="Y20" s="0" t="n">
        <v>639.4</v>
      </c>
      <c r="Z20" s="187" t="s">
        <v>369</v>
      </c>
      <c r="AA20" s="0" t="n">
        <v>631.2</v>
      </c>
      <c r="AB20" s="187" t="s">
        <v>369</v>
      </c>
      <c r="AC20" s="0" t="n">
        <v>620.7</v>
      </c>
      <c r="AD20" s="187" t="s">
        <v>369</v>
      </c>
      <c r="AE20" s="0" t="n">
        <v>612.3</v>
      </c>
      <c r="AF20" s="187" t="s">
        <v>369</v>
      </c>
      <c r="AG20" s="0" t="n">
        <v>3.9</v>
      </c>
      <c r="AH20" s="187" t="s">
        <v>369</v>
      </c>
      <c r="AI20" s="0" t="n">
        <v>4.6</v>
      </c>
      <c r="AJ20" s="187" t="s">
        <v>369</v>
      </c>
      <c r="AK20" s="0" t="n">
        <v>3.8</v>
      </c>
      <c r="AL20" s="187" t="s">
        <v>369</v>
      </c>
      <c r="AM20" s="0" t="n">
        <v>4.1</v>
      </c>
      <c r="AN20" s="187" t="s">
        <v>369</v>
      </c>
      <c r="AO20" s="0" t="n">
        <v>4.2</v>
      </c>
      <c r="AP20" s="187" t="s">
        <v>369</v>
      </c>
      <c r="AQ20" s="0" t="n">
        <v>3.8</v>
      </c>
      <c r="AR20" s="187" t="s">
        <v>369</v>
      </c>
      <c r="AS20" s="0" t="n">
        <v>3.1</v>
      </c>
      <c r="AT20" s="187" t="s">
        <v>369</v>
      </c>
      <c r="AU20" s="0" t="n">
        <v>3</v>
      </c>
      <c r="AV20" s="187" t="s">
        <v>369</v>
      </c>
      <c r="AW20" s="0" t="n">
        <v>0.9</v>
      </c>
      <c r="AX20" s="187" t="s">
        <v>369</v>
      </c>
      <c r="AY20" s="0" t="n">
        <v>2.6</v>
      </c>
      <c r="AZ20" s="187" t="s">
        <v>369</v>
      </c>
      <c r="BA20" s="0" t="n">
        <v>2.9</v>
      </c>
      <c r="BB20" s="187" t="s">
        <v>369</v>
      </c>
      <c r="BC20" s="0" t="n">
        <v>3</v>
      </c>
      <c r="BD20" s="187" t="s">
        <v>369</v>
      </c>
      <c r="BE20" s="0" t="n">
        <v>4.4</v>
      </c>
      <c r="BF20" s="187" t="s">
        <v>369</v>
      </c>
      <c r="BG20" s="0" t="n">
        <v>13.7</v>
      </c>
      <c r="BH20" s="187" t="s">
        <v>369</v>
      </c>
      <c r="BI20" s="0" t="n">
        <v>13.9</v>
      </c>
      <c r="BJ20" s="187" t="s">
        <v>369</v>
      </c>
      <c r="BK20" s="0" t="n">
        <v>4.3</v>
      </c>
      <c r="BL20" s="187" t="s">
        <v>369</v>
      </c>
      <c r="BM20" s="0" t="n">
        <v>3.5</v>
      </c>
      <c r="BN20" s="187" t="s">
        <v>369</v>
      </c>
      <c r="BO20" s="0" t="n">
        <v>12.9</v>
      </c>
      <c r="BP20" s="187" t="s">
        <v>369</v>
      </c>
      <c r="BQ20" s="0" t="n">
        <v>15.3</v>
      </c>
      <c r="BR20" s="187" t="s">
        <v>369</v>
      </c>
      <c r="BS20" s="0" t="n">
        <v>8.6</v>
      </c>
      <c r="BT20" s="187" t="s">
        <v>369</v>
      </c>
      <c r="BU20" s="0" t="n">
        <v>7.6</v>
      </c>
      <c r="BV20" s="187" t="s">
        <v>369</v>
      </c>
      <c r="BY20" s="0" t="n">
        <v>10.1</v>
      </c>
      <c r="BZ20" s="187" t="s">
        <v>369</v>
      </c>
      <c r="CA20" s="0" t="n">
        <v>11.4</v>
      </c>
      <c r="CB20" s="187" t="s">
        <v>369</v>
      </c>
      <c r="CE20" s="0" t="n">
        <v>12.4</v>
      </c>
      <c r="CF20" s="187" t="s">
        <v>369</v>
      </c>
      <c r="CG20" s="0" t="n">
        <v>8.6</v>
      </c>
      <c r="CH20" s="187" t="s">
        <v>369</v>
      </c>
      <c r="CI20" s="0" t="n">
        <v>8.7</v>
      </c>
      <c r="CJ20" s="187" t="s">
        <v>369</v>
      </c>
      <c r="CK20" s="0" t="n">
        <v>8</v>
      </c>
      <c r="CL20" s="187" t="s">
        <v>369</v>
      </c>
      <c r="CM20" s="0" t="n">
        <v>6.2</v>
      </c>
      <c r="CN20" s="187" t="s">
        <v>369</v>
      </c>
      <c r="CO20" s="0" t="n">
        <v>13.9</v>
      </c>
      <c r="CP20" s="187" t="s">
        <v>369</v>
      </c>
    </row>
    <row r="21" customFormat="false" ht="14.25" hidden="false" customHeight="false" outlineLevel="0" collapsed="false">
      <c r="A21" s="0" t="n">
        <v>11.8</v>
      </c>
      <c r="B21" s="187" t="s">
        <v>370</v>
      </c>
      <c r="E21" s="0" t="n">
        <v>5.7</v>
      </c>
      <c r="F21" s="187" t="s">
        <v>370</v>
      </c>
      <c r="G21" s="0" t="n">
        <v>9.5</v>
      </c>
      <c r="H21" s="187" t="s">
        <v>370</v>
      </c>
      <c r="I21" s="0" t="n">
        <v>3.1</v>
      </c>
      <c r="J21" s="187" t="s">
        <v>370</v>
      </c>
      <c r="K21" s="0" t="n">
        <v>19.7</v>
      </c>
      <c r="L21" s="187" t="s">
        <v>370</v>
      </c>
      <c r="M21" s="0" t="n">
        <v>15.9</v>
      </c>
      <c r="N21" s="187" t="s">
        <v>370</v>
      </c>
      <c r="O21" s="0" t="n">
        <v>2.9</v>
      </c>
      <c r="P21" s="187" t="s">
        <v>370</v>
      </c>
      <c r="Q21" s="0" t="n">
        <v>667.6</v>
      </c>
      <c r="R21" s="187" t="s">
        <v>370</v>
      </c>
      <c r="S21" s="0" t="n">
        <v>4.2</v>
      </c>
      <c r="T21" s="187" t="s">
        <v>370</v>
      </c>
      <c r="U21" s="0" t="n">
        <v>651.2</v>
      </c>
      <c r="V21" s="187" t="s">
        <v>370</v>
      </c>
      <c r="W21" s="0" t="n">
        <v>645.9</v>
      </c>
      <c r="X21" s="187" t="s">
        <v>370</v>
      </c>
      <c r="Y21" s="0" t="n">
        <v>639.4</v>
      </c>
      <c r="Z21" s="187" t="s">
        <v>370</v>
      </c>
      <c r="AA21" s="0" t="n">
        <v>631.2</v>
      </c>
      <c r="AB21" s="187" t="s">
        <v>370</v>
      </c>
      <c r="AC21" s="0" t="n">
        <v>620.7</v>
      </c>
      <c r="AD21" s="187" t="s">
        <v>370</v>
      </c>
      <c r="AE21" s="0" t="n">
        <v>612.3</v>
      </c>
      <c r="AF21" s="187" t="s">
        <v>370</v>
      </c>
      <c r="AG21" s="0" t="n">
        <v>3.9</v>
      </c>
      <c r="AH21" s="187" t="s">
        <v>370</v>
      </c>
      <c r="AI21" s="0" t="n">
        <v>4.6</v>
      </c>
      <c r="AJ21" s="187" t="s">
        <v>370</v>
      </c>
      <c r="AK21" s="0" t="n">
        <v>3.7</v>
      </c>
      <c r="AL21" s="187" t="s">
        <v>370</v>
      </c>
      <c r="AM21" s="0" t="n">
        <v>4.1</v>
      </c>
      <c r="AN21" s="187" t="s">
        <v>370</v>
      </c>
      <c r="AO21" s="0" t="n">
        <v>4.2</v>
      </c>
      <c r="AP21" s="187" t="s">
        <v>370</v>
      </c>
      <c r="AQ21" s="0" t="n">
        <v>3.8</v>
      </c>
      <c r="AR21" s="187" t="s">
        <v>370</v>
      </c>
      <c r="AS21" s="0" t="n">
        <v>3.1</v>
      </c>
      <c r="AT21" s="187" t="s">
        <v>370</v>
      </c>
      <c r="AU21" s="0" t="n">
        <v>3</v>
      </c>
      <c r="AV21" s="187" t="s">
        <v>370</v>
      </c>
      <c r="AW21" s="0" t="n">
        <v>0.9</v>
      </c>
      <c r="AX21" s="187" t="s">
        <v>370</v>
      </c>
      <c r="AY21" s="0" t="n">
        <v>2.9</v>
      </c>
      <c r="AZ21" s="187" t="s">
        <v>370</v>
      </c>
      <c r="BA21" s="0" t="n">
        <v>2.8</v>
      </c>
      <c r="BB21" s="187" t="s">
        <v>370</v>
      </c>
      <c r="BC21" s="0" t="n">
        <v>3</v>
      </c>
      <c r="BD21" s="187" t="s">
        <v>370</v>
      </c>
      <c r="BE21" s="0" t="n">
        <v>4.4</v>
      </c>
      <c r="BF21" s="187" t="s">
        <v>370</v>
      </c>
      <c r="BG21" s="0" t="n">
        <v>13.6</v>
      </c>
      <c r="BH21" s="187" t="s">
        <v>370</v>
      </c>
      <c r="BI21" s="0" t="n">
        <v>13.9</v>
      </c>
      <c r="BJ21" s="187" t="s">
        <v>370</v>
      </c>
      <c r="BK21" s="0" t="n">
        <v>4.2</v>
      </c>
      <c r="BL21" s="187" t="s">
        <v>370</v>
      </c>
      <c r="BM21" s="0" t="n">
        <v>3.1</v>
      </c>
      <c r="BN21" s="187" t="s">
        <v>370</v>
      </c>
      <c r="BO21" s="0" t="n">
        <v>12.9</v>
      </c>
      <c r="BP21" s="187" t="s">
        <v>370</v>
      </c>
      <c r="BQ21" s="0" t="n">
        <v>15.4</v>
      </c>
      <c r="BR21" s="187" t="s">
        <v>370</v>
      </c>
      <c r="BS21" s="0" t="n">
        <v>8.5</v>
      </c>
      <c r="BT21" s="187" t="s">
        <v>370</v>
      </c>
      <c r="BU21" s="0" t="n">
        <v>7.6</v>
      </c>
      <c r="BV21" s="187" t="s">
        <v>370</v>
      </c>
      <c r="BY21" s="0" t="n">
        <v>10.1</v>
      </c>
      <c r="BZ21" s="187" t="s">
        <v>370</v>
      </c>
      <c r="CA21" s="0" t="n">
        <v>11.4</v>
      </c>
      <c r="CB21" s="187" t="s">
        <v>370</v>
      </c>
      <c r="CE21" s="0" t="n">
        <v>12.3</v>
      </c>
      <c r="CF21" s="187" t="s">
        <v>370</v>
      </c>
      <c r="CG21" s="0" t="n">
        <v>8.3</v>
      </c>
      <c r="CH21" s="187" t="s">
        <v>370</v>
      </c>
      <c r="CI21" s="0" t="n">
        <v>8.2</v>
      </c>
      <c r="CJ21" s="187" t="s">
        <v>370</v>
      </c>
      <c r="CK21" s="0" t="n">
        <v>7.8</v>
      </c>
      <c r="CL21" s="187" t="s">
        <v>370</v>
      </c>
      <c r="CM21" s="0" t="n">
        <v>5.8</v>
      </c>
      <c r="CN21" s="187" t="s">
        <v>370</v>
      </c>
      <c r="CO21" s="0" t="n">
        <v>13.6</v>
      </c>
      <c r="CP21" s="187" t="s">
        <v>370</v>
      </c>
    </row>
    <row r="22" customFormat="false" ht="14.25" hidden="false" customHeight="false" outlineLevel="0" collapsed="false">
      <c r="A22" s="0" t="n">
        <v>11.8</v>
      </c>
      <c r="B22" s="187" t="s">
        <v>371</v>
      </c>
      <c r="E22" s="0" t="n">
        <v>5.7</v>
      </c>
      <c r="F22" s="187" t="s">
        <v>371</v>
      </c>
      <c r="G22" s="0" t="n">
        <v>9.5</v>
      </c>
      <c r="H22" s="187" t="s">
        <v>371</v>
      </c>
      <c r="I22" s="0" t="n">
        <v>3.1</v>
      </c>
      <c r="J22" s="187" t="s">
        <v>371</v>
      </c>
      <c r="K22" s="0" t="n">
        <v>19.7</v>
      </c>
      <c r="L22" s="187" t="s">
        <v>371</v>
      </c>
      <c r="M22" s="0" t="n">
        <v>15.9</v>
      </c>
      <c r="N22" s="187" t="s">
        <v>371</v>
      </c>
      <c r="O22" s="0" t="n">
        <v>2.9</v>
      </c>
      <c r="P22" s="187" t="s">
        <v>371</v>
      </c>
      <c r="Q22" s="0" t="n">
        <v>667.6</v>
      </c>
      <c r="R22" s="187" t="s">
        <v>371</v>
      </c>
      <c r="S22" s="0" t="n">
        <v>4.2</v>
      </c>
      <c r="T22" s="187" t="s">
        <v>371</v>
      </c>
      <c r="U22" s="0" t="n">
        <v>651.2</v>
      </c>
      <c r="V22" s="187" t="s">
        <v>371</v>
      </c>
      <c r="W22" s="0" t="n">
        <v>645.9</v>
      </c>
      <c r="X22" s="187" t="s">
        <v>371</v>
      </c>
      <c r="Y22" s="0" t="n">
        <v>639.4</v>
      </c>
      <c r="Z22" s="187" t="s">
        <v>371</v>
      </c>
      <c r="AA22" s="0" t="n">
        <v>631.2</v>
      </c>
      <c r="AB22" s="187" t="s">
        <v>371</v>
      </c>
      <c r="AC22" s="0" t="n">
        <v>620.7</v>
      </c>
      <c r="AD22" s="187" t="s">
        <v>371</v>
      </c>
      <c r="AE22" s="0" t="n">
        <v>612.2</v>
      </c>
      <c r="AF22" s="187" t="s">
        <v>371</v>
      </c>
      <c r="AG22" s="0" t="n">
        <v>3.9</v>
      </c>
      <c r="AH22" s="187" t="s">
        <v>371</v>
      </c>
      <c r="AI22" s="0" t="n">
        <v>4.6</v>
      </c>
      <c r="AJ22" s="187" t="s">
        <v>371</v>
      </c>
      <c r="AK22" s="0" t="n">
        <v>3.7</v>
      </c>
      <c r="AL22" s="187" t="s">
        <v>371</v>
      </c>
      <c r="AM22" s="0" t="n">
        <v>4.1</v>
      </c>
      <c r="AN22" s="187" t="s">
        <v>371</v>
      </c>
      <c r="AO22" s="0" t="n">
        <v>4.1</v>
      </c>
      <c r="AP22" s="187" t="s">
        <v>371</v>
      </c>
      <c r="AQ22" s="0" t="n">
        <v>3.7</v>
      </c>
      <c r="AR22" s="187" t="s">
        <v>371</v>
      </c>
      <c r="AS22" s="0" t="n">
        <v>3.1</v>
      </c>
      <c r="AT22" s="187" t="s">
        <v>371</v>
      </c>
      <c r="AU22" s="0" t="n">
        <v>2.9</v>
      </c>
      <c r="AV22" s="187" t="s">
        <v>371</v>
      </c>
      <c r="AW22" s="0" t="n">
        <v>0.9</v>
      </c>
      <c r="AX22" s="187" t="s">
        <v>371</v>
      </c>
      <c r="AY22" s="0" t="n">
        <v>2.5</v>
      </c>
      <c r="AZ22" s="187" t="s">
        <v>371</v>
      </c>
      <c r="BA22" s="0" t="n">
        <v>2.8</v>
      </c>
      <c r="BB22" s="187" t="s">
        <v>371</v>
      </c>
      <c r="BC22" s="0" t="n">
        <v>2.9</v>
      </c>
      <c r="BD22" s="187" t="s">
        <v>371</v>
      </c>
      <c r="BE22" s="0" t="n">
        <v>4.3</v>
      </c>
      <c r="BF22" s="187" t="s">
        <v>371</v>
      </c>
      <c r="BG22" s="0" t="n">
        <v>13.6</v>
      </c>
      <c r="BH22" s="187" t="s">
        <v>371</v>
      </c>
      <c r="BI22" s="0" t="n">
        <v>13.8</v>
      </c>
      <c r="BJ22" s="187" t="s">
        <v>371</v>
      </c>
      <c r="BK22" s="0" t="n">
        <v>4</v>
      </c>
      <c r="BL22" s="187" t="s">
        <v>371</v>
      </c>
      <c r="BM22" s="0" t="n">
        <v>2.6</v>
      </c>
      <c r="BN22" s="187" t="s">
        <v>371</v>
      </c>
      <c r="BO22" s="0" t="n">
        <v>12.9</v>
      </c>
      <c r="BP22" s="187" t="s">
        <v>371</v>
      </c>
      <c r="BQ22" s="0" t="n">
        <v>15.4</v>
      </c>
      <c r="BR22" s="187" t="s">
        <v>371</v>
      </c>
      <c r="BS22" s="0" t="n">
        <v>8.5</v>
      </c>
      <c r="BT22" s="187" t="s">
        <v>371</v>
      </c>
      <c r="BU22" s="0" t="n">
        <v>7.6</v>
      </c>
      <c r="BV22" s="187" t="s">
        <v>371</v>
      </c>
      <c r="BY22" s="0" t="n">
        <v>10.1</v>
      </c>
      <c r="BZ22" s="187" t="s">
        <v>371</v>
      </c>
      <c r="CA22" s="0" t="n">
        <v>11.3</v>
      </c>
      <c r="CB22" s="187" t="s">
        <v>371</v>
      </c>
      <c r="CE22" s="0" t="n">
        <v>12.1</v>
      </c>
      <c r="CF22" s="187" t="s">
        <v>371</v>
      </c>
      <c r="CG22" s="0" t="n">
        <v>8.2</v>
      </c>
      <c r="CH22" s="187" t="s">
        <v>371</v>
      </c>
      <c r="CI22" s="0" t="n">
        <v>7.7</v>
      </c>
      <c r="CJ22" s="187" t="s">
        <v>371</v>
      </c>
      <c r="CK22" s="0" t="n">
        <v>7.6</v>
      </c>
      <c r="CL22" s="187" t="s">
        <v>371</v>
      </c>
      <c r="CM22" s="0" t="n">
        <v>5.5</v>
      </c>
      <c r="CN22" s="187" t="s">
        <v>371</v>
      </c>
      <c r="CO22" s="0" t="n">
        <v>13.2</v>
      </c>
      <c r="CP22" s="187" t="s">
        <v>371</v>
      </c>
    </row>
    <row r="23" customFormat="false" ht="14.25" hidden="false" customHeight="false" outlineLevel="0" collapsed="false">
      <c r="A23" s="0" t="n">
        <v>11.8</v>
      </c>
      <c r="B23" s="187" t="s">
        <v>372</v>
      </c>
      <c r="E23" s="0" t="n">
        <v>5.6</v>
      </c>
      <c r="F23" s="187" t="s">
        <v>372</v>
      </c>
      <c r="G23" s="0" t="n">
        <v>9.5</v>
      </c>
      <c r="H23" s="187" t="s">
        <v>372</v>
      </c>
      <c r="I23" s="0" t="n">
        <v>3</v>
      </c>
      <c r="J23" s="187" t="s">
        <v>372</v>
      </c>
      <c r="K23" s="0" t="n">
        <v>19.7</v>
      </c>
      <c r="L23" s="187" t="s">
        <v>372</v>
      </c>
      <c r="M23" s="0" t="n">
        <v>15.9</v>
      </c>
      <c r="N23" s="187" t="s">
        <v>372</v>
      </c>
      <c r="O23" s="0" t="n">
        <v>2.9</v>
      </c>
      <c r="P23" s="187" t="s">
        <v>372</v>
      </c>
      <c r="Q23" s="0" t="n">
        <v>667.6</v>
      </c>
      <c r="R23" s="187" t="s">
        <v>372</v>
      </c>
      <c r="S23" s="0" t="n">
        <v>4.2</v>
      </c>
      <c r="T23" s="187" t="s">
        <v>372</v>
      </c>
      <c r="U23" s="0" t="n">
        <v>651.2</v>
      </c>
      <c r="V23" s="187" t="s">
        <v>372</v>
      </c>
      <c r="W23" s="0" t="n">
        <v>645.9</v>
      </c>
      <c r="X23" s="187" t="s">
        <v>372</v>
      </c>
      <c r="Y23" s="0" t="n">
        <v>639.4</v>
      </c>
      <c r="Z23" s="187" t="s">
        <v>372</v>
      </c>
      <c r="AA23" s="0" t="n">
        <v>631.2</v>
      </c>
      <c r="AB23" s="187" t="s">
        <v>372</v>
      </c>
      <c r="AC23" s="0" t="n">
        <v>620.7</v>
      </c>
      <c r="AD23" s="187" t="s">
        <v>372</v>
      </c>
      <c r="AE23" s="0" t="n">
        <v>612.2</v>
      </c>
      <c r="AF23" s="187" t="s">
        <v>372</v>
      </c>
      <c r="AG23" s="0" t="n">
        <v>3.9</v>
      </c>
      <c r="AH23" s="187" t="s">
        <v>372</v>
      </c>
      <c r="AI23" s="0" t="n">
        <v>4.6</v>
      </c>
      <c r="AJ23" s="187" t="s">
        <v>372</v>
      </c>
      <c r="AK23" s="0" t="n">
        <v>3.7</v>
      </c>
      <c r="AL23" s="187" t="s">
        <v>372</v>
      </c>
      <c r="AM23" s="0" t="n">
        <v>4.1</v>
      </c>
      <c r="AN23" s="187" t="s">
        <v>372</v>
      </c>
      <c r="AO23" s="0" t="n">
        <v>4.1</v>
      </c>
      <c r="AP23" s="187" t="s">
        <v>372</v>
      </c>
      <c r="AQ23" s="0" t="n">
        <v>3.7</v>
      </c>
      <c r="AR23" s="187" t="s">
        <v>372</v>
      </c>
      <c r="AS23" s="0" t="n">
        <v>3</v>
      </c>
      <c r="AT23" s="187" t="s">
        <v>372</v>
      </c>
      <c r="AU23" s="0" t="n">
        <v>2.9</v>
      </c>
      <c r="AV23" s="187" t="s">
        <v>372</v>
      </c>
      <c r="AW23" s="0" t="n">
        <v>0.8</v>
      </c>
      <c r="AX23" s="187" t="s">
        <v>372</v>
      </c>
      <c r="AY23" s="0" t="n">
        <v>2.3</v>
      </c>
      <c r="AZ23" s="187" t="s">
        <v>372</v>
      </c>
      <c r="BA23" s="0" t="n">
        <v>2.7</v>
      </c>
      <c r="BB23" s="187" t="s">
        <v>372</v>
      </c>
      <c r="BC23" s="0" t="n">
        <v>2.9</v>
      </c>
      <c r="BD23" s="187" t="s">
        <v>372</v>
      </c>
      <c r="BE23" s="0" t="n">
        <v>4.3</v>
      </c>
      <c r="BF23" s="187" t="s">
        <v>372</v>
      </c>
      <c r="BG23" s="0" t="n">
        <v>13.5</v>
      </c>
      <c r="BH23" s="187" t="s">
        <v>372</v>
      </c>
      <c r="BI23" s="0" t="n">
        <v>13.8</v>
      </c>
      <c r="BJ23" s="187" t="s">
        <v>372</v>
      </c>
      <c r="BK23" s="0" t="n">
        <v>3.8</v>
      </c>
      <c r="BL23" s="187" t="s">
        <v>372</v>
      </c>
      <c r="BM23" s="0" t="n">
        <v>2.2</v>
      </c>
      <c r="BN23" s="187" t="s">
        <v>372</v>
      </c>
      <c r="BO23" s="0" t="n">
        <v>12.9</v>
      </c>
      <c r="BP23" s="187" t="s">
        <v>372</v>
      </c>
      <c r="BQ23" s="0" t="n">
        <v>15.4</v>
      </c>
      <c r="BR23" s="187" t="s">
        <v>372</v>
      </c>
      <c r="BS23" s="0" t="n">
        <v>8.4</v>
      </c>
      <c r="BT23" s="187" t="s">
        <v>372</v>
      </c>
      <c r="BU23" s="0" t="n">
        <v>7.5</v>
      </c>
      <c r="BV23" s="187" t="s">
        <v>372</v>
      </c>
      <c r="BY23" s="0" t="n">
        <v>10.1</v>
      </c>
      <c r="BZ23" s="187" t="s">
        <v>372</v>
      </c>
      <c r="CA23" s="0" t="n">
        <v>11.3</v>
      </c>
      <c r="CB23" s="187" t="s">
        <v>372</v>
      </c>
      <c r="CE23" s="0" t="n">
        <v>12</v>
      </c>
      <c r="CF23" s="187" t="s">
        <v>372</v>
      </c>
      <c r="CG23" s="0" t="n">
        <v>8</v>
      </c>
      <c r="CH23" s="187" t="s">
        <v>372</v>
      </c>
      <c r="CI23" s="0" t="n">
        <v>7.3</v>
      </c>
      <c r="CJ23" s="187" t="s">
        <v>372</v>
      </c>
      <c r="CK23" s="0" t="n">
        <v>7.3</v>
      </c>
      <c r="CL23" s="187" t="s">
        <v>372</v>
      </c>
      <c r="CM23" s="0" t="n">
        <v>5.2</v>
      </c>
      <c r="CN23" s="187" t="s">
        <v>372</v>
      </c>
      <c r="CO23" s="0" t="n">
        <v>12.9</v>
      </c>
      <c r="CP23" s="187" t="s">
        <v>372</v>
      </c>
    </row>
    <row r="24" customFormat="false" ht="14.25" hidden="false" customHeight="false" outlineLevel="0" collapsed="false">
      <c r="A24" s="0" t="n">
        <v>11.8</v>
      </c>
      <c r="B24" s="187" t="s">
        <v>373</v>
      </c>
      <c r="E24" s="0" t="n">
        <v>5.6</v>
      </c>
      <c r="F24" s="187" t="s">
        <v>373</v>
      </c>
      <c r="G24" s="0" t="n">
        <v>9.5</v>
      </c>
      <c r="H24" s="187" t="s">
        <v>373</v>
      </c>
      <c r="I24" s="0" t="n">
        <v>3</v>
      </c>
      <c r="J24" s="187" t="s">
        <v>373</v>
      </c>
      <c r="K24" s="0" t="n">
        <v>19.7</v>
      </c>
      <c r="L24" s="187" t="s">
        <v>373</v>
      </c>
      <c r="M24" s="0" t="n">
        <v>15.9</v>
      </c>
      <c r="N24" s="187" t="s">
        <v>373</v>
      </c>
      <c r="O24" s="0" t="n">
        <v>2.9</v>
      </c>
      <c r="P24" s="187" t="s">
        <v>373</v>
      </c>
      <c r="Q24" s="0" t="n">
        <v>667.6</v>
      </c>
      <c r="R24" s="187" t="s">
        <v>373</v>
      </c>
      <c r="S24" s="0" t="n">
        <v>4.2</v>
      </c>
      <c r="T24" s="187" t="s">
        <v>373</v>
      </c>
      <c r="U24" s="0" t="n">
        <v>651.1</v>
      </c>
      <c r="V24" s="187" t="s">
        <v>373</v>
      </c>
      <c r="W24" s="0" t="n">
        <v>645.9</v>
      </c>
      <c r="X24" s="187" t="s">
        <v>373</v>
      </c>
      <c r="Y24" s="0" t="n">
        <v>639.4</v>
      </c>
      <c r="Z24" s="187" t="s">
        <v>373</v>
      </c>
      <c r="AA24" s="0" t="n">
        <v>631.2</v>
      </c>
      <c r="AB24" s="187" t="s">
        <v>373</v>
      </c>
      <c r="AC24" s="0" t="n">
        <v>620.7</v>
      </c>
      <c r="AD24" s="187" t="s">
        <v>373</v>
      </c>
      <c r="AE24" s="0" t="n">
        <v>612.2</v>
      </c>
      <c r="AF24" s="187" t="s">
        <v>373</v>
      </c>
      <c r="AG24" s="0" t="n">
        <v>3.9</v>
      </c>
      <c r="AH24" s="187" t="s">
        <v>373</v>
      </c>
      <c r="AI24" s="0" t="n">
        <v>4.5</v>
      </c>
      <c r="AJ24" s="187" t="s">
        <v>373</v>
      </c>
      <c r="AK24" s="0" t="n">
        <v>3.7</v>
      </c>
      <c r="AL24" s="187" t="s">
        <v>373</v>
      </c>
      <c r="AM24" s="0" t="n">
        <v>4</v>
      </c>
      <c r="AN24" s="187" t="s">
        <v>373</v>
      </c>
      <c r="AO24" s="0" t="n">
        <v>4.1</v>
      </c>
      <c r="AP24" s="187" t="s">
        <v>373</v>
      </c>
      <c r="AQ24" s="0" t="n">
        <v>3.7</v>
      </c>
      <c r="AR24" s="187" t="s">
        <v>373</v>
      </c>
      <c r="AS24" s="0" t="n">
        <v>3</v>
      </c>
      <c r="AT24" s="187" t="s">
        <v>373</v>
      </c>
      <c r="AU24" s="0" t="n">
        <v>2.8</v>
      </c>
      <c r="AV24" s="187" t="s">
        <v>373</v>
      </c>
      <c r="AW24" s="0" t="n">
        <v>0.8</v>
      </c>
      <c r="AX24" s="187" t="s">
        <v>373</v>
      </c>
      <c r="AY24" s="0" t="n">
        <v>2.4</v>
      </c>
      <c r="AZ24" s="187" t="s">
        <v>373</v>
      </c>
      <c r="BA24" s="0" t="n">
        <v>2.6</v>
      </c>
      <c r="BB24" s="187" t="s">
        <v>373</v>
      </c>
      <c r="BC24" s="0" t="n">
        <v>2.9</v>
      </c>
      <c r="BD24" s="187" t="s">
        <v>373</v>
      </c>
      <c r="BE24" s="0" t="n">
        <v>4.3</v>
      </c>
      <c r="BF24" s="187" t="s">
        <v>373</v>
      </c>
      <c r="BG24" s="0" t="n">
        <v>13.5</v>
      </c>
      <c r="BH24" s="187" t="s">
        <v>373</v>
      </c>
      <c r="BI24" s="0" t="n">
        <v>13.7</v>
      </c>
      <c r="BJ24" s="187" t="s">
        <v>373</v>
      </c>
      <c r="BK24" s="0" t="n">
        <v>3.6</v>
      </c>
      <c r="BL24" s="187" t="s">
        <v>373</v>
      </c>
      <c r="BM24" s="0" t="n">
        <v>1.8</v>
      </c>
      <c r="BN24" s="187" t="s">
        <v>373</v>
      </c>
      <c r="BO24" s="0" t="n">
        <v>12.9</v>
      </c>
      <c r="BP24" s="187" t="s">
        <v>373</v>
      </c>
      <c r="BQ24" s="0" t="n">
        <v>15.4</v>
      </c>
      <c r="BR24" s="187" t="s">
        <v>373</v>
      </c>
      <c r="BS24" s="0" t="n">
        <v>8.3</v>
      </c>
      <c r="BT24" s="187" t="s">
        <v>373</v>
      </c>
      <c r="BU24" s="0" t="n">
        <v>7.5</v>
      </c>
      <c r="BV24" s="187" t="s">
        <v>373</v>
      </c>
      <c r="BY24" s="0" t="n">
        <v>10.1</v>
      </c>
      <c r="BZ24" s="187" t="s">
        <v>373</v>
      </c>
      <c r="CA24" s="0" t="n">
        <v>11.3</v>
      </c>
      <c r="CB24" s="187" t="s">
        <v>373</v>
      </c>
      <c r="CE24" s="0" t="n">
        <v>11.9</v>
      </c>
      <c r="CF24" s="187" t="s">
        <v>373</v>
      </c>
      <c r="CG24" s="0" t="n">
        <v>7.9</v>
      </c>
      <c r="CH24" s="187" t="s">
        <v>373</v>
      </c>
      <c r="CI24" s="0" t="n">
        <v>7.1</v>
      </c>
      <c r="CJ24" s="187" t="s">
        <v>373</v>
      </c>
      <c r="CK24" s="0" t="n">
        <v>7</v>
      </c>
      <c r="CL24" s="187" t="s">
        <v>373</v>
      </c>
      <c r="CM24" s="0" t="n">
        <v>5</v>
      </c>
      <c r="CN24" s="187" t="s">
        <v>373</v>
      </c>
      <c r="CO24" s="0" t="n">
        <v>12.6</v>
      </c>
      <c r="CP24" s="187" t="s">
        <v>373</v>
      </c>
    </row>
    <row r="25" customFormat="false" ht="14.25" hidden="false" customHeight="false" outlineLevel="0" collapsed="false">
      <c r="A25" s="0" t="n">
        <v>11.8</v>
      </c>
      <c r="B25" s="187" t="s">
        <v>374</v>
      </c>
      <c r="E25" s="0" t="n">
        <v>5.6</v>
      </c>
      <c r="F25" s="187" t="s">
        <v>374</v>
      </c>
      <c r="G25" s="0" t="n">
        <v>9.5</v>
      </c>
      <c r="H25" s="187" t="s">
        <v>374</v>
      </c>
      <c r="I25" s="0" t="n">
        <v>3</v>
      </c>
      <c r="J25" s="187" t="s">
        <v>374</v>
      </c>
      <c r="K25" s="0" t="n">
        <v>19.7</v>
      </c>
      <c r="L25" s="187" t="s">
        <v>374</v>
      </c>
      <c r="M25" s="0" t="n">
        <v>15.9</v>
      </c>
      <c r="N25" s="187" t="s">
        <v>374</v>
      </c>
      <c r="O25" s="0" t="n">
        <v>2.9</v>
      </c>
      <c r="P25" s="187" t="s">
        <v>374</v>
      </c>
      <c r="Q25" s="0" t="n">
        <v>667.6</v>
      </c>
      <c r="R25" s="187" t="s">
        <v>374</v>
      </c>
      <c r="S25" s="0" t="n">
        <v>4.2</v>
      </c>
      <c r="T25" s="187" t="s">
        <v>374</v>
      </c>
      <c r="U25" s="0" t="n">
        <v>651.1</v>
      </c>
      <c r="V25" s="187" t="s">
        <v>374</v>
      </c>
      <c r="W25" s="0" t="n">
        <v>645.9</v>
      </c>
      <c r="X25" s="187" t="s">
        <v>374</v>
      </c>
      <c r="Y25" s="0" t="n">
        <v>639.4</v>
      </c>
      <c r="Z25" s="187" t="s">
        <v>374</v>
      </c>
      <c r="AA25" s="0" t="n">
        <v>631.2</v>
      </c>
      <c r="AB25" s="187" t="s">
        <v>374</v>
      </c>
      <c r="AC25" s="0" t="n">
        <v>620.7</v>
      </c>
      <c r="AD25" s="187" t="s">
        <v>374</v>
      </c>
      <c r="AE25" s="0" t="n">
        <v>612.2</v>
      </c>
      <c r="AF25" s="187" t="s">
        <v>374</v>
      </c>
      <c r="AG25" s="0" t="n">
        <v>3.9</v>
      </c>
      <c r="AH25" s="187" t="s">
        <v>374</v>
      </c>
      <c r="AI25" s="0" t="n">
        <v>4.5</v>
      </c>
      <c r="AJ25" s="187" t="s">
        <v>374</v>
      </c>
      <c r="AK25" s="0" t="n">
        <v>3.7</v>
      </c>
      <c r="AL25" s="187" t="s">
        <v>374</v>
      </c>
      <c r="AM25" s="0" t="n">
        <v>4</v>
      </c>
      <c r="AN25" s="187" t="s">
        <v>374</v>
      </c>
      <c r="AO25" s="0" t="n">
        <v>4.1</v>
      </c>
      <c r="AP25" s="187" t="s">
        <v>374</v>
      </c>
      <c r="AQ25" s="0" t="n">
        <v>3.7</v>
      </c>
      <c r="AR25" s="187" t="s">
        <v>374</v>
      </c>
      <c r="AS25" s="0" t="n">
        <v>3</v>
      </c>
      <c r="AT25" s="187" t="s">
        <v>374</v>
      </c>
      <c r="AU25" s="0" t="n">
        <v>2.8</v>
      </c>
      <c r="AV25" s="187" t="s">
        <v>374</v>
      </c>
      <c r="AW25" s="0" t="n">
        <v>0.8</v>
      </c>
      <c r="AX25" s="187" t="s">
        <v>374</v>
      </c>
      <c r="AY25" s="0" t="n">
        <v>2.6</v>
      </c>
      <c r="AZ25" s="187" t="s">
        <v>374</v>
      </c>
      <c r="BA25" s="0" t="n">
        <v>2.6</v>
      </c>
      <c r="BB25" s="187" t="s">
        <v>374</v>
      </c>
      <c r="BC25" s="0" t="n">
        <v>2.8</v>
      </c>
      <c r="BD25" s="187" t="s">
        <v>374</v>
      </c>
      <c r="BE25" s="0" t="n">
        <v>4.2</v>
      </c>
      <c r="BF25" s="187" t="s">
        <v>374</v>
      </c>
      <c r="BG25" s="0" t="n">
        <v>13.5</v>
      </c>
      <c r="BH25" s="187" t="s">
        <v>374</v>
      </c>
      <c r="BI25" s="0" t="n">
        <v>13.6</v>
      </c>
      <c r="BJ25" s="187" t="s">
        <v>374</v>
      </c>
      <c r="BK25" s="0" t="n">
        <v>3.4</v>
      </c>
      <c r="BL25" s="187" t="s">
        <v>374</v>
      </c>
      <c r="BM25" s="0" t="n">
        <v>1.4</v>
      </c>
      <c r="BN25" s="187" t="s">
        <v>374</v>
      </c>
      <c r="BO25" s="0" t="n">
        <v>12.9</v>
      </c>
      <c r="BP25" s="187" t="s">
        <v>374</v>
      </c>
      <c r="BQ25" s="0" t="n">
        <v>15.5</v>
      </c>
      <c r="BR25" s="187" t="s">
        <v>374</v>
      </c>
      <c r="BS25" s="0" t="n">
        <v>8.2</v>
      </c>
      <c r="BT25" s="187" t="s">
        <v>374</v>
      </c>
      <c r="BU25" s="0" t="n">
        <v>7.4</v>
      </c>
      <c r="BV25" s="187" t="s">
        <v>374</v>
      </c>
      <c r="BY25" s="0" t="n">
        <v>10.1</v>
      </c>
      <c r="BZ25" s="187" t="s">
        <v>374</v>
      </c>
      <c r="CA25" s="0" t="n">
        <v>11.3</v>
      </c>
      <c r="CB25" s="187" t="s">
        <v>374</v>
      </c>
      <c r="CE25" s="0" t="n">
        <v>11.8</v>
      </c>
      <c r="CF25" s="187" t="s">
        <v>374</v>
      </c>
      <c r="CG25" s="0" t="n">
        <v>7.8</v>
      </c>
      <c r="CH25" s="187" t="s">
        <v>374</v>
      </c>
      <c r="CI25" s="0" t="n">
        <v>6.8</v>
      </c>
      <c r="CJ25" s="187" t="s">
        <v>374</v>
      </c>
      <c r="CK25" s="0" t="n">
        <v>6.6</v>
      </c>
      <c r="CL25" s="187" t="s">
        <v>374</v>
      </c>
      <c r="CM25" s="0" t="n">
        <v>4.8</v>
      </c>
      <c r="CN25" s="187" t="s">
        <v>374</v>
      </c>
      <c r="CO25" s="0" t="n">
        <v>12.3</v>
      </c>
      <c r="CP25" s="187" t="s">
        <v>374</v>
      </c>
    </row>
    <row r="26" customFormat="false" ht="14.25" hidden="false" customHeight="false" outlineLevel="0" collapsed="false">
      <c r="A26" s="0" t="n">
        <v>11.8</v>
      </c>
      <c r="B26" s="187" t="s">
        <v>375</v>
      </c>
      <c r="E26" s="0" t="n">
        <v>5.5</v>
      </c>
      <c r="F26" s="187" t="s">
        <v>375</v>
      </c>
      <c r="G26" s="0" t="n">
        <v>9.5</v>
      </c>
      <c r="H26" s="187" t="s">
        <v>375</v>
      </c>
      <c r="I26" s="0" t="n">
        <v>2.9</v>
      </c>
      <c r="J26" s="187" t="s">
        <v>375</v>
      </c>
      <c r="K26" s="0" t="n">
        <v>19.7</v>
      </c>
      <c r="L26" s="187" t="s">
        <v>375</v>
      </c>
      <c r="M26" s="0" t="n">
        <v>15.9</v>
      </c>
      <c r="N26" s="187" t="s">
        <v>375</v>
      </c>
      <c r="O26" s="0" t="n">
        <v>2.9</v>
      </c>
      <c r="P26" s="187" t="s">
        <v>375</v>
      </c>
      <c r="Q26" s="0" t="n">
        <v>667.6</v>
      </c>
      <c r="R26" s="187" t="s">
        <v>375</v>
      </c>
      <c r="S26" s="0" t="n">
        <v>4.2</v>
      </c>
      <c r="T26" s="187" t="s">
        <v>375</v>
      </c>
      <c r="U26" s="0" t="n">
        <v>651.1</v>
      </c>
      <c r="V26" s="187" t="s">
        <v>375</v>
      </c>
      <c r="W26" s="0" t="n">
        <v>645.9</v>
      </c>
      <c r="X26" s="187" t="s">
        <v>375</v>
      </c>
      <c r="Y26" s="0" t="n">
        <v>639.4</v>
      </c>
      <c r="Z26" s="187" t="s">
        <v>375</v>
      </c>
      <c r="AA26" s="0" t="n">
        <v>631.2</v>
      </c>
      <c r="AB26" s="187" t="s">
        <v>375</v>
      </c>
      <c r="AC26" s="0" t="n">
        <v>620.7</v>
      </c>
      <c r="AD26" s="187" t="s">
        <v>375</v>
      </c>
      <c r="AE26" s="0" t="n">
        <v>612.2</v>
      </c>
      <c r="AF26" s="187" t="s">
        <v>375</v>
      </c>
      <c r="AG26" s="0" t="n">
        <v>3.9</v>
      </c>
      <c r="AH26" s="187" t="s">
        <v>375</v>
      </c>
      <c r="AI26" s="0" t="n">
        <v>4.5</v>
      </c>
      <c r="AJ26" s="187" t="s">
        <v>375</v>
      </c>
      <c r="AK26" s="0" t="n">
        <v>3.7</v>
      </c>
      <c r="AL26" s="187" t="s">
        <v>375</v>
      </c>
      <c r="AM26" s="0" t="n">
        <v>4</v>
      </c>
      <c r="AN26" s="187" t="s">
        <v>375</v>
      </c>
      <c r="AO26" s="0" t="n">
        <v>4.1</v>
      </c>
      <c r="AP26" s="187" t="s">
        <v>375</v>
      </c>
      <c r="AQ26" s="0" t="n">
        <v>3.6</v>
      </c>
      <c r="AR26" s="187" t="s">
        <v>375</v>
      </c>
      <c r="AS26" s="0" t="n">
        <v>3</v>
      </c>
      <c r="AT26" s="187" t="s">
        <v>375</v>
      </c>
      <c r="AU26" s="0" t="n">
        <v>2.7</v>
      </c>
      <c r="AV26" s="187" t="s">
        <v>375</v>
      </c>
      <c r="AW26" s="0" t="n">
        <v>0.8</v>
      </c>
      <c r="AX26" s="187" t="s">
        <v>375</v>
      </c>
      <c r="AY26" s="0" t="n">
        <v>2.4</v>
      </c>
      <c r="AZ26" s="187" t="s">
        <v>375</v>
      </c>
      <c r="BA26" s="0" t="n">
        <v>2.5</v>
      </c>
      <c r="BB26" s="187" t="s">
        <v>375</v>
      </c>
      <c r="BC26" s="0" t="n">
        <v>2.8</v>
      </c>
      <c r="BD26" s="187" t="s">
        <v>375</v>
      </c>
      <c r="BE26" s="0" t="n">
        <v>4.2</v>
      </c>
      <c r="BF26" s="187" t="s">
        <v>375</v>
      </c>
      <c r="BG26" s="0" t="n">
        <v>13.4</v>
      </c>
      <c r="BH26" s="187" t="s">
        <v>375</v>
      </c>
      <c r="BI26" s="0" t="n">
        <v>13.6</v>
      </c>
      <c r="BJ26" s="187" t="s">
        <v>375</v>
      </c>
      <c r="BK26" s="0" t="n">
        <v>3.2</v>
      </c>
      <c r="BL26" s="187" t="s">
        <v>375</v>
      </c>
      <c r="BM26" s="0" t="n">
        <v>1</v>
      </c>
      <c r="BN26" s="187" t="s">
        <v>375</v>
      </c>
      <c r="BO26" s="0" t="n">
        <v>12.9</v>
      </c>
      <c r="BP26" s="187" t="s">
        <v>375</v>
      </c>
      <c r="BQ26" s="0" t="n">
        <v>15.5</v>
      </c>
      <c r="BR26" s="187" t="s">
        <v>375</v>
      </c>
      <c r="BS26" s="0" t="n">
        <v>8.2</v>
      </c>
      <c r="BT26" s="187" t="s">
        <v>375</v>
      </c>
      <c r="BU26" s="0" t="n">
        <v>7.3</v>
      </c>
      <c r="BV26" s="187" t="s">
        <v>375</v>
      </c>
      <c r="BY26" s="0" t="n">
        <v>10.1</v>
      </c>
      <c r="BZ26" s="187" t="s">
        <v>375</v>
      </c>
      <c r="CA26" s="0" t="n">
        <v>11.3</v>
      </c>
      <c r="CB26" s="187" t="s">
        <v>375</v>
      </c>
      <c r="CE26" s="0" t="n">
        <v>11.7</v>
      </c>
      <c r="CF26" s="187" t="s">
        <v>375</v>
      </c>
      <c r="CG26" s="0" t="n">
        <v>7.7</v>
      </c>
      <c r="CH26" s="187" t="s">
        <v>375</v>
      </c>
      <c r="CI26" s="0" t="n">
        <v>6.7</v>
      </c>
      <c r="CJ26" s="187" t="s">
        <v>375</v>
      </c>
      <c r="CK26" s="0" t="n">
        <v>6.3</v>
      </c>
      <c r="CL26" s="187" t="s">
        <v>375</v>
      </c>
      <c r="CM26" s="0" t="n">
        <v>4.4</v>
      </c>
      <c r="CN26" s="187" t="s">
        <v>375</v>
      </c>
      <c r="CO26" s="0" t="n">
        <v>12.1</v>
      </c>
      <c r="CP26" s="187" t="s">
        <v>375</v>
      </c>
    </row>
    <row r="27" customFormat="false" ht="14.25" hidden="false" customHeight="false" outlineLevel="0" collapsed="false">
      <c r="A27" s="0" t="n">
        <v>11.8</v>
      </c>
      <c r="B27" s="187" t="s">
        <v>376</v>
      </c>
      <c r="E27" s="0" t="n">
        <v>5.5</v>
      </c>
      <c r="F27" s="187" t="s">
        <v>376</v>
      </c>
      <c r="G27" s="0" t="n">
        <v>9.5</v>
      </c>
      <c r="H27" s="187" t="s">
        <v>376</v>
      </c>
      <c r="I27" s="0" t="n">
        <v>2.9</v>
      </c>
      <c r="J27" s="187" t="s">
        <v>376</v>
      </c>
      <c r="K27" s="0" t="n">
        <v>19.7</v>
      </c>
      <c r="L27" s="187" t="s">
        <v>376</v>
      </c>
      <c r="M27" s="0" t="n">
        <v>15.9</v>
      </c>
      <c r="N27" s="187" t="s">
        <v>376</v>
      </c>
      <c r="O27" s="0" t="n">
        <v>2.9</v>
      </c>
      <c r="P27" s="187" t="s">
        <v>376</v>
      </c>
      <c r="Q27" s="0" t="n">
        <v>667.6</v>
      </c>
      <c r="R27" s="187" t="s">
        <v>376</v>
      </c>
      <c r="S27" s="0" t="n">
        <v>4.2</v>
      </c>
      <c r="T27" s="187" t="s">
        <v>376</v>
      </c>
      <c r="U27" s="0" t="n">
        <v>651.1</v>
      </c>
      <c r="V27" s="187" t="s">
        <v>376</v>
      </c>
      <c r="W27" s="0" t="n">
        <v>645.9</v>
      </c>
      <c r="X27" s="187" t="s">
        <v>376</v>
      </c>
      <c r="Y27" s="0" t="n">
        <v>639.4</v>
      </c>
      <c r="Z27" s="187" t="s">
        <v>376</v>
      </c>
      <c r="AA27" s="0" t="n">
        <v>631.2</v>
      </c>
      <c r="AB27" s="187" t="s">
        <v>376</v>
      </c>
      <c r="AC27" s="0" t="n">
        <v>620.7</v>
      </c>
      <c r="AD27" s="187" t="s">
        <v>376</v>
      </c>
      <c r="AE27" s="0" t="n">
        <v>612.2</v>
      </c>
      <c r="AF27" s="187" t="s">
        <v>376</v>
      </c>
      <c r="AG27" s="0" t="n">
        <v>3.9</v>
      </c>
      <c r="AH27" s="187" t="s">
        <v>376</v>
      </c>
      <c r="AI27" s="0" t="n">
        <v>4.5</v>
      </c>
      <c r="AJ27" s="187" t="s">
        <v>376</v>
      </c>
      <c r="AK27" s="0" t="n">
        <v>3.7</v>
      </c>
      <c r="AL27" s="187" t="s">
        <v>376</v>
      </c>
      <c r="AM27" s="0" t="n">
        <v>4</v>
      </c>
      <c r="AN27" s="187" t="s">
        <v>376</v>
      </c>
      <c r="AO27" s="0" t="n">
        <v>4.1</v>
      </c>
      <c r="AP27" s="187" t="s">
        <v>376</v>
      </c>
      <c r="AQ27" s="0" t="n">
        <v>3.6</v>
      </c>
      <c r="AR27" s="187" t="s">
        <v>376</v>
      </c>
      <c r="AS27" s="0" t="n">
        <v>3</v>
      </c>
      <c r="AT27" s="187" t="s">
        <v>376</v>
      </c>
      <c r="AU27" s="0" t="n">
        <v>2.7</v>
      </c>
      <c r="AV27" s="187" t="s">
        <v>376</v>
      </c>
      <c r="AW27" s="0" t="n">
        <v>0.7</v>
      </c>
      <c r="AX27" s="187" t="s">
        <v>376</v>
      </c>
      <c r="AY27" s="0" t="n">
        <v>2.2</v>
      </c>
      <c r="AZ27" s="187" t="s">
        <v>376</v>
      </c>
      <c r="BA27" s="0" t="n">
        <v>2.5</v>
      </c>
      <c r="BB27" s="187" t="s">
        <v>376</v>
      </c>
      <c r="BC27" s="0" t="n">
        <v>2.7</v>
      </c>
      <c r="BD27" s="187" t="s">
        <v>376</v>
      </c>
      <c r="BE27" s="0" t="n">
        <v>4.1</v>
      </c>
      <c r="BF27" s="187" t="s">
        <v>376</v>
      </c>
      <c r="BG27" s="0" t="n">
        <v>13.4</v>
      </c>
      <c r="BH27" s="187" t="s">
        <v>376</v>
      </c>
      <c r="BI27" s="0" t="n">
        <v>13.5</v>
      </c>
      <c r="BJ27" s="187" t="s">
        <v>376</v>
      </c>
      <c r="BK27" s="0" t="n">
        <v>3</v>
      </c>
      <c r="BL27" s="187" t="s">
        <v>376</v>
      </c>
      <c r="BM27" s="0" t="n">
        <v>0.6</v>
      </c>
      <c r="BN27" s="187" t="s">
        <v>376</v>
      </c>
      <c r="BO27" s="0" t="n">
        <v>12.9</v>
      </c>
      <c r="BP27" s="187" t="s">
        <v>376</v>
      </c>
      <c r="BQ27" s="0" t="n">
        <v>15.5</v>
      </c>
      <c r="BR27" s="187" t="s">
        <v>376</v>
      </c>
      <c r="BS27" s="0" t="n">
        <v>8.2</v>
      </c>
      <c r="BT27" s="187" t="s">
        <v>376</v>
      </c>
      <c r="BU27" s="0" t="n">
        <v>7.2</v>
      </c>
      <c r="BV27" s="187" t="s">
        <v>376</v>
      </c>
      <c r="BY27" s="0" t="n">
        <v>10.1</v>
      </c>
      <c r="BZ27" s="187" t="s">
        <v>376</v>
      </c>
      <c r="CA27" s="0" t="n">
        <v>11.3</v>
      </c>
      <c r="CB27" s="187" t="s">
        <v>376</v>
      </c>
      <c r="CE27" s="0" t="n">
        <v>11.7</v>
      </c>
      <c r="CF27" s="187" t="s">
        <v>376</v>
      </c>
      <c r="CG27" s="0" t="n">
        <v>7.6</v>
      </c>
      <c r="CH27" s="187" t="s">
        <v>376</v>
      </c>
      <c r="CI27" s="0" t="n">
        <v>6.5</v>
      </c>
      <c r="CJ27" s="187" t="s">
        <v>376</v>
      </c>
      <c r="CK27" s="0" t="n">
        <v>6</v>
      </c>
      <c r="CL27" s="187" t="s">
        <v>376</v>
      </c>
      <c r="CM27" s="0" t="n">
        <v>4.1</v>
      </c>
      <c r="CN27" s="187" t="s">
        <v>376</v>
      </c>
      <c r="CO27" s="0" t="n">
        <v>11.8</v>
      </c>
      <c r="CP27" s="187" t="s">
        <v>376</v>
      </c>
    </row>
    <row r="28" customFormat="false" ht="14.25" hidden="false" customHeight="false" outlineLevel="0" collapsed="false">
      <c r="A28" s="0" t="n">
        <v>11.8</v>
      </c>
      <c r="B28" s="187" t="s">
        <v>377</v>
      </c>
      <c r="E28" s="0" t="n">
        <v>5.5</v>
      </c>
      <c r="F28" s="187" t="s">
        <v>377</v>
      </c>
      <c r="G28" s="0" t="n">
        <v>9.5</v>
      </c>
      <c r="H28" s="187" t="s">
        <v>377</v>
      </c>
      <c r="I28" s="0" t="n">
        <v>2.8</v>
      </c>
      <c r="J28" s="187" t="s">
        <v>377</v>
      </c>
      <c r="K28" s="0" t="n">
        <v>19.7</v>
      </c>
      <c r="L28" s="187" t="s">
        <v>377</v>
      </c>
      <c r="M28" s="0" t="n">
        <v>15.9</v>
      </c>
      <c r="N28" s="187" t="s">
        <v>377</v>
      </c>
      <c r="AG28" s="0" t="n">
        <v>3.9</v>
      </c>
      <c r="AH28" s="187" t="s">
        <v>377</v>
      </c>
      <c r="AQ28" s="0" t="n">
        <v>3.6</v>
      </c>
      <c r="AR28" s="187" t="s">
        <v>377</v>
      </c>
      <c r="BA28" s="0" t="n">
        <v>2.4</v>
      </c>
      <c r="BB28" s="187" t="s">
        <v>377</v>
      </c>
      <c r="BC28" s="0" t="n">
        <v>2.7</v>
      </c>
      <c r="BD28" s="187" t="s">
        <v>377</v>
      </c>
      <c r="BE28" s="0" t="n">
        <v>4.1</v>
      </c>
      <c r="BF28" s="187" t="s">
        <v>377</v>
      </c>
      <c r="BG28" s="0" t="n">
        <v>13.3</v>
      </c>
      <c r="BH28" s="187" t="s">
        <v>377</v>
      </c>
      <c r="BI28" s="0" t="n">
        <v>13.5</v>
      </c>
      <c r="BJ28" s="187" t="s">
        <v>377</v>
      </c>
      <c r="BK28" s="0" t="n">
        <v>2.8</v>
      </c>
      <c r="BL28" s="187" t="s">
        <v>377</v>
      </c>
      <c r="BM28" s="0" t="n">
        <v>0.2</v>
      </c>
      <c r="BN28" s="187" t="s">
        <v>377</v>
      </c>
      <c r="BO28" s="0" t="n">
        <v>13</v>
      </c>
      <c r="BP28" s="187" t="s">
        <v>377</v>
      </c>
      <c r="BQ28" s="0" t="n">
        <v>15.5</v>
      </c>
      <c r="BR28" s="187" t="s">
        <v>377</v>
      </c>
      <c r="BS28" s="0" t="n">
        <v>8.1</v>
      </c>
      <c r="BT28" s="187" t="s">
        <v>377</v>
      </c>
      <c r="BU28" s="0" t="n">
        <v>7.1</v>
      </c>
      <c r="BV28" s="187" t="s">
        <v>377</v>
      </c>
      <c r="BY28" s="0" t="n">
        <v>10</v>
      </c>
      <c r="BZ28" s="187" t="s">
        <v>377</v>
      </c>
      <c r="CA28" s="0" t="n">
        <v>11.3</v>
      </c>
      <c r="CB28" s="187" t="s">
        <v>377</v>
      </c>
      <c r="CE28" s="0" t="n">
        <v>11.7</v>
      </c>
      <c r="CF28" s="187" t="s">
        <v>377</v>
      </c>
      <c r="CG28" s="0" t="n">
        <v>7.5</v>
      </c>
      <c r="CH28" s="187" t="s">
        <v>377</v>
      </c>
      <c r="CI28" s="0" t="n">
        <v>6.4</v>
      </c>
      <c r="CJ28" s="187" t="s">
        <v>377</v>
      </c>
      <c r="CK28" s="0" t="n">
        <v>5.8</v>
      </c>
      <c r="CL28" s="187" t="s">
        <v>377</v>
      </c>
      <c r="CM28" s="0" t="n">
        <v>3.8</v>
      </c>
      <c r="CN28" s="187" t="s">
        <v>377</v>
      </c>
      <c r="CO28" s="0" t="n">
        <v>11.5</v>
      </c>
      <c r="CP28" s="187" t="s">
        <v>377</v>
      </c>
    </row>
    <row r="29" customFormat="false" ht="14.25" hidden="false" customHeight="false" outlineLevel="0" collapsed="false">
      <c r="A29" s="0" t="n">
        <v>11.8</v>
      </c>
      <c r="B29" s="187" t="s">
        <v>378</v>
      </c>
      <c r="E29" s="0" t="n">
        <v>5.5</v>
      </c>
      <c r="F29" s="187" t="s">
        <v>378</v>
      </c>
      <c r="G29" s="0" t="n">
        <v>9.5</v>
      </c>
      <c r="H29" s="187" t="s">
        <v>378</v>
      </c>
      <c r="I29" s="0" t="n">
        <v>2.8</v>
      </c>
      <c r="J29" s="187" t="s">
        <v>378</v>
      </c>
      <c r="K29" s="0" t="n">
        <v>19.7</v>
      </c>
      <c r="L29" s="187" t="s">
        <v>378</v>
      </c>
      <c r="M29" s="0" t="n">
        <v>15.8</v>
      </c>
      <c r="N29" s="187" t="s">
        <v>378</v>
      </c>
      <c r="AG29" s="0" t="n">
        <v>3.9</v>
      </c>
      <c r="AH29" s="187" t="s">
        <v>378</v>
      </c>
      <c r="AQ29" s="0" t="n">
        <v>3.6</v>
      </c>
      <c r="AR29" s="187" t="s">
        <v>378</v>
      </c>
      <c r="BA29" s="0" t="n">
        <v>2.4</v>
      </c>
      <c r="BB29" s="187" t="s">
        <v>378</v>
      </c>
      <c r="BC29" s="0" t="n">
        <v>2.7</v>
      </c>
      <c r="BD29" s="187" t="s">
        <v>378</v>
      </c>
      <c r="BE29" s="0" t="n">
        <v>4</v>
      </c>
      <c r="BF29" s="187" t="s">
        <v>378</v>
      </c>
      <c r="BG29" s="0" t="n">
        <v>13.3</v>
      </c>
      <c r="BH29" s="187" t="s">
        <v>378</v>
      </c>
      <c r="BI29" s="0" t="n">
        <v>13.4</v>
      </c>
      <c r="BJ29" s="187" t="s">
        <v>378</v>
      </c>
      <c r="BK29" s="0" t="n">
        <v>2.6</v>
      </c>
      <c r="BL29" s="187" t="s">
        <v>378</v>
      </c>
      <c r="BM29" s="0" t="n">
        <v>-0.1</v>
      </c>
      <c r="BN29" s="187" t="s">
        <v>378</v>
      </c>
      <c r="BO29" s="0" t="n">
        <v>13</v>
      </c>
      <c r="BP29" s="187" t="s">
        <v>378</v>
      </c>
      <c r="BQ29" s="0" t="n">
        <v>15.5</v>
      </c>
      <c r="BR29" s="187" t="s">
        <v>378</v>
      </c>
      <c r="BS29" s="0" t="n">
        <v>8.1</v>
      </c>
      <c r="BT29" s="187" t="s">
        <v>378</v>
      </c>
      <c r="BU29" s="0" t="n">
        <v>7.1</v>
      </c>
      <c r="BV29" s="187" t="s">
        <v>378</v>
      </c>
      <c r="BY29" s="0" t="n">
        <v>9.9</v>
      </c>
      <c r="BZ29" s="187" t="s">
        <v>378</v>
      </c>
      <c r="CA29" s="0" t="n">
        <v>11.2</v>
      </c>
      <c r="CB29" s="187" t="s">
        <v>378</v>
      </c>
      <c r="CE29" s="0" t="n">
        <v>11.7</v>
      </c>
      <c r="CF29" s="187" t="s">
        <v>378</v>
      </c>
      <c r="CG29" s="0" t="n">
        <v>7.5</v>
      </c>
      <c r="CH29" s="187" t="s">
        <v>378</v>
      </c>
      <c r="CI29" s="0" t="n">
        <v>6.3</v>
      </c>
      <c r="CJ29" s="187" t="s">
        <v>378</v>
      </c>
      <c r="CK29" s="0" t="n">
        <v>5.6</v>
      </c>
      <c r="CL29" s="187" t="s">
        <v>378</v>
      </c>
      <c r="CM29" s="0" t="n">
        <v>3.5</v>
      </c>
      <c r="CN29" s="187" t="s">
        <v>378</v>
      </c>
      <c r="CO29" s="0" t="n">
        <v>11.3</v>
      </c>
      <c r="CP29" s="187" t="s">
        <v>378</v>
      </c>
    </row>
    <row r="30" customFormat="false" ht="14.25" hidden="false" customHeight="false" outlineLevel="0" collapsed="false">
      <c r="M30" s="0" t="n">
        <v>15.8</v>
      </c>
      <c r="N30" s="187" t="s">
        <v>379</v>
      </c>
      <c r="BA30" s="0" t="n">
        <v>2.4</v>
      </c>
      <c r="BB30" s="187" t="s">
        <v>379</v>
      </c>
      <c r="BC30" s="0" t="n">
        <v>2.7</v>
      </c>
      <c r="BD30" s="187" t="s">
        <v>379</v>
      </c>
      <c r="BE30" s="0" t="n">
        <v>4</v>
      </c>
      <c r="BF30" s="187" t="s">
        <v>379</v>
      </c>
      <c r="BG30" s="0" t="n">
        <v>13.2</v>
      </c>
      <c r="BH30" s="187" t="s">
        <v>379</v>
      </c>
      <c r="BI30" s="0" t="n">
        <v>13.4</v>
      </c>
      <c r="BJ30" s="187" t="s">
        <v>379</v>
      </c>
      <c r="BK30" s="0" t="n">
        <v>2.5</v>
      </c>
      <c r="BL30" s="187" t="s">
        <v>379</v>
      </c>
      <c r="BM30" s="0" t="n">
        <v>-0.4</v>
      </c>
      <c r="BN30" s="187" t="s">
        <v>379</v>
      </c>
      <c r="BO30" s="0" t="n">
        <v>13</v>
      </c>
      <c r="BP30" s="187" t="s">
        <v>379</v>
      </c>
      <c r="BQ30" s="0" t="n">
        <v>15.5</v>
      </c>
      <c r="BR30" s="187" t="s">
        <v>379</v>
      </c>
      <c r="BS30" s="0" t="n">
        <v>8.1</v>
      </c>
      <c r="BT30" s="187" t="s">
        <v>379</v>
      </c>
      <c r="BU30" s="0" t="n">
        <v>7</v>
      </c>
      <c r="BV30" s="187" t="s">
        <v>379</v>
      </c>
      <c r="BY30" s="0" t="n">
        <v>9.8</v>
      </c>
      <c r="BZ30" s="187" t="s">
        <v>379</v>
      </c>
      <c r="CA30" s="0" t="n">
        <v>11.2</v>
      </c>
      <c r="CB30" s="187" t="s">
        <v>379</v>
      </c>
      <c r="CE30" s="0" t="n">
        <v>11.7</v>
      </c>
      <c r="CF30" s="187" t="s">
        <v>379</v>
      </c>
      <c r="CG30" s="0" t="n">
        <v>7.5</v>
      </c>
      <c r="CH30" s="187" t="s">
        <v>379</v>
      </c>
      <c r="CI30" s="0" t="n">
        <v>6.2</v>
      </c>
      <c r="CJ30" s="187" t="s">
        <v>379</v>
      </c>
      <c r="CK30" s="0" t="n">
        <v>5.4</v>
      </c>
      <c r="CL30" s="187" t="s">
        <v>379</v>
      </c>
      <c r="CM30" s="0" t="n">
        <v>3.3</v>
      </c>
      <c r="CN30" s="187" t="s">
        <v>379</v>
      </c>
      <c r="CO30" s="0" t="n">
        <v>11</v>
      </c>
      <c r="CP30" s="187" t="s">
        <v>379</v>
      </c>
    </row>
    <row r="31" customFormat="false" ht="14.25" hidden="false" customHeight="false" outlineLevel="0" collapsed="false">
      <c r="M31" s="0" t="n">
        <v>15.8</v>
      </c>
      <c r="N31" s="187" t="s">
        <v>380</v>
      </c>
      <c r="BA31" s="0" t="n">
        <v>2.4</v>
      </c>
      <c r="BB31" s="187" t="s">
        <v>380</v>
      </c>
      <c r="BC31" s="0" t="n">
        <v>2.7</v>
      </c>
      <c r="BD31" s="187" t="s">
        <v>380</v>
      </c>
      <c r="BE31" s="0" t="n">
        <v>4</v>
      </c>
      <c r="BF31" s="187" t="s">
        <v>380</v>
      </c>
      <c r="BG31" s="0" t="n">
        <v>13.2</v>
      </c>
      <c r="BH31" s="187" t="s">
        <v>380</v>
      </c>
      <c r="BI31" s="0" t="n">
        <v>13.3</v>
      </c>
      <c r="BJ31" s="187" t="s">
        <v>380</v>
      </c>
      <c r="BK31" s="0" t="n">
        <v>2.4</v>
      </c>
      <c r="BL31" s="187" t="s">
        <v>380</v>
      </c>
      <c r="BM31" s="0" t="n">
        <v>-0.7</v>
      </c>
      <c r="BN31" s="187" t="s">
        <v>380</v>
      </c>
      <c r="BO31" s="0" t="n">
        <v>13</v>
      </c>
      <c r="BP31" s="187" t="s">
        <v>380</v>
      </c>
      <c r="BQ31" s="0" t="n">
        <v>15.5</v>
      </c>
      <c r="BR31" s="187" t="s">
        <v>380</v>
      </c>
      <c r="BS31" s="0" t="n">
        <v>8.1</v>
      </c>
      <c r="BT31" s="187" t="s">
        <v>380</v>
      </c>
      <c r="BU31" s="0" t="n">
        <v>7</v>
      </c>
      <c r="BV31" s="187" t="s">
        <v>380</v>
      </c>
      <c r="BY31" s="0" t="n">
        <v>9.8</v>
      </c>
      <c r="BZ31" s="187" t="s">
        <v>380</v>
      </c>
      <c r="CA31" s="0" t="n">
        <v>11.2</v>
      </c>
      <c r="CB31" s="187" t="s">
        <v>380</v>
      </c>
      <c r="CE31" s="0" t="n">
        <v>11.6</v>
      </c>
      <c r="CF31" s="187" t="s">
        <v>380</v>
      </c>
      <c r="CG31" s="0" t="n">
        <v>7.5</v>
      </c>
      <c r="CH31" s="187" t="s">
        <v>380</v>
      </c>
      <c r="CI31" s="0" t="n">
        <v>6.1</v>
      </c>
      <c r="CJ31" s="187" t="s">
        <v>380</v>
      </c>
      <c r="CK31" s="0" t="n">
        <v>5.3</v>
      </c>
      <c r="CL31" s="187" t="s">
        <v>380</v>
      </c>
      <c r="CM31" s="0" t="n">
        <v>3.2</v>
      </c>
      <c r="CN31" s="187" t="s">
        <v>380</v>
      </c>
      <c r="CO31" s="0" t="n">
        <v>10.7</v>
      </c>
      <c r="CP31" s="187" t="s">
        <v>380</v>
      </c>
    </row>
    <row r="32" customFormat="false" ht="14.25" hidden="false" customHeight="false" outlineLevel="0" collapsed="false">
      <c r="M32" s="0" t="n">
        <v>15.8</v>
      </c>
      <c r="N32" s="187" t="s">
        <v>381</v>
      </c>
      <c r="BA32" s="0" t="n">
        <v>2.3</v>
      </c>
      <c r="BB32" s="187" t="s">
        <v>381</v>
      </c>
      <c r="BC32" s="0" t="n">
        <v>2.6</v>
      </c>
      <c r="BD32" s="187" t="s">
        <v>381</v>
      </c>
      <c r="BE32" s="0" t="n">
        <v>4</v>
      </c>
      <c r="BF32" s="187" t="s">
        <v>381</v>
      </c>
      <c r="BG32" s="0" t="n">
        <v>13.2</v>
      </c>
      <c r="BH32" s="187" t="s">
        <v>381</v>
      </c>
      <c r="BI32" s="0" t="n">
        <v>13.3</v>
      </c>
      <c r="BJ32" s="187" t="s">
        <v>381</v>
      </c>
      <c r="BK32" s="0" t="n">
        <v>2.4</v>
      </c>
      <c r="BL32" s="187" t="s">
        <v>381</v>
      </c>
      <c r="BM32" s="0" t="n">
        <v>-0.9</v>
      </c>
      <c r="BN32" s="187" t="s">
        <v>381</v>
      </c>
      <c r="BO32" s="0" t="n">
        <v>13</v>
      </c>
      <c r="BP32" s="187" t="s">
        <v>381</v>
      </c>
      <c r="BQ32" s="0" t="n">
        <v>15.5</v>
      </c>
      <c r="BR32" s="187" t="s">
        <v>381</v>
      </c>
      <c r="BS32" s="0" t="n">
        <v>8</v>
      </c>
      <c r="BT32" s="187" t="s">
        <v>381</v>
      </c>
      <c r="BU32" s="0" t="n">
        <v>7</v>
      </c>
      <c r="BV32" s="187" t="s">
        <v>381</v>
      </c>
      <c r="BY32" s="0" t="n">
        <v>9.7</v>
      </c>
      <c r="BZ32" s="187" t="s">
        <v>381</v>
      </c>
      <c r="CA32" s="0" t="n">
        <v>11.1</v>
      </c>
      <c r="CB32" s="187" t="s">
        <v>381</v>
      </c>
      <c r="CE32" s="0" t="n">
        <v>11.6</v>
      </c>
      <c r="CF32" s="187" t="s">
        <v>381</v>
      </c>
      <c r="CG32" s="0" t="n">
        <v>7.5</v>
      </c>
      <c r="CH32" s="187" t="s">
        <v>381</v>
      </c>
      <c r="CI32" s="0" t="n">
        <v>6.1</v>
      </c>
      <c r="CJ32" s="187" t="s">
        <v>381</v>
      </c>
      <c r="CK32" s="0" t="n">
        <v>5.2</v>
      </c>
      <c r="CL32" s="187" t="s">
        <v>381</v>
      </c>
      <c r="CM32" s="0" t="n">
        <v>3</v>
      </c>
      <c r="CN32" s="187" t="s">
        <v>381</v>
      </c>
      <c r="CO32" s="0" t="n">
        <v>10.5</v>
      </c>
      <c r="CP32" s="187" t="s">
        <v>381</v>
      </c>
    </row>
    <row r="33" customFormat="false" ht="14.25" hidden="false" customHeight="false" outlineLevel="0" collapsed="false">
      <c r="M33" s="0" t="n">
        <v>15.8</v>
      </c>
      <c r="N33" s="187" t="s">
        <v>382</v>
      </c>
      <c r="BA33" s="0" t="n">
        <v>2.3</v>
      </c>
      <c r="BB33" s="187" t="s">
        <v>382</v>
      </c>
      <c r="BC33" s="0" t="n">
        <v>2.6</v>
      </c>
      <c r="BD33" s="187" t="s">
        <v>382</v>
      </c>
      <c r="BE33" s="0" t="n">
        <v>4</v>
      </c>
      <c r="BF33" s="187" t="s">
        <v>382</v>
      </c>
      <c r="BG33" s="0" t="n">
        <v>13.1</v>
      </c>
      <c r="BH33" s="187" t="s">
        <v>382</v>
      </c>
      <c r="BI33" s="0" t="n">
        <v>13.3</v>
      </c>
      <c r="BJ33" s="187" t="s">
        <v>382</v>
      </c>
      <c r="BK33" s="0" t="n">
        <v>2.3</v>
      </c>
      <c r="BL33" s="187" t="s">
        <v>382</v>
      </c>
      <c r="BM33" s="0" t="n">
        <v>-1.1</v>
      </c>
      <c r="BN33" s="187" t="s">
        <v>382</v>
      </c>
      <c r="BO33" s="0" t="n">
        <v>13</v>
      </c>
      <c r="BP33" s="187" t="s">
        <v>382</v>
      </c>
      <c r="BQ33" s="0" t="n">
        <v>15.5</v>
      </c>
      <c r="BR33" s="187" t="s">
        <v>382</v>
      </c>
      <c r="BS33" s="0" t="n">
        <v>8</v>
      </c>
      <c r="BT33" s="187" t="s">
        <v>382</v>
      </c>
      <c r="BU33" s="0" t="n">
        <v>7</v>
      </c>
      <c r="BV33" s="187" t="s">
        <v>382</v>
      </c>
      <c r="BY33" s="0" t="n">
        <v>9.6</v>
      </c>
      <c r="BZ33" s="187" t="s">
        <v>382</v>
      </c>
      <c r="CA33" s="0" t="n">
        <v>11</v>
      </c>
      <c r="CB33" s="187" t="s">
        <v>382</v>
      </c>
      <c r="CE33" s="0" t="n">
        <v>11.6</v>
      </c>
      <c r="CF33" s="187" t="s">
        <v>382</v>
      </c>
      <c r="CG33" s="0" t="n">
        <v>7.5</v>
      </c>
      <c r="CH33" s="187" t="s">
        <v>382</v>
      </c>
      <c r="CI33" s="0" t="n">
        <v>6.1</v>
      </c>
      <c r="CJ33" s="187" t="s">
        <v>382</v>
      </c>
      <c r="CK33" s="0" t="n">
        <v>5.1</v>
      </c>
      <c r="CL33" s="187" t="s">
        <v>382</v>
      </c>
      <c r="CM33" s="0" t="n">
        <v>2.9</v>
      </c>
      <c r="CN33" s="187" t="s">
        <v>382</v>
      </c>
      <c r="CO33" s="0" t="n">
        <v>10.3</v>
      </c>
      <c r="CP33" s="187" t="s">
        <v>382</v>
      </c>
    </row>
    <row r="34" customFormat="false" ht="14.25" hidden="false" customHeight="false" outlineLevel="0" collapsed="false">
      <c r="M34" s="0" t="n">
        <v>15.8</v>
      </c>
      <c r="N34" s="187" t="s">
        <v>383</v>
      </c>
      <c r="BA34" s="0" t="n">
        <v>2.3</v>
      </c>
      <c r="BB34" s="187" t="s">
        <v>383</v>
      </c>
      <c r="BC34" s="0" t="n">
        <v>2.6</v>
      </c>
      <c r="BD34" s="187" t="s">
        <v>383</v>
      </c>
      <c r="BE34" s="0" t="n">
        <v>3.9</v>
      </c>
      <c r="BF34" s="187" t="s">
        <v>383</v>
      </c>
      <c r="BG34" s="0" t="n">
        <v>13.1</v>
      </c>
      <c r="BH34" s="187" t="s">
        <v>383</v>
      </c>
      <c r="BI34" s="0" t="n">
        <v>13.2</v>
      </c>
      <c r="BJ34" s="187" t="s">
        <v>383</v>
      </c>
      <c r="BK34" s="0" t="n">
        <v>2.3</v>
      </c>
      <c r="BL34" s="187" t="s">
        <v>383</v>
      </c>
      <c r="BM34" s="0" t="n">
        <v>-1.2</v>
      </c>
      <c r="BN34" s="187" t="s">
        <v>383</v>
      </c>
      <c r="BO34" s="0" t="n">
        <v>13</v>
      </c>
      <c r="BP34" s="187" t="s">
        <v>383</v>
      </c>
      <c r="BQ34" s="0" t="n">
        <v>15.5</v>
      </c>
      <c r="BR34" s="187" t="s">
        <v>383</v>
      </c>
      <c r="BS34" s="0" t="n">
        <v>8</v>
      </c>
      <c r="BT34" s="187" t="s">
        <v>383</v>
      </c>
      <c r="BU34" s="0" t="n">
        <v>6.9</v>
      </c>
      <c r="BV34" s="187" t="s">
        <v>383</v>
      </c>
      <c r="BY34" s="0" t="n">
        <v>9.6</v>
      </c>
      <c r="BZ34" s="187" t="s">
        <v>383</v>
      </c>
      <c r="CA34" s="0" t="n">
        <v>11</v>
      </c>
      <c r="CB34" s="187" t="s">
        <v>383</v>
      </c>
      <c r="CE34" s="0" t="n">
        <v>11.6</v>
      </c>
      <c r="CF34" s="187" t="s">
        <v>383</v>
      </c>
      <c r="CG34" s="0" t="n">
        <v>7.4</v>
      </c>
      <c r="CH34" s="187" t="s">
        <v>383</v>
      </c>
      <c r="CI34" s="0" t="n">
        <v>6</v>
      </c>
      <c r="CJ34" s="187" t="s">
        <v>383</v>
      </c>
      <c r="CK34" s="0" t="n">
        <v>5</v>
      </c>
      <c r="CL34" s="187" t="s">
        <v>383</v>
      </c>
      <c r="CM34" s="0" t="n">
        <v>2.8</v>
      </c>
      <c r="CN34" s="187" t="s">
        <v>383</v>
      </c>
      <c r="CO34" s="0" t="n">
        <v>10.1</v>
      </c>
      <c r="CP34" s="187" t="s">
        <v>383</v>
      </c>
    </row>
    <row r="35" customFormat="false" ht="14.25" hidden="false" customHeight="false" outlineLevel="0" collapsed="false">
      <c r="M35" s="0" t="n">
        <v>15.8</v>
      </c>
      <c r="N35" s="187" t="s">
        <v>384</v>
      </c>
      <c r="BA35" s="0" t="n">
        <v>2.3</v>
      </c>
      <c r="BB35" s="187" t="s">
        <v>384</v>
      </c>
      <c r="BC35" s="0" t="n">
        <v>2.6</v>
      </c>
      <c r="BD35" s="187" t="s">
        <v>384</v>
      </c>
      <c r="BE35" s="0" t="n">
        <v>3.9</v>
      </c>
      <c r="BF35" s="187" t="s">
        <v>384</v>
      </c>
      <c r="BG35" s="0" t="n">
        <v>13.1</v>
      </c>
      <c r="BH35" s="187" t="s">
        <v>384</v>
      </c>
      <c r="BI35" s="0" t="n">
        <v>13.2</v>
      </c>
      <c r="BJ35" s="187" t="s">
        <v>384</v>
      </c>
      <c r="BK35" s="0" t="n">
        <v>2.2</v>
      </c>
      <c r="BL35" s="187" t="s">
        <v>384</v>
      </c>
      <c r="BM35" s="0" t="n">
        <v>-1.3</v>
      </c>
      <c r="BN35" s="187" t="s">
        <v>384</v>
      </c>
      <c r="BO35" s="0" t="n">
        <v>13</v>
      </c>
      <c r="BP35" s="187" t="s">
        <v>384</v>
      </c>
      <c r="BQ35" s="0" t="n">
        <v>15.6</v>
      </c>
      <c r="BR35" s="187" t="s">
        <v>384</v>
      </c>
      <c r="BS35" s="0" t="n">
        <v>8</v>
      </c>
      <c r="BT35" s="187" t="s">
        <v>384</v>
      </c>
      <c r="BU35" s="0" t="n">
        <v>6.9</v>
      </c>
      <c r="BV35" s="187" t="s">
        <v>384</v>
      </c>
      <c r="BY35" s="0" t="n">
        <v>9.5</v>
      </c>
      <c r="BZ35" s="187" t="s">
        <v>384</v>
      </c>
      <c r="CA35" s="0" t="n">
        <v>10.9</v>
      </c>
      <c r="CB35" s="187" t="s">
        <v>384</v>
      </c>
      <c r="CE35" s="0" t="n">
        <v>11.5</v>
      </c>
      <c r="CF35" s="187" t="s">
        <v>384</v>
      </c>
      <c r="CG35" s="0" t="n">
        <v>7.4</v>
      </c>
      <c r="CH35" s="187" t="s">
        <v>384</v>
      </c>
      <c r="CI35" s="0" t="n">
        <v>6</v>
      </c>
      <c r="CJ35" s="187" t="s">
        <v>384</v>
      </c>
      <c r="CK35" s="0" t="n">
        <v>5</v>
      </c>
      <c r="CL35" s="187" t="s">
        <v>384</v>
      </c>
      <c r="CM35" s="0" t="n">
        <v>2.7</v>
      </c>
      <c r="CN35" s="187" t="s">
        <v>384</v>
      </c>
      <c r="CO35" s="0" t="n">
        <v>10</v>
      </c>
      <c r="CP35" s="187" t="s">
        <v>384</v>
      </c>
    </row>
    <row r="36" customFormat="false" ht="14.25" hidden="false" customHeight="false" outlineLevel="0" collapsed="false">
      <c r="M36" s="0" t="n">
        <v>15.8</v>
      </c>
      <c r="N36" s="187" t="s">
        <v>385</v>
      </c>
      <c r="BA36" s="0" t="n">
        <v>2.3</v>
      </c>
      <c r="BB36" s="187" t="s">
        <v>385</v>
      </c>
      <c r="BC36" s="0" t="n">
        <v>2.6</v>
      </c>
      <c r="BD36" s="187" t="s">
        <v>385</v>
      </c>
      <c r="BE36" s="0" t="n">
        <v>3.9</v>
      </c>
      <c r="BF36" s="187" t="s">
        <v>385</v>
      </c>
      <c r="BG36" s="0" t="n">
        <v>13.1</v>
      </c>
      <c r="BH36" s="187" t="s">
        <v>385</v>
      </c>
      <c r="BI36" s="0" t="n">
        <v>13.2</v>
      </c>
      <c r="BJ36" s="187" t="s">
        <v>385</v>
      </c>
      <c r="BK36" s="0" t="n">
        <v>2.2</v>
      </c>
      <c r="BL36" s="187" t="s">
        <v>385</v>
      </c>
      <c r="BM36" s="0" t="n">
        <v>-1.5</v>
      </c>
      <c r="BN36" s="187" t="s">
        <v>385</v>
      </c>
      <c r="BO36" s="0" t="n">
        <v>13</v>
      </c>
      <c r="BP36" s="187" t="s">
        <v>385</v>
      </c>
      <c r="BQ36" s="0" t="n">
        <v>15.6</v>
      </c>
      <c r="BR36" s="187" t="s">
        <v>385</v>
      </c>
      <c r="BS36" s="0" t="n">
        <v>8</v>
      </c>
      <c r="BT36" s="187" t="s">
        <v>385</v>
      </c>
      <c r="BU36" s="0" t="n">
        <v>6.9</v>
      </c>
      <c r="BV36" s="187" t="s">
        <v>385</v>
      </c>
      <c r="BY36" s="0" t="n">
        <v>9.5</v>
      </c>
      <c r="BZ36" s="187" t="s">
        <v>385</v>
      </c>
      <c r="CA36" s="0" t="n">
        <v>10.9</v>
      </c>
      <c r="CB36" s="187" t="s">
        <v>385</v>
      </c>
      <c r="CE36" s="0" t="n">
        <v>11.5</v>
      </c>
      <c r="CF36" s="187" t="s">
        <v>385</v>
      </c>
      <c r="CG36" s="0" t="n">
        <v>7.4</v>
      </c>
      <c r="CH36" s="187" t="s">
        <v>385</v>
      </c>
      <c r="CI36" s="0" t="n">
        <v>6</v>
      </c>
      <c r="CJ36" s="187" t="s">
        <v>385</v>
      </c>
      <c r="CK36" s="0" t="n">
        <v>4.9</v>
      </c>
      <c r="CL36" s="187" t="s">
        <v>385</v>
      </c>
      <c r="CM36" s="0" t="n">
        <v>2.7</v>
      </c>
      <c r="CN36" s="187" t="s">
        <v>385</v>
      </c>
      <c r="CO36" s="0" t="n">
        <v>9.9</v>
      </c>
      <c r="CP36" s="187" t="s">
        <v>385</v>
      </c>
    </row>
    <row r="37" customFormat="false" ht="14.25" hidden="false" customHeight="false" outlineLevel="0" collapsed="false">
      <c r="M37" s="0" t="n">
        <v>15.8</v>
      </c>
      <c r="N37" s="187" t="s">
        <v>386</v>
      </c>
      <c r="BA37" s="0" t="n">
        <v>2.2</v>
      </c>
      <c r="BB37" s="187" t="s">
        <v>386</v>
      </c>
      <c r="BC37" s="0" t="n">
        <v>2.6</v>
      </c>
      <c r="BD37" s="187" t="s">
        <v>386</v>
      </c>
      <c r="BE37" s="0" t="n">
        <v>3.9</v>
      </c>
      <c r="BF37" s="187" t="s">
        <v>386</v>
      </c>
      <c r="BG37" s="0" t="n">
        <v>13</v>
      </c>
      <c r="BH37" s="187" t="s">
        <v>386</v>
      </c>
      <c r="BI37" s="0" t="n">
        <v>13.2</v>
      </c>
      <c r="BJ37" s="187" t="s">
        <v>386</v>
      </c>
      <c r="BK37" s="0" t="n">
        <v>2.1</v>
      </c>
      <c r="BL37" s="187" t="s">
        <v>386</v>
      </c>
      <c r="BM37" s="0" t="n">
        <v>-1.6</v>
      </c>
      <c r="BN37" s="187" t="s">
        <v>386</v>
      </c>
      <c r="BO37" s="0" t="n">
        <v>13</v>
      </c>
      <c r="BP37" s="187" t="s">
        <v>386</v>
      </c>
      <c r="BQ37" s="0" t="n">
        <v>15.6</v>
      </c>
      <c r="BR37" s="187" t="s">
        <v>386</v>
      </c>
      <c r="BS37" s="0" t="n">
        <v>7.9</v>
      </c>
      <c r="BT37" s="187" t="s">
        <v>386</v>
      </c>
      <c r="BU37" s="0" t="n">
        <v>6.9</v>
      </c>
      <c r="BV37" s="187" t="s">
        <v>386</v>
      </c>
      <c r="BY37" s="0" t="n">
        <v>9.5</v>
      </c>
      <c r="BZ37" s="187" t="s">
        <v>386</v>
      </c>
      <c r="CA37" s="0" t="n">
        <v>10.8</v>
      </c>
      <c r="CB37" s="187" t="s">
        <v>386</v>
      </c>
      <c r="CE37" s="0" t="n">
        <v>11.4</v>
      </c>
      <c r="CF37" s="187" t="s">
        <v>386</v>
      </c>
      <c r="CG37" s="0" t="n">
        <v>7.3</v>
      </c>
      <c r="CH37" s="187" t="s">
        <v>386</v>
      </c>
      <c r="CI37" s="0" t="n">
        <v>6</v>
      </c>
      <c r="CJ37" s="187" t="s">
        <v>386</v>
      </c>
      <c r="CK37" s="0" t="n">
        <v>4.9</v>
      </c>
      <c r="CL37" s="187" t="s">
        <v>386</v>
      </c>
      <c r="CM37" s="0" t="n">
        <v>2.6</v>
      </c>
      <c r="CN37" s="187" t="s">
        <v>386</v>
      </c>
      <c r="CO37" s="0" t="n">
        <v>9.8</v>
      </c>
      <c r="CP37" s="187" t="s">
        <v>386</v>
      </c>
    </row>
    <row r="38" customFormat="false" ht="14.25" hidden="false" customHeight="false" outlineLevel="0" collapsed="false">
      <c r="M38" s="0" t="n">
        <v>15.8</v>
      </c>
      <c r="N38" s="187" t="s">
        <v>387</v>
      </c>
      <c r="BA38" s="0" t="n">
        <v>2.2</v>
      </c>
      <c r="BB38" s="187" t="s">
        <v>387</v>
      </c>
      <c r="BC38" s="0" t="n">
        <v>2.6</v>
      </c>
      <c r="BD38" s="187" t="s">
        <v>387</v>
      </c>
      <c r="BE38" s="0" t="n">
        <v>3.9</v>
      </c>
      <c r="BF38" s="187" t="s">
        <v>387</v>
      </c>
      <c r="BG38" s="0" t="n">
        <v>13</v>
      </c>
      <c r="BH38" s="187" t="s">
        <v>387</v>
      </c>
      <c r="BI38" s="0" t="n">
        <v>13.1</v>
      </c>
      <c r="BJ38" s="187" t="s">
        <v>387</v>
      </c>
      <c r="BK38" s="0" t="n">
        <v>2.1</v>
      </c>
      <c r="BL38" s="187" t="s">
        <v>387</v>
      </c>
      <c r="BM38" s="0" t="n">
        <v>-1.7</v>
      </c>
      <c r="BN38" s="187" t="s">
        <v>387</v>
      </c>
      <c r="BO38" s="0" t="n">
        <v>13</v>
      </c>
      <c r="BP38" s="187" t="s">
        <v>387</v>
      </c>
      <c r="BQ38" s="0" t="n">
        <v>15.6</v>
      </c>
      <c r="BR38" s="187" t="s">
        <v>387</v>
      </c>
      <c r="BS38" s="0" t="n">
        <v>8</v>
      </c>
      <c r="BT38" s="187" t="s">
        <v>387</v>
      </c>
      <c r="BU38" s="0" t="n">
        <v>6.9</v>
      </c>
      <c r="BV38" s="187" t="s">
        <v>387</v>
      </c>
      <c r="BY38" s="0" t="n">
        <v>9.5</v>
      </c>
      <c r="BZ38" s="187" t="s">
        <v>387</v>
      </c>
      <c r="CA38" s="0" t="n">
        <v>10.8</v>
      </c>
      <c r="CB38" s="187" t="s">
        <v>387</v>
      </c>
      <c r="CE38" s="0" t="n">
        <v>11.3</v>
      </c>
      <c r="CF38" s="187" t="s">
        <v>387</v>
      </c>
      <c r="CG38" s="0" t="n">
        <v>7.3</v>
      </c>
      <c r="CH38" s="187" t="s">
        <v>387</v>
      </c>
      <c r="CI38" s="0" t="n">
        <v>6</v>
      </c>
      <c r="CJ38" s="187" t="s">
        <v>387</v>
      </c>
      <c r="CK38" s="0" t="n">
        <v>4.9</v>
      </c>
      <c r="CL38" s="187" t="s">
        <v>387</v>
      </c>
      <c r="CM38" s="0" t="n">
        <v>2.6</v>
      </c>
      <c r="CN38" s="187" t="s">
        <v>387</v>
      </c>
      <c r="CO38" s="0" t="n">
        <v>9.7</v>
      </c>
      <c r="CP38" s="187" t="s">
        <v>387</v>
      </c>
    </row>
    <row r="39" customFormat="false" ht="14.25" hidden="false" customHeight="false" outlineLevel="0" collapsed="false">
      <c r="M39" s="0" t="n">
        <v>15.8</v>
      </c>
      <c r="N39" s="187" t="s">
        <v>388</v>
      </c>
      <c r="BA39" s="0" t="n">
        <v>2.2</v>
      </c>
      <c r="BB39" s="187" t="s">
        <v>388</v>
      </c>
      <c r="BC39" s="0" t="n">
        <v>2.6</v>
      </c>
      <c r="BD39" s="187" t="s">
        <v>388</v>
      </c>
      <c r="BE39" s="0" t="n">
        <v>3.9</v>
      </c>
      <c r="BF39" s="187" t="s">
        <v>388</v>
      </c>
      <c r="BG39" s="0" t="n">
        <v>13</v>
      </c>
      <c r="BH39" s="187" t="s">
        <v>388</v>
      </c>
      <c r="BI39" s="0" t="n">
        <v>13.1</v>
      </c>
      <c r="BJ39" s="187" t="s">
        <v>388</v>
      </c>
      <c r="BK39" s="0" t="n">
        <v>2.1</v>
      </c>
      <c r="BL39" s="187" t="s">
        <v>388</v>
      </c>
      <c r="BM39" s="0" t="n">
        <v>-1.8</v>
      </c>
      <c r="BN39" s="187" t="s">
        <v>388</v>
      </c>
      <c r="BO39" s="0" t="n">
        <v>13</v>
      </c>
      <c r="BP39" s="187" t="s">
        <v>388</v>
      </c>
      <c r="BQ39" s="0" t="n">
        <v>15.6</v>
      </c>
      <c r="BR39" s="187" t="s">
        <v>388</v>
      </c>
      <c r="BS39" s="0" t="n">
        <v>8</v>
      </c>
      <c r="BT39" s="187" t="s">
        <v>388</v>
      </c>
      <c r="BU39" s="0" t="n">
        <v>6.8</v>
      </c>
      <c r="BV39" s="187" t="s">
        <v>388</v>
      </c>
      <c r="BY39" s="0" t="n">
        <v>9.4</v>
      </c>
      <c r="BZ39" s="187" t="s">
        <v>388</v>
      </c>
      <c r="CA39" s="0" t="n">
        <v>10.8</v>
      </c>
      <c r="CB39" s="187" t="s">
        <v>388</v>
      </c>
      <c r="CE39" s="0" t="n">
        <v>11.3</v>
      </c>
      <c r="CF39" s="187" t="s">
        <v>388</v>
      </c>
      <c r="CG39" s="0" t="n">
        <v>7.2</v>
      </c>
      <c r="CH39" s="187" t="s">
        <v>388</v>
      </c>
      <c r="CI39" s="0" t="n">
        <v>5.9</v>
      </c>
      <c r="CJ39" s="187" t="s">
        <v>388</v>
      </c>
      <c r="CK39" s="0" t="n">
        <v>4.9</v>
      </c>
      <c r="CL39" s="187" t="s">
        <v>388</v>
      </c>
      <c r="CM39" s="0" t="n">
        <v>2.6</v>
      </c>
      <c r="CN39" s="187" t="s">
        <v>388</v>
      </c>
      <c r="CO39" s="0" t="n">
        <v>9.7</v>
      </c>
      <c r="CP39" s="187" t="s">
        <v>388</v>
      </c>
    </row>
    <row r="40" customFormat="false" ht="14.25" hidden="false" customHeight="false" outlineLevel="0" collapsed="false">
      <c r="M40" s="0" t="n">
        <v>15.8</v>
      </c>
      <c r="N40" s="187" t="s">
        <v>389</v>
      </c>
      <c r="BA40" s="0" t="n">
        <v>2.2</v>
      </c>
      <c r="BB40" s="187" t="s">
        <v>389</v>
      </c>
      <c r="BC40" s="0" t="n">
        <v>2.6</v>
      </c>
      <c r="BD40" s="187" t="s">
        <v>389</v>
      </c>
      <c r="BE40" s="0" t="n">
        <v>3.9</v>
      </c>
      <c r="BF40" s="187" t="s">
        <v>389</v>
      </c>
      <c r="BG40" s="0" t="n">
        <v>13</v>
      </c>
      <c r="BH40" s="187" t="s">
        <v>389</v>
      </c>
      <c r="BI40" s="0" t="n">
        <v>13.1</v>
      </c>
      <c r="BJ40" s="187" t="s">
        <v>389</v>
      </c>
      <c r="BK40" s="0" t="n">
        <v>2.1</v>
      </c>
      <c r="BL40" s="187" t="s">
        <v>389</v>
      </c>
      <c r="BM40" s="0" t="n">
        <v>-1.8</v>
      </c>
      <c r="BN40" s="187" t="s">
        <v>389</v>
      </c>
      <c r="BO40" s="0" t="n">
        <v>13</v>
      </c>
      <c r="BP40" s="187" t="s">
        <v>389</v>
      </c>
      <c r="BQ40" s="0" t="n">
        <v>15.6</v>
      </c>
      <c r="BR40" s="187" t="s">
        <v>389</v>
      </c>
      <c r="BS40" s="0" t="n">
        <v>8</v>
      </c>
      <c r="BT40" s="187" t="s">
        <v>389</v>
      </c>
      <c r="BU40" s="0" t="n">
        <v>6.8</v>
      </c>
      <c r="BV40" s="187" t="s">
        <v>389</v>
      </c>
      <c r="BY40" s="0" t="n">
        <v>9.4</v>
      </c>
      <c r="BZ40" s="187" t="s">
        <v>389</v>
      </c>
      <c r="CA40" s="0" t="n">
        <v>10.7</v>
      </c>
      <c r="CB40" s="187" t="s">
        <v>389</v>
      </c>
      <c r="CE40" s="0" t="n">
        <v>11.2</v>
      </c>
      <c r="CF40" s="187" t="s">
        <v>389</v>
      </c>
      <c r="CG40" s="0" t="n">
        <v>7.1</v>
      </c>
      <c r="CH40" s="187" t="s">
        <v>389</v>
      </c>
      <c r="CI40" s="0" t="n">
        <v>5.9</v>
      </c>
      <c r="CJ40" s="187" t="s">
        <v>389</v>
      </c>
      <c r="CK40" s="0" t="n">
        <v>4.9</v>
      </c>
      <c r="CL40" s="187" t="s">
        <v>389</v>
      </c>
      <c r="CM40" s="0" t="n">
        <v>2.5</v>
      </c>
      <c r="CN40" s="187" t="s">
        <v>389</v>
      </c>
      <c r="CO40" s="0" t="n">
        <v>9.6</v>
      </c>
      <c r="CP40" s="187" t="s">
        <v>389</v>
      </c>
    </row>
    <row r="41" customFormat="false" ht="14.25" hidden="false" customHeight="false" outlineLevel="0" collapsed="false">
      <c r="M41" s="0" t="n">
        <v>15.8</v>
      </c>
      <c r="N41" s="187" t="s">
        <v>390</v>
      </c>
      <c r="BA41" s="0" t="n">
        <v>2.2</v>
      </c>
      <c r="BB41" s="187" t="s">
        <v>390</v>
      </c>
      <c r="BC41" s="0" t="n">
        <v>2.5</v>
      </c>
      <c r="BD41" s="187" t="s">
        <v>390</v>
      </c>
      <c r="BE41" s="0" t="n">
        <v>3.9</v>
      </c>
      <c r="BF41" s="187" t="s">
        <v>390</v>
      </c>
      <c r="BG41" s="0" t="n">
        <v>13</v>
      </c>
      <c r="BH41" s="187" t="s">
        <v>390</v>
      </c>
      <c r="BI41" s="0" t="n">
        <v>13.1</v>
      </c>
      <c r="BJ41" s="187" t="s">
        <v>390</v>
      </c>
      <c r="BK41" s="0" t="n">
        <v>2</v>
      </c>
      <c r="BL41" s="187" t="s">
        <v>390</v>
      </c>
      <c r="BM41" s="0" t="n">
        <v>-1.9</v>
      </c>
      <c r="BN41" s="187" t="s">
        <v>390</v>
      </c>
      <c r="BO41" s="0" t="n">
        <v>13</v>
      </c>
      <c r="BP41" s="187" t="s">
        <v>390</v>
      </c>
      <c r="BQ41" s="0" t="n">
        <v>15.6</v>
      </c>
      <c r="BR41" s="187" t="s">
        <v>390</v>
      </c>
      <c r="BS41" s="0" t="n">
        <v>8</v>
      </c>
      <c r="BT41" s="187" t="s">
        <v>390</v>
      </c>
      <c r="BU41" s="0" t="n">
        <v>6.8</v>
      </c>
      <c r="BV41" s="187" t="s">
        <v>390</v>
      </c>
      <c r="BY41" s="0" t="n">
        <v>9.4</v>
      </c>
      <c r="BZ41" s="187" t="s">
        <v>390</v>
      </c>
      <c r="CA41" s="0" t="n">
        <v>10.7</v>
      </c>
      <c r="CB41" s="187" t="s">
        <v>390</v>
      </c>
      <c r="CE41" s="0" t="n">
        <v>11.2</v>
      </c>
      <c r="CF41" s="187" t="s">
        <v>390</v>
      </c>
      <c r="CG41" s="0" t="n">
        <v>7.1</v>
      </c>
      <c r="CH41" s="187" t="s">
        <v>390</v>
      </c>
      <c r="CI41" s="0" t="n">
        <v>5.8</v>
      </c>
      <c r="CJ41" s="187" t="s">
        <v>390</v>
      </c>
      <c r="CK41" s="0" t="n">
        <v>4.9</v>
      </c>
      <c r="CL41" s="187" t="s">
        <v>390</v>
      </c>
      <c r="CM41" s="0" t="n">
        <v>2.5</v>
      </c>
      <c r="CN41" s="187" t="s">
        <v>390</v>
      </c>
      <c r="CO41" s="0" t="n">
        <v>9.6</v>
      </c>
      <c r="CP41" s="187" t="s">
        <v>390</v>
      </c>
    </row>
    <row r="42" customFormat="false" ht="14.25" hidden="false" customHeight="false" outlineLevel="0" collapsed="false">
      <c r="M42" s="0" t="n">
        <v>15.8</v>
      </c>
      <c r="N42" s="187" t="s">
        <v>391</v>
      </c>
      <c r="BA42" s="0" t="n">
        <v>2.2</v>
      </c>
      <c r="BB42" s="187" t="s">
        <v>391</v>
      </c>
      <c r="BC42" s="0" t="n">
        <v>2.5</v>
      </c>
      <c r="BD42" s="187" t="s">
        <v>391</v>
      </c>
      <c r="BE42" s="0" t="n">
        <v>3.9</v>
      </c>
      <c r="BF42" s="187" t="s">
        <v>391</v>
      </c>
      <c r="BG42" s="0" t="n">
        <v>12.9</v>
      </c>
      <c r="BH42" s="187" t="s">
        <v>391</v>
      </c>
      <c r="BI42" s="0" t="n">
        <v>13.1</v>
      </c>
      <c r="BJ42" s="187" t="s">
        <v>391</v>
      </c>
      <c r="BK42" s="0" t="n">
        <v>2</v>
      </c>
      <c r="BL42" s="187" t="s">
        <v>391</v>
      </c>
      <c r="BM42" s="0" t="n">
        <v>-2</v>
      </c>
      <c r="BN42" s="187" t="s">
        <v>391</v>
      </c>
      <c r="BO42" s="0" t="n">
        <v>13</v>
      </c>
      <c r="BP42" s="187" t="s">
        <v>391</v>
      </c>
      <c r="BQ42" s="0" t="n">
        <v>15.6</v>
      </c>
      <c r="BR42" s="187" t="s">
        <v>391</v>
      </c>
      <c r="BS42" s="0" t="n">
        <v>8</v>
      </c>
      <c r="BT42" s="187" t="s">
        <v>391</v>
      </c>
      <c r="BU42" s="0" t="n">
        <v>6.8</v>
      </c>
      <c r="BV42" s="187" t="s">
        <v>391</v>
      </c>
      <c r="BY42" s="0" t="n">
        <v>9.4</v>
      </c>
      <c r="BZ42" s="187" t="s">
        <v>391</v>
      </c>
      <c r="CA42" s="0" t="n">
        <v>10.7</v>
      </c>
      <c r="CB42" s="187" t="s">
        <v>391</v>
      </c>
      <c r="CE42" s="0" t="n">
        <v>11.1</v>
      </c>
      <c r="CF42" s="187" t="s">
        <v>391</v>
      </c>
      <c r="CG42" s="0" t="n">
        <v>7</v>
      </c>
      <c r="CH42" s="187" t="s">
        <v>391</v>
      </c>
      <c r="CI42" s="0" t="n">
        <v>5.7</v>
      </c>
      <c r="CJ42" s="187" t="s">
        <v>391</v>
      </c>
      <c r="CK42" s="0" t="n">
        <v>4.8</v>
      </c>
      <c r="CL42" s="187" t="s">
        <v>391</v>
      </c>
      <c r="CM42" s="0" t="n">
        <v>2.5</v>
      </c>
      <c r="CN42" s="187" t="s">
        <v>391</v>
      </c>
      <c r="CO42" s="0" t="n">
        <v>9.6</v>
      </c>
      <c r="CP42" s="187" t="s">
        <v>391</v>
      </c>
    </row>
    <row r="43" customFormat="false" ht="14.25" hidden="false" customHeight="false" outlineLevel="0" collapsed="false">
      <c r="M43" s="0" t="n">
        <v>15.8</v>
      </c>
      <c r="N43" s="187" t="s">
        <v>392</v>
      </c>
      <c r="BA43" s="0" t="n">
        <v>2.2</v>
      </c>
      <c r="BB43" s="187" t="s">
        <v>392</v>
      </c>
      <c r="BC43" s="0" t="n">
        <v>2.5</v>
      </c>
      <c r="BD43" s="187" t="s">
        <v>392</v>
      </c>
      <c r="BE43" s="0" t="n">
        <v>3.9</v>
      </c>
      <c r="BF43" s="187" t="s">
        <v>392</v>
      </c>
      <c r="BG43" s="0" t="n">
        <v>12.9</v>
      </c>
      <c r="BH43" s="187" t="s">
        <v>392</v>
      </c>
      <c r="BI43" s="0" t="n">
        <v>13</v>
      </c>
      <c r="BJ43" s="187" t="s">
        <v>392</v>
      </c>
      <c r="BK43" s="0" t="n">
        <v>2</v>
      </c>
      <c r="BL43" s="187" t="s">
        <v>392</v>
      </c>
      <c r="BM43" s="0" t="n">
        <v>-2.1</v>
      </c>
      <c r="BN43" s="187" t="s">
        <v>392</v>
      </c>
      <c r="BO43" s="0" t="n">
        <v>13</v>
      </c>
      <c r="BP43" s="187" t="s">
        <v>392</v>
      </c>
      <c r="BQ43" s="0" t="n">
        <v>15.6</v>
      </c>
      <c r="BR43" s="187" t="s">
        <v>392</v>
      </c>
      <c r="BS43" s="0" t="n">
        <v>8</v>
      </c>
      <c r="BT43" s="187" t="s">
        <v>392</v>
      </c>
      <c r="BU43" s="0" t="n">
        <v>6.8</v>
      </c>
      <c r="BV43" s="187" t="s">
        <v>392</v>
      </c>
      <c r="BY43" s="0" t="n">
        <v>9.4</v>
      </c>
      <c r="BZ43" s="187" t="s">
        <v>392</v>
      </c>
      <c r="CA43" s="0" t="n">
        <v>10.7</v>
      </c>
      <c r="CB43" s="187" t="s">
        <v>392</v>
      </c>
      <c r="CE43" s="0" t="n">
        <v>11.1</v>
      </c>
      <c r="CF43" s="187" t="s">
        <v>392</v>
      </c>
      <c r="CG43" s="0" t="n">
        <v>7</v>
      </c>
      <c r="CH43" s="187" t="s">
        <v>392</v>
      </c>
      <c r="CI43" s="0" t="n">
        <v>5.7</v>
      </c>
      <c r="CJ43" s="187" t="s">
        <v>392</v>
      </c>
      <c r="CK43" s="0" t="n">
        <v>4.8</v>
      </c>
      <c r="CL43" s="187" t="s">
        <v>392</v>
      </c>
      <c r="CM43" s="0" t="n">
        <v>2.5</v>
      </c>
      <c r="CN43" s="187" t="s">
        <v>392</v>
      </c>
      <c r="CO43" s="0" t="n">
        <v>9.6</v>
      </c>
      <c r="CP43" s="187" t="s">
        <v>392</v>
      </c>
    </row>
    <row r="44" customFormat="false" ht="14.25" hidden="false" customHeight="false" outlineLevel="0" collapsed="false">
      <c r="M44" s="0" t="n">
        <v>15.8</v>
      </c>
      <c r="N44" s="187" t="s">
        <v>393</v>
      </c>
      <c r="BA44" s="0" t="n">
        <v>2.2</v>
      </c>
      <c r="BB44" s="187" t="s">
        <v>393</v>
      </c>
      <c r="BC44" s="0" t="n">
        <v>2.5</v>
      </c>
      <c r="BD44" s="187" t="s">
        <v>393</v>
      </c>
      <c r="BE44" s="0" t="n">
        <v>3.9</v>
      </c>
      <c r="BF44" s="187" t="s">
        <v>393</v>
      </c>
      <c r="BG44" s="0" t="n">
        <v>12.9</v>
      </c>
      <c r="BH44" s="187" t="s">
        <v>393</v>
      </c>
      <c r="BI44" s="0" t="n">
        <v>13</v>
      </c>
      <c r="BJ44" s="187" t="s">
        <v>393</v>
      </c>
      <c r="BK44" s="0" t="n">
        <v>2</v>
      </c>
      <c r="BL44" s="187" t="s">
        <v>393</v>
      </c>
      <c r="BM44" s="0" t="n">
        <v>-2.1</v>
      </c>
      <c r="BN44" s="187" t="s">
        <v>393</v>
      </c>
      <c r="BO44" s="0" t="n">
        <v>13</v>
      </c>
      <c r="BP44" s="187" t="s">
        <v>393</v>
      </c>
      <c r="BQ44" s="0" t="n">
        <v>15.6</v>
      </c>
      <c r="BR44" s="187" t="s">
        <v>393</v>
      </c>
      <c r="BS44" s="0" t="n">
        <v>7.9</v>
      </c>
      <c r="BT44" s="187" t="s">
        <v>393</v>
      </c>
      <c r="BU44" s="0" t="n">
        <v>6.8</v>
      </c>
      <c r="BV44" s="187" t="s">
        <v>393</v>
      </c>
      <c r="BY44" s="0" t="n">
        <v>9.4</v>
      </c>
      <c r="BZ44" s="187" t="s">
        <v>393</v>
      </c>
      <c r="CA44" s="0" t="n">
        <v>10.6</v>
      </c>
      <c r="CB44" s="187" t="s">
        <v>393</v>
      </c>
      <c r="CE44" s="0" t="n">
        <v>11.1</v>
      </c>
      <c r="CF44" s="187" t="s">
        <v>393</v>
      </c>
      <c r="CG44" s="0" t="n">
        <v>6.9</v>
      </c>
      <c r="CH44" s="187" t="s">
        <v>393</v>
      </c>
      <c r="CI44" s="0" t="n">
        <v>5.6</v>
      </c>
      <c r="CJ44" s="187" t="s">
        <v>393</v>
      </c>
      <c r="CK44" s="0" t="n">
        <v>4.7</v>
      </c>
      <c r="CL44" s="187" t="s">
        <v>393</v>
      </c>
      <c r="CM44" s="0" t="n">
        <v>2.4</v>
      </c>
      <c r="CN44" s="187" t="s">
        <v>393</v>
      </c>
      <c r="CO44" s="0" t="n">
        <v>9.5</v>
      </c>
      <c r="CP44" s="187" t="s">
        <v>393</v>
      </c>
    </row>
    <row r="45" customFormat="false" ht="14.25" hidden="false" customHeight="false" outlineLevel="0" collapsed="false">
      <c r="M45" s="0" t="n">
        <v>15.8</v>
      </c>
      <c r="N45" s="187" t="s">
        <v>394</v>
      </c>
      <c r="BA45" s="0" t="n">
        <v>2.2</v>
      </c>
      <c r="BB45" s="187" t="s">
        <v>394</v>
      </c>
      <c r="BC45" s="0" t="n">
        <v>2.5</v>
      </c>
      <c r="BD45" s="187" t="s">
        <v>394</v>
      </c>
      <c r="BE45" s="0" t="n">
        <v>3.9</v>
      </c>
      <c r="BF45" s="187" t="s">
        <v>394</v>
      </c>
      <c r="BG45" s="0" t="n">
        <v>12.9</v>
      </c>
      <c r="BH45" s="187" t="s">
        <v>394</v>
      </c>
      <c r="BI45" s="0" t="n">
        <v>13</v>
      </c>
      <c r="BJ45" s="187" t="s">
        <v>394</v>
      </c>
      <c r="BK45" s="0" t="n">
        <v>2</v>
      </c>
      <c r="BL45" s="187" t="s">
        <v>394</v>
      </c>
      <c r="BM45" s="0" t="n">
        <v>-2.2</v>
      </c>
      <c r="BN45" s="187" t="s">
        <v>394</v>
      </c>
      <c r="BO45" s="0" t="n">
        <v>13</v>
      </c>
      <c r="BP45" s="187" t="s">
        <v>394</v>
      </c>
      <c r="BQ45" s="0" t="n">
        <v>15.6</v>
      </c>
      <c r="BR45" s="187" t="s">
        <v>394</v>
      </c>
      <c r="BS45" s="0" t="n">
        <v>7.9</v>
      </c>
      <c r="BT45" s="187" t="s">
        <v>394</v>
      </c>
      <c r="BU45" s="0" t="n">
        <v>6.8</v>
      </c>
      <c r="BV45" s="187" t="s">
        <v>394</v>
      </c>
      <c r="BY45" s="0" t="n">
        <v>9.4</v>
      </c>
      <c r="BZ45" s="187" t="s">
        <v>394</v>
      </c>
      <c r="CA45" s="0" t="n">
        <v>10.6</v>
      </c>
      <c r="CB45" s="187" t="s">
        <v>394</v>
      </c>
      <c r="CE45" s="0" t="n">
        <v>11</v>
      </c>
      <c r="CF45" s="187" t="s">
        <v>394</v>
      </c>
      <c r="CG45" s="0" t="n">
        <v>6.9</v>
      </c>
      <c r="CH45" s="187" t="s">
        <v>394</v>
      </c>
      <c r="CI45" s="0" t="n">
        <v>5.5</v>
      </c>
      <c r="CJ45" s="187" t="s">
        <v>394</v>
      </c>
      <c r="CK45" s="0" t="n">
        <v>4.7</v>
      </c>
      <c r="CL45" s="187" t="s">
        <v>394</v>
      </c>
      <c r="CM45" s="0" t="n">
        <v>2.4</v>
      </c>
      <c r="CN45" s="187" t="s">
        <v>394</v>
      </c>
      <c r="CO45" s="0" t="n">
        <v>9.5</v>
      </c>
      <c r="CP45" s="187" t="s">
        <v>394</v>
      </c>
    </row>
    <row r="46" customFormat="false" ht="14.25" hidden="false" customHeight="false" outlineLevel="0" collapsed="false">
      <c r="M46" s="0" t="n">
        <v>15.8</v>
      </c>
      <c r="N46" s="187" t="s">
        <v>395</v>
      </c>
      <c r="BA46" s="0" t="n">
        <v>2.2</v>
      </c>
      <c r="BB46" s="187" t="s">
        <v>395</v>
      </c>
      <c r="BC46" s="0" t="n">
        <v>2.5</v>
      </c>
      <c r="BD46" s="187" t="s">
        <v>395</v>
      </c>
      <c r="BE46" s="0" t="n">
        <v>3.9</v>
      </c>
      <c r="BF46" s="187" t="s">
        <v>395</v>
      </c>
      <c r="BG46" s="0" t="n">
        <v>12.9</v>
      </c>
      <c r="BH46" s="187" t="s">
        <v>395</v>
      </c>
      <c r="BI46" s="0" t="n">
        <v>13</v>
      </c>
      <c r="BJ46" s="187" t="s">
        <v>395</v>
      </c>
      <c r="BK46" s="0" t="n">
        <v>1.9</v>
      </c>
      <c r="BL46" s="187" t="s">
        <v>395</v>
      </c>
      <c r="BM46" s="0" t="n">
        <v>-2.2</v>
      </c>
      <c r="BN46" s="187" t="s">
        <v>395</v>
      </c>
      <c r="BO46" s="0" t="n">
        <v>13</v>
      </c>
      <c r="BP46" s="187" t="s">
        <v>395</v>
      </c>
      <c r="BQ46" s="0" t="n">
        <v>15.6</v>
      </c>
      <c r="BR46" s="187" t="s">
        <v>395</v>
      </c>
      <c r="BS46" s="0" t="n">
        <v>7.9</v>
      </c>
      <c r="BT46" s="187" t="s">
        <v>395</v>
      </c>
      <c r="BU46" s="0" t="n">
        <v>6.8</v>
      </c>
      <c r="BV46" s="187" t="s">
        <v>395</v>
      </c>
      <c r="BY46" s="0" t="n">
        <v>9.4</v>
      </c>
      <c r="BZ46" s="187" t="s">
        <v>395</v>
      </c>
      <c r="CA46" s="0" t="n">
        <v>10.6</v>
      </c>
      <c r="CB46" s="187" t="s">
        <v>395</v>
      </c>
      <c r="CE46" s="0" t="n">
        <v>11</v>
      </c>
      <c r="CF46" s="187" t="s">
        <v>395</v>
      </c>
      <c r="CG46" s="0" t="n">
        <v>6.9</v>
      </c>
      <c r="CH46" s="187" t="s">
        <v>395</v>
      </c>
      <c r="CI46" s="0" t="n">
        <v>5.5</v>
      </c>
      <c r="CJ46" s="187" t="s">
        <v>395</v>
      </c>
      <c r="CK46" s="0" t="n">
        <v>4.6</v>
      </c>
      <c r="CL46" s="187" t="s">
        <v>395</v>
      </c>
      <c r="CM46" s="0" t="n">
        <v>2.4</v>
      </c>
      <c r="CN46" s="187" t="s">
        <v>395</v>
      </c>
      <c r="CO46" s="0" t="n">
        <v>9.5</v>
      </c>
      <c r="CP46" s="187" t="s">
        <v>395</v>
      </c>
    </row>
    <row r="47" customFormat="false" ht="14.25" hidden="false" customHeight="false" outlineLevel="0" collapsed="false">
      <c r="M47" s="0" t="n">
        <v>15.8</v>
      </c>
      <c r="N47" s="187" t="s">
        <v>396</v>
      </c>
      <c r="BA47" s="0" t="n">
        <v>2.1</v>
      </c>
      <c r="BB47" s="187" t="s">
        <v>396</v>
      </c>
      <c r="BC47" s="0" t="n">
        <v>2.5</v>
      </c>
      <c r="BD47" s="187" t="s">
        <v>396</v>
      </c>
      <c r="BE47" s="0" t="n">
        <v>3.9</v>
      </c>
      <c r="BF47" s="187" t="s">
        <v>396</v>
      </c>
      <c r="BG47" s="0" t="n">
        <v>12.9</v>
      </c>
      <c r="BH47" s="187" t="s">
        <v>396</v>
      </c>
      <c r="BI47" s="0" t="n">
        <v>13</v>
      </c>
      <c r="BJ47" s="187" t="s">
        <v>396</v>
      </c>
      <c r="BK47" s="0" t="n">
        <v>1.9</v>
      </c>
      <c r="BL47" s="187" t="s">
        <v>396</v>
      </c>
      <c r="BM47" s="0" t="n">
        <v>-2.3</v>
      </c>
      <c r="BN47" s="187" t="s">
        <v>396</v>
      </c>
      <c r="BO47" s="0" t="n">
        <v>13</v>
      </c>
      <c r="BP47" s="187" t="s">
        <v>396</v>
      </c>
      <c r="BQ47" s="0" t="n">
        <v>15.6</v>
      </c>
      <c r="BR47" s="187" t="s">
        <v>396</v>
      </c>
      <c r="BS47" s="0" t="n">
        <v>7.9</v>
      </c>
      <c r="BT47" s="187" t="s">
        <v>396</v>
      </c>
      <c r="BU47" s="0" t="n">
        <v>6.8</v>
      </c>
      <c r="BV47" s="187" t="s">
        <v>396</v>
      </c>
      <c r="BY47" s="0" t="n">
        <v>9.4</v>
      </c>
      <c r="BZ47" s="187" t="s">
        <v>396</v>
      </c>
      <c r="CA47" s="0" t="n">
        <v>10.6</v>
      </c>
      <c r="CB47" s="187" t="s">
        <v>396</v>
      </c>
      <c r="CE47" s="0" t="n">
        <v>11</v>
      </c>
      <c r="CF47" s="187" t="s">
        <v>396</v>
      </c>
      <c r="CG47" s="0" t="n">
        <v>6.9</v>
      </c>
      <c r="CH47" s="187" t="s">
        <v>396</v>
      </c>
      <c r="CI47" s="0" t="n">
        <v>5.4</v>
      </c>
      <c r="CJ47" s="187" t="s">
        <v>396</v>
      </c>
      <c r="CK47" s="0" t="n">
        <v>4.6</v>
      </c>
      <c r="CL47" s="187" t="s">
        <v>396</v>
      </c>
      <c r="CM47" s="0" t="n">
        <v>2.3</v>
      </c>
      <c r="CN47" s="187" t="s">
        <v>396</v>
      </c>
      <c r="CO47" s="0" t="n">
        <v>9.5</v>
      </c>
      <c r="CP47" s="187" t="s">
        <v>396</v>
      </c>
    </row>
    <row r="48" customFormat="false" ht="14.25" hidden="false" customHeight="false" outlineLevel="0" collapsed="false">
      <c r="M48" s="0" t="n">
        <v>15.8</v>
      </c>
      <c r="N48" s="187" t="s">
        <v>397</v>
      </c>
      <c r="BA48" s="0" t="n">
        <v>2.1</v>
      </c>
      <c r="BB48" s="187" t="s">
        <v>397</v>
      </c>
      <c r="BC48" s="0" t="n">
        <v>2.5</v>
      </c>
      <c r="BD48" s="187" t="s">
        <v>397</v>
      </c>
      <c r="BE48" s="0" t="n">
        <v>3.9</v>
      </c>
      <c r="BF48" s="187" t="s">
        <v>397</v>
      </c>
      <c r="BG48" s="0" t="n">
        <v>12.9</v>
      </c>
      <c r="BH48" s="187" t="s">
        <v>397</v>
      </c>
      <c r="BI48" s="0" t="n">
        <v>13</v>
      </c>
      <c r="BJ48" s="187" t="s">
        <v>397</v>
      </c>
      <c r="BK48" s="0" t="n">
        <v>1.9</v>
      </c>
      <c r="BL48" s="187" t="s">
        <v>397</v>
      </c>
      <c r="BM48" s="0" t="n">
        <v>-2.3</v>
      </c>
      <c r="BN48" s="187" t="s">
        <v>397</v>
      </c>
      <c r="BO48" s="0" t="n">
        <v>13</v>
      </c>
      <c r="BP48" s="187" t="s">
        <v>397</v>
      </c>
      <c r="BQ48" s="0" t="n">
        <v>15.6</v>
      </c>
      <c r="BR48" s="187" t="s">
        <v>397</v>
      </c>
      <c r="BS48" s="0" t="n">
        <v>7.9</v>
      </c>
      <c r="BT48" s="187" t="s">
        <v>397</v>
      </c>
      <c r="BU48" s="0" t="n">
        <v>6.8</v>
      </c>
      <c r="BV48" s="187" t="s">
        <v>397</v>
      </c>
      <c r="BY48" s="0" t="n">
        <v>9.4</v>
      </c>
      <c r="BZ48" s="187" t="s">
        <v>397</v>
      </c>
      <c r="CA48" s="0" t="n">
        <v>10.6</v>
      </c>
      <c r="CB48" s="187" t="s">
        <v>397</v>
      </c>
      <c r="CE48" s="0" t="n">
        <v>11</v>
      </c>
      <c r="CF48" s="187" t="s">
        <v>397</v>
      </c>
      <c r="CG48" s="0" t="n">
        <v>6.8</v>
      </c>
      <c r="CH48" s="187" t="s">
        <v>397</v>
      </c>
      <c r="CI48" s="0" t="n">
        <v>5.4</v>
      </c>
      <c r="CJ48" s="187" t="s">
        <v>397</v>
      </c>
      <c r="CK48" s="0" t="n">
        <v>4.5</v>
      </c>
      <c r="CL48" s="187" t="s">
        <v>397</v>
      </c>
      <c r="CM48" s="0" t="n">
        <v>2.3</v>
      </c>
      <c r="CN48" s="187" t="s">
        <v>397</v>
      </c>
      <c r="CO48" s="0" t="n">
        <v>9.4</v>
      </c>
      <c r="CP48" s="187" t="s">
        <v>397</v>
      </c>
    </row>
    <row r="49" customFormat="false" ht="14.25" hidden="false" customHeight="false" outlineLevel="0" collapsed="false">
      <c r="M49" s="0" t="n">
        <v>15.8</v>
      </c>
      <c r="N49" s="187" t="s">
        <v>398</v>
      </c>
      <c r="BA49" s="0" t="n">
        <v>2.1</v>
      </c>
      <c r="BB49" s="187" t="s">
        <v>398</v>
      </c>
      <c r="BC49" s="0" t="n">
        <v>2.5</v>
      </c>
      <c r="BD49" s="187" t="s">
        <v>398</v>
      </c>
      <c r="BE49" s="0" t="n">
        <v>3.9</v>
      </c>
      <c r="BF49" s="187" t="s">
        <v>398</v>
      </c>
      <c r="BG49" s="0" t="n">
        <v>12.9</v>
      </c>
      <c r="BH49" s="187" t="s">
        <v>398</v>
      </c>
      <c r="BI49" s="0" t="n">
        <v>13</v>
      </c>
      <c r="BJ49" s="187" t="s">
        <v>398</v>
      </c>
      <c r="BK49" s="0" t="n">
        <v>1.9</v>
      </c>
      <c r="BL49" s="187" t="s">
        <v>398</v>
      </c>
      <c r="BM49" s="0" t="n">
        <v>-2.4</v>
      </c>
      <c r="BN49" s="187" t="s">
        <v>398</v>
      </c>
      <c r="BO49" s="0" t="n">
        <v>13</v>
      </c>
      <c r="BP49" s="187" t="s">
        <v>398</v>
      </c>
      <c r="BQ49" s="0" t="n">
        <v>15.6</v>
      </c>
      <c r="BR49" s="187" t="s">
        <v>398</v>
      </c>
      <c r="BS49" s="0" t="n">
        <v>7.9</v>
      </c>
      <c r="BT49" s="187" t="s">
        <v>398</v>
      </c>
      <c r="BU49" s="0" t="n">
        <v>6.8</v>
      </c>
      <c r="BV49" s="187" t="s">
        <v>398</v>
      </c>
      <c r="BY49" s="0" t="n">
        <v>9.4</v>
      </c>
      <c r="BZ49" s="187" t="s">
        <v>398</v>
      </c>
      <c r="CA49" s="0" t="n">
        <v>10.6</v>
      </c>
      <c r="CB49" s="187" t="s">
        <v>398</v>
      </c>
      <c r="CE49" s="0" t="n">
        <v>10.9</v>
      </c>
      <c r="CF49" s="187" t="s">
        <v>398</v>
      </c>
      <c r="CG49" s="0" t="n">
        <v>6.8</v>
      </c>
      <c r="CH49" s="187" t="s">
        <v>398</v>
      </c>
      <c r="CI49" s="0" t="n">
        <v>5.4</v>
      </c>
      <c r="CJ49" s="187" t="s">
        <v>398</v>
      </c>
      <c r="CK49" s="0" t="n">
        <v>4.5</v>
      </c>
      <c r="CL49" s="187" t="s">
        <v>398</v>
      </c>
      <c r="CM49" s="0" t="n">
        <v>2.2</v>
      </c>
      <c r="CN49" s="187" t="s">
        <v>398</v>
      </c>
      <c r="CO49" s="0" t="n">
        <v>9.4</v>
      </c>
      <c r="CP49" s="187" t="s">
        <v>398</v>
      </c>
    </row>
    <row r="50" customFormat="false" ht="14.25" hidden="false" customHeight="false" outlineLevel="0" collapsed="false">
      <c r="M50" s="0" t="n">
        <v>15.8</v>
      </c>
      <c r="N50" s="187" t="s">
        <v>399</v>
      </c>
      <c r="BA50" s="0" t="n">
        <v>2.1</v>
      </c>
      <c r="BB50" s="187" t="s">
        <v>399</v>
      </c>
      <c r="BC50" s="0" t="n">
        <v>2.5</v>
      </c>
      <c r="BD50" s="187" t="s">
        <v>399</v>
      </c>
      <c r="BE50" s="0" t="n">
        <v>3.9</v>
      </c>
      <c r="BF50" s="187" t="s">
        <v>399</v>
      </c>
      <c r="BG50" s="0" t="n">
        <v>12.9</v>
      </c>
      <c r="BH50" s="187" t="s">
        <v>399</v>
      </c>
      <c r="BI50" s="0" t="n">
        <v>13</v>
      </c>
      <c r="BJ50" s="187" t="s">
        <v>399</v>
      </c>
      <c r="BK50" s="0" t="n">
        <v>1.9</v>
      </c>
      <c r="BL50" s="187" t="s">
        <v>399</v>
      </c>
      <c r="BM50" s="0" t="n">
        <v>-2.5</v>
      </c>
      <c r="BN50" s="187" t="s">
        <v>399</v>
      </c>
      <c r="BO50" s="0" t="n">
        <v>12.9</v>
      </c>
      <c r="BP50" s="187" t="s">
        <v>399</v>
      </c>
      <c r="BQ50" s="0" t="n">
        <v>15.6</v>
      </c>
      <c r="BR50" s="187" t="s">
        <v>399</v>
      </c>
      <c r="BS50" s="0" t="n">
        <v>7.9</v>
      </c>
      <c r="BT50" s="187" t="s">
        <v>399</v>
      </c>
      <c r="BU50" s="0" t="n">
        <v>6.8</v>
      </c>
      <c r="BV50" s="187" t="s">
        <v>399</v>
      </c>
      <c r="BY50" s="0" t="n">
        <v>9.4</v>
      </c>
      <c r="BZ50" s="187" t="s">
        <v>399</v>
      </c>
      <c r="CA50" s="0" t="n">
        <v>10.6</v>
      </c>
      <c r="CB50" s="187" t="s">
        <v>399</v>
      </c>
      <c r="CE50" s="0" t="n">
        <v>10.9</v>
      </c>
      <c r="CF50" s="187" t="s">
        <v>399</v>
      </c>
      <c r="CG50" s="0" t="n">
        <v>6.8</v>
      </c>
      <c r="CH50" s="187" t="s">
        <v>399</v>
      </c>
      <c r="CI50" s="0" t="n">
        <v>5.3</v>
      </c>
      <c r="CJ50" s="187" t="s">
        <v>399</v>
      </c>
      <c r="CK50" s="0" t="n">
        <v>4.4</v>
      </c>
      <c r="CL50" s="187" t="s">
        <v>399</v>
      </c>
      <c r="CM50" s="0" t="n">
        <v>2.2</v>
      </c>
      <c r="CN50" s="187" t="s">
        <v>399</v>
      </c>
      <c r="CO50" s="0" t="n">
        <v>9.3</v>
      </c>
      <c r="CP50" s="187" t="s">
        <v>399</v>
      </c>
    </row>
    <row r="51" customFormat="false" ht="14.25" hidden="false" customHeight="false" outlineLevel="0" collapsed="false">
      <c r="M51" s="0" t="n">
        <v>15.7</v>
      </c>
      <c r="N51" s="187" t="s">
        <v>400</v>
      </c>
      <c r="BA51" s="0" t="n">
        <v>2.1</v>
      </c>
      <c r="BB51" s="187" t="s">
        <v>400</v>
      </c>
      <c r="BC51" s="0" t="n">
        <v>2.5</v>
      </c>
      <c r="BD51" s="187" t="s">
        <v>400</v>
      </c>
      <c r="BE51" s="0" t="n">
        <v>3.8</v>
      </c>
      <c r="BF51" s="187" t="s">
        <v>400</v>
      </c>
      <c r="BG51" s="0" t="n">
        <v>12.9</v>
      </c>
      <c r="BH51" s="187" t="s">
        <v>400</v>
      </c>
      <c r="BI51" s="0" t="n">
        <v>13</v>
      </c>
      <c r="BJ51" s="187" t="s">
        <v>400</v>
      </c>
      <c r="BK51" s="0" t="n">
        <v>1.9</v>
      </c>
      <c r="BL51" s="187" t="s">
        <v>400</v>
      </c>
      <c r="BM51" s="0" t="n">
        <v>-2.5</v>
      </c>
      <c r="BN51" s="187" t="s">
        <v>400</v>
      </c>
      <c r="BO51" s="0" t="n">
        <v>12.9</v>
      </c>
      <c r="BP51" s="187" t="s">
        <v>400</v>
      </c>
      <c r="BQ51" s="0" t="n">
        <v>15.6</v>
      </c>
      <c r="BR51" s="187" t="s">
        <v>400</v>
      </c>
      <c r="BS51" s="0" t="n">
        <v>7.9</v>
      </c>
      <c r="BT51" s="187" t="s">
        <v>400</v>
      </c>
      <c r="BU51" s="0" t="n">
        <v>6.8</v>
      </c>
      <c r="BV51" s="187" t="s">
        <v>400</v>
      </c>
      <c r="BY51" s="0" t="n">
        <v>9.4</v>
      </c>
      <c r="BZ51" s="187" t="s">
        <v>400</v>
      </c>
      <c r="CA51" s="0" t="n">
        <v>10.6</v>
      </c>
      <c r="CB51" s="187" t="s">
        <v>400</v>
      </c>
      <c r="CE51" s="0" t="n">
        <v>10.9</v>
      </c>
      <c r="CF51" s="187" t="s">
        <v>400</v>
      </c>
      <c r="CG51" s="0" t="n">
        <v>6.8</v>
      </c>
      <c r="CH51" s="187" t="s">
        <v>400</v>
      </c>
      <c r="CI51" s="0" t="n">
        <v>5.3</v>
      </c>
      <c r="CJ51" s="187" t="s">
        <v>400</v>
      </c>
      <c r="CK51" s="0" t="n">
        <v>4.4</v>
      </c>
      <c r="CL51" s="187" t="s">
        <v>400</v>
      </c>
      <c r="CM51" s="0" t="n">
        <v>2.1</v>
      </c>
      <c r="CN51" s="187" t="s">
        <v>400</v>
      </c>
      <c r="CO51" s="0" t="n">
        <v>9.3</v>
      </c>
      <c r="CP51" s="187" t="s">
        <v>400</v>
      </c>
    </row>
    <row r="52" customFormat="false" ht="14.25" hidden="false" customHeight="false" outlineLevel="0" collapsed="false">
      <c r="M52" s="0" t="n">
        <v>15.7</v>
      </c>
      <c r="N52" s="187" t="s">
        <v>401</v>
      </c>
      <c r="BA52" s="0" t="n">
        <v>2.1</v>
      </c>
      <c r="BB52" s="187" t="s">
        <v>401</v>
      </c>
      <c r="BC52" s="0" t="n">
        <v>2.5</v>
      </c>
      <c r="BD52" s="187" t="s">
        <v>401</v>
      </c>
      <c r="BE52" s="0" t="n">
        <v>3.8</v>
      </c>
      <c r="BF52" s="187" t="s">
        <v>401</v>
      </c>
      <c r="BG52" s="0" t="n">
        <v>12.9</v>
      </c>
      <c r="BH52" s="187" t="s">
        <v>401</v>
      </c>
      <c r="BI52" s="0" t="n">
        <v>13</v>
      </c>
      <c r="BJ52" s="187" t="s">
        <v>401</v>
      </c>
      <c r="BK52" s="0" t="n">
        <v>1.8</v>
      </c>
      <c r="BL52" s="187" t="s">
        <v>401</v>
      </c>
      <c r="BM52" s="0" t="n">
        <v>-2.6</v>
      </c>
      <c r="BN52" s="187" t="s">
        <v>401</v>
      </c>
      <c r="BO52" s="0" t="n">
        <v>12.9</v>
      </c>
      <c r="BP52" s="187" t="s">
        <v>401</v>
      </c>
      <c r="BQ52" s="0" t="n">
        <v>15.5</v>
      </c>
      <c r="BR52" s="187" t="s">
        <v>401</v>
      </c>
      <c r="BS52" s="0" t="n">
        <v>7.9</v>
      </c>
      <c r="BT52" s="187" t="s">
        <v>401</v>
      </c>
      <c r="BU52" s="0" t="n">
        <v>6.8</v>
      </c>
      <c r="BV52" s="187" t="s">
        <v>401</v>
      </c>
      <c r="BY52" s="0" t="n">
        <v>9.3</v>
      </c>
      <c r="BZ52" s="187" t="s">
        <v>401</v>
      </c>
      <c r="CA52" s="0" t="n">
        <v>10.6</v>
      </c>
      <c r="CB52" s="187" t="s">
        <v>401</v>
      </c>
      <c r="CE52" s="0" t="n">
        <v>10.9</v>
      </c>
      <c r="CF52" s="187" t="s">
        <v>401</v>
      </c>
      <c r="CG52" s="0" t="n">
        <v>6.8</v>
      </c>
      <c r="CH52" s="187" t="s">
        <v>401</v>
      </c>
      <c r="CI52" s="0" t="n">
        <v>5.3</v>
      </c>
      <c r="CJ52" s="187" t="s">
        <v>401</v>
      </c>
      <c r="CK52" s="0" t="n">
        <v>4.4</v>
      </c>
      <c r="CL52" s="187" t="s">
        <v>401</v>
      </c>
      <c r="CM52" s="0" t="n">
        <v>2.1</v>
      </c>
      <c r="CN52" s="187" t="s">
        <v>401</v>
      </c>
      <c r="CO52" s="0" t="n">
        <v>9.2</v>
      </c>
      <c r="CP52" s="187" t="s">
        <v>401</v>
      </c>
    </row>
    <row r="53" customFormat="false" ht="14.25" hidden="false" customHeight="false" outlineLevel="0" collapsed="false">
      <c r="M53" s="0" t="n">
        <v>15.7</v>
      </c>
      <c r="N53" s="187" t="s">
        <v>402</v>
      </c>
      <c r="BA53" s="0" t="n">
        <v>2.1</v>
      </c>
      <c r="BB53" s="187" t="s">
        <v>402</v>
      </c>
      <c r="BC53" s="0" t="n">
        <v>2.5</v>
      </c>
      <c r="BD53" s="187" t="s">
        <v>402</v>
      </c>
      <c r="BE53" s="0" t="n">
        <v>3.8</v>
      </c>
      <c r="BF53" s="187" t="s">
        <v>402</v>
      </c>
      <c r="BG53" s="0" t="n">
        <v>12.9</v>
      </c>
      <c r="BH53" s="187" t="s">
        <v>402</v>
      </c>
      <c r="BI53" s="0" t="n">
        <v>13</v>
      </c>
      <c r="BJ53" s="187" t="s">
        <v>402</v>
      </c>
      <c r="BK53" s="0" t="n">
        <v>1.8</v>
      </c>
      <c r="BL53" s="187" t="s">
        <v>402</v>
      </c>
      <c r="BM53" s="0" t="n">
        <v>-2.6</v>
      </c>
      <c r="BN53" s="187" t="s">
        <v>402</v>
      </c>
      <c r="BO53" s="0" t="n">
        <v>12.9</v>
      </c>
      <c r="BP53" s="187" t="s">
        <v>402</v>
      </c>
      <c r="BQ53" s="0" t="n">
        <v>15.5</v>
      </c>
      <c r="BR53" s="187" t="s">
        <v>402</v>
      </c>
      <c r="BS53" s="0" t="n">
        <v>7.9</v>
      </c>
      <c r="BT53" s="187" t="s">
        <v>402</v>
      </c>
      <c r="BU53" s="0" t="n">
        <v>6.8</v>
      </c>
      <c r="BV53" s="187" t="s">
        <v>402</v>
      </c>
      <c r="BY53" s="0" t="n">
        <v>9.3</v>
      </c>
      <c r="BZ53" s="187" t="s">
        <v>402</v>
      </c>
      <c r="CA53" s="0" t="n">
        <v>10.6</v>
      </c>
      <c r="CB53" s="187" t="s">
        <v>402</v>
      </c>
      <c r="CE53" s="0" t="n">
        <v>10.9</v>
      </c>
      <c r="CF53" s="187" t="s">
        <v>402</v>
      </c>
      <c r="CG53" s="0" t="n">
        <v>6.8</v>
      </c>
      <c r="CH53" s="187" t="s">
        <v>402</v>
      </c>
      <c r="CI53" s="0" t="n">
        <v>5.3</v>
      </c>
      <c r="CJ53" s="187" t="s">
        <v>402</v>
      </c>
      <c r="CK53" s="0" t="n">
        <v>4.3</v>
      </c>
      <c r="CL53" s="187" t="s">
        <v>402</v>
      </c>
      <c r="CM53" s="0" t="n">
        <v>2.1</v>
      </c>
      <c r="CN53" s="187" t="s">
        <v>402</v>
      </c>
      <c r="CO53" s="0" t="n">
        <v>9.2</v>
      </c>
      <c r="CP53" s="187" t="s">
        <v>402</v>
      </c>
    </row>
    <row r="54" customFormat="false" ht="14.25" hidden="false" customHeight="false" outlineLevel="0" collapsed="false">
      <c r="M54" s="0" t="n">
        <v>15.7</v>
      </c>
      <c r="N54" s="187" t="s">
        <v>403</v>
      </c>
      <c r="BA54" s="0" t="n">
        <v>2.1</v>
      </c>
      <c r="BB54" s="187" t="s">
        <v>403</v>
      </c>
      <c r="BC54" s="0" t="n">
        <v>2.5</v>
      </c>
      <c r="BD54" s="187" t="s">
        <v>403</v>
      </c>
      <c r="BE54" s="0" t="n">
        <v>3.8</v>
      </c>
      <c r="BF54" s="187" t="s">
        <v>403</v>
      </c>
      <c r="BG54" s="0" t="n">
        <v>12.9</v>
      </c>
      <c r="BH54" s="187" t="s">
        <v>403</v>
      </c>
      <c r="BI54" s="0" t="n">
        <v>13</v>
      </c>
      <c r="BJ54" s="187" t="s">
        <v>403</v>
      </c>
      <c r="BK54" s="0" t="n">
        <v>1.8</v>
      </c>
      <c r="BL54" s="187" t="s">
        <v>403</v>
      </c>
      <c r="BM54" s="0" t="n">
        <v>-2.7</v>
      </c>
      <c r="BN54" s="187" t="s">
        <v>403</v>
      </c>
      <c r="BO54" s="0" t="n">
        <v>12.9</v>
      </c>
      <c r="BP54" s="187" t="s">
        <v>403</v>
      </c>
      <c r="BQ54" s="0" t="n">
        <v>15.5</v>
      </c>
      <c r="BR54" s="187" t="s">
        <v>403</v>
      </c>
      <c r="BS54" s="0" t="n">
        <v>7.9</v>
      </c>
      <c r="BT54" s="187" t="s">
        <v>403</v>
      </c>
      <c r="BU54" s="0" t="n">
        <v>6.8</v>
      </c>
      <c r="BV54" s="187" t="s">
        <v>403</v>
      </c>
      <c r="BY54" s="0" t="n">
        <v>9.3</v>
      </c>
      <c r="BZ54" s="187" t="s">
        <v>403</v>
      </c>
      <c r="CA54" s="0" t="n">
        <v>10.6</v>
      </c>
      <c r="CB54" s="187" t="s">
        <v>403</v>
      </c>
      <c r="CE54" s="0" t="n">
        <v>10.9</v>
      </c>
      <c r="CF54" s="187" t="s">
        <v>403</v>
      </c>
      <c r="CG54" s="0" t="n">
        <v>6.8</v>
      </c>
      <c r="CH54" s="187" t="s">
        <v>403</v>
      </c>
      <c r="CI54" s="0" t="n">
        <v>5.2</v>
      </c>
      <c r="CJ54" s="187" t="s">
        <v>403</v>
      </c>
      <c r="CK54" s="0" t="n">
        <v>4.3</v>
      </c>
      <c r="CL54" s="187" t="s">
        <v>403</v>
      </c>
      <c r="CM54" s="0" t="n">
        <v>2</v>
      </c>
      <c r="CN54" s="187" t="s">
        <v>403</v>
      </c>
      <c r="CO54" s="0" t="n">
        <v>9.2</v>
      </c>
      <c r="CP54" s="187" t="s">
        <v>403</v>
      </c>
    </row>
    <row r="55" customFormat="false" ht="14.25" hidden="false" customHeight="false" outlineLevel="0" collapsed="false">
      <c r="M55" s="0" t="n">
        <v>15.7</v>
      </c>
      <c r="N55" s="187" t="s">
        <v>404</v>
      </c>
      <c r="BA55" s="0" t="n">
        <v>2.1</v>
      </c>
      <c r="BB55" s="187" t="s">
        <v>404</v>
      </c>
      <c r="BC55" s="0" t="n">
        <v>2.5</v>
      </c>
      <c r="BD55" s="187" t="s">
        <v>404</v>
      </c>
      <c r="BE55" s="0" t="n">
        <v>3.8</v>
      </c>
      <c r="BF55" s="187" t="s">
        <v>404</v>
      </c>
      <c r="BG55" s="0" t="n">
        <v>12.9</v>
      </c>
      <c r="BH55" s="187" t="s">
        <v>404</v>
      </c>
      <c r="BI55" s="0" t="n">
        <v>13</v>
      </c>
      <c r="BJ55" s="187" t="s">
        <v>404</v>
      </c>
      <c r="BK55" s="0" t="n">
        <v>1.8</v>
      </c>
      <c r="BL55" s="187" t="s">
        <v>404</v>
      </c>
      <c r="BM55" s="0" t="n">
        <v>-2.7</v>
      </c>
      <c r="BN55" s="187" t="s">
        <v>404</v>
      </c>
      <c r="BO55" s="0" t="n">
        <v>12.9</v>
      </c>
      <c r="BP55" s="187" t="s">
        <v>404</v>
      </c>
      <c r="BQ55" s="0" t="n">
        <v>15.5</v>
      </c>
      <c r="BR55" s="187" t="s">
        <v>404</v>
      </c>
      <c r="BS55" s="0" t="n">
        <v>7.9</v>
      </c>
      <c r="BT55" s="187" t="s">
        <v>404</v>
      </c>
      <c r="BU55" s="0" t="n">
        <v>6.7</v>
      </c>
      <c r="BV55" s="187" t="s">
        <v>404</v>
      </c>
      <c r="BY55" s="0" t="n">
        <v>9.3</v>
      </c>
      <c r="BZ55" s="187" t="s">
        <v>404</v>
      </c>
      <c r="CA55" s="0" t="n">
        <v>10.6</v>
      </c>
      <c r="CB55" s="187" t="s">
        <v>404</v>
      </c>
      <c r="CE55" s="0" t="n">
        <v>10.9</v>
      </c>
      <c r="CF55" s="187" t="s">
        <v>404</v>
      </c>
      <c r="CG55" s="0" t="n">
        <v>6.8</v>
      </c>
      <c r="CH55" s="187" t="s">
        <v>404</v>
      </c>
      <c r="CI55" s="0" t="n">
        <v>5.2</v>
      </c>
      <c r="CJ55" s="187" t="s">
        <v>404</v>
      </c>
      <c r="CK55" s="0" t="n">
        <v>4.3</v>
      </c>
      <c r="CL55" s="187" t="s">
        <v>404</v>
      </c>
      <c r="CM55" s="0" t="n">
        <v>2</v>
      </c>
      <c r="CN55" s="187" t="s">
        <v>404</v>
      </c>
      <c r="CO55" s="0" t="n">
        <v>9.1</v>
      </c>
      <c r="CP55" s="187" t="s">
        <v>404</v>
      </c>
    </row>
    <row r="56" customFormat="false" ht="14.25" hidden="false" customHeight="false" outlineLevel="0" collapsed="false">
      <c r="M56" s="0" t="n">
        <v>15.7</v>
      </c>
      <c r="N56" s="187" t="s">
        <v>405</v>
      </c>
      <c r="BK56" s="0" t="n">
        <v>1.8</v>
      </c>
      <c r="BL56" s="187" t="s">
        <v>405</v>
      </c>
      <c r="BM56" s="0" t="n">
        <v>-2.8</v>
      </c>
      <c r="BN56" s="187" t="s">
        <v>405</v>
      </c>
      <c r="BO56" s="0" t="n">
        <v>12.9</v>
      </c>
      <c r="BP56" s="187" t="s">
        <v>405</v>
      </c>
      <c r="BQ56" s="0" t="n">
        <v>15.5</v>
      </c>
      <c r="BR56" s="187" t="s">
        <v>405</v>
      </c>
      <c r="BS56" s="0" t="n">
        <v>7.9</v>
      </c>
      <c r="BT56" s="187" t="s">
        <v>405</v>
      </c>
      <c r="BU56" s="0" t="n">
        <v>6.7</v>
      </c>
      <c r="BV56" s="187" t="s">
        <v>405</v>
      </c>
      <c r="BY56" s="0" t="n">
        <v>9.3</v>
      </c>
      <c r="BZ56" s="187" t="s">
        <v>405</v>
      </c>
      <c r="CA56" s="0" t="n">
        <v>10.6</v>
      </c>
      <c r="CB56" s="187" t="s">
        <v>405</v>
      </c>
      <c r="CE56" s="0" t="n">
        <v>10.9</v>
      </c>
      <c r="CF56" s="187" t="s">
        <v>405</v>
      </c>
      <c r="CG56" s="0" t="n">
        <v>6.7</v>
      </c>
      <c r="CH56" s="187" t="s">
        <v>405</v>
      </c>
      <c r="CI56" s="0" t="n">
        <v>5.2</v>
      </c>
      <c r="CJ56" s="187" t="s">
        <v>405</v>
      </c>
      <c r="CK56" s="0" t="n">
        <v>4.3</v>
      </c>
      <c r="CL56" s="187" t="s">
        <v>405</v>
      </c>
      <c r="CM56" s="0" t="n">
        <v>2</v>
      </c>
      <c r="CN56" s="187" t="s">
        <v>405</v>
      </c>
      <c r="CO56" s="0" t="n">
        <v>9.1</v>
      </c>
      <c r="CP56" s="187" t="s">
        <v>405</v>
      </c>
    </row>
    <row r="57" customFormat="false" ht="14.25" hidden="false" customHeight="false" outlineLevel="0" collapsed="false">
      <c r="M57" s="0" t="n">
        <v>15.7</v>
      </c>
      <c r="N57" s="187" t="s">
        <v>406</v>
      </c>
      <c r="BK57" s="0" t="n">
        <v>1.8</v>
      </c>
      <c r="BL57" s="187" t="s">
        <v>406</v>
      </c>
      <c r="BM57" s="0" t="n">
        <v>-2.8</v>
      </c>
      <c r="BN57" s="187" t="s">
        <v>406</v>
      </c>
      <c r="BO57" s="0" t="n">
        <v>12.8</v>
      </c>
      <c r="BP57" s="187" t="s">
        <v>406</v>
      </c>
      <c r="BQ57" s="0" t="n">
        <v>15.5</v>
      </c>
      <c r="BR57" s="187" t="s">
        <v>406</v>
      </c>
      <c r="BS57" s="0" t="n">
        <v>7.8</v>
      </c>
      <c r="BT57" s="187" t="s">
        <v>406</v>
      </c>
      <c r="BU57" s="0" t="n">
        <v>6.7</v>
      </c>
      <c r="BV57" s="187" t="s">
        <v>406</v>
      </c>
      <c r="BY57" s="0" t="n">
        <v>9.3</v>
      </c>
      <c r="BZ57" s="187" t="s">
        <v>406</v>
      </c>
      <c r="CA57" s="0" t="n">
        <v>10.6</v>
      </c>
      <c r="CB57" s="187" t="s">
        <v>406</v>
      </c>
      <c r="CE57" s="0" t="n">
        <v>10.9</v>
      </c>
      <c r="CF57" s="187" t="s">
        <v>406</v>
      </c>
      <c r="CG57" s="0" t="n">
        <v>6.7</v>
      </c>
      <c r="CH57" s="187" t="s">
        <v>406</v>
      </c>
      <c r="CI57" s="0" t="n">
        <v>5.2</v>
      </c>
      <c r="CJ57" s="187" t="s">
        <v>406</v>
      </c>
      <c r="CK57" s="0" t="n">
        <v>4.3</v>
      </c>
      <c r="CL57" s="187" t="s">
        <v>406</v>
      </c>
      <c r="CM57" s="0" t="n">
        <v>2</v>
      </c>
      <c r="CN57" s="187" t="s">
        <v>406</v>
      </c>
      <c r="CO57" s="0" t="n">
        <v>9.1</v>
      </c>
      <c r="CP57" s="187" t="s">
        <v>406</v>
      </c>
    </row>
    <row r="58" customFormat="false" ht="14.25" hidden="false" customHeight="false" outlineLevel="0" collapsed="false">
      <c r="BO58" s="0" t="n">
        <v>12.8</v>
      </c>
      <c r="BP58" s="187" t="s">
        <v>407</v>
      </c>
      <c r="BQ58" s="0" t="n">
        <v>15.5</v>
      </c>
      <c r="BR58" s="187" t="s">
        <v>407</v>
      </c>
      <c r="BS58" s="0" t="n">
        <v>7.8</v>
      </c>
      <c r="BT58" s="187" t="s">
        <v>407</v>
      </c>
      <c r="BU58" s="0" t="n">
        <v>6.7</v>
      </c>
      <c r="BV58" s="187" t="s">
        <v>407</v>
      </c>
      <c r="BY58" s="0" t="n">
        <v>9.3</v>
      </c>
      <c r="BZ58" s="187" t="s">
        <v>407</v>
      </c>
      <c r="CA58" s="0" t="n">
        <v>10.6</v>
      </c>
      <c r="CB58" s="187" t="s">
        <v>407</v>
      </c>
      <c r="CE58" s="0" t="n">
        <v>10.9</v>
      </c>
      <c r="CF58" s="187" t="s">
        <v>407</v>
      </c>
      <c r="CG58" s="0" t="n">
        <v>6.7</v>
      </c>
      <c r="CH58" s="187" t="s">
        <v>407</v>
      </c>
      <c r="CI58" s="0" t="n">
        <v>5.2</v>
      </c>
      <c r="CJ58" s="187" t="s">
        <v>407</v>
      </c>
      <c r="CK58" s="0" t="n">
        <v>4.3</v>
      </c>
      <c r="CL58" s="187" t="s">
        <v>407</v>
      </c>
      <c r="CM58" s="0" t="n">
        <v>2</v>
      </c>
      <c r="CN58" s="187" t="s">
        <v>407</v>
      </c>
      <c r="CO58" s="0" t="n">
        <v>9.1</v>
      </c>
      <c r="CP58" s="187" t="s">
        <v>407</v>
      </c>
    </row>
    <row r="59" customFormat="false" ht="14.25" hidden="false" customHeight="false" outlineLevel="0" collapsed="false">
      <c r="BO59" s="0" t="n">
        <v>12.8</v>
      </c>
      <c r="BP59" s="187" t="s">
        <v>408</v>
      </c>
      <c r="BQ59" s="0" t="n">
        <v>15.5</v>
      </c>
      <c r="BR59" s="187" t="s">
        <v>408</v>
      </c>
      <c r="BS59" s="0" t="n">
        <v>7.8</v>
      </c>
      <c r="BT59" s="187" t="s">
        <v>408</v>
      </c>
      <c r="BU59" s="0" t="n">
        <v>6.7</v>
      </c>
      <c r="BV59" s="187" t="s">
        <v>408</v>
      </c>
      <c r="BY59" s="0" t="n">
        <v>9.3</v>
      </c>
      <c r="BZ59" s="187" t="s">
        <v>408</v>
      </c>
      <c r="CA59" s="0" t="n">
        <v>10.5</v>
      </c>
      <c r="CB59" s="187" t="s">
        <v>408</v>
      </c>
      <c r="CE59" s="0" t="n">
        <v>10.9</v>
      </c>
      <c r="CF59" s="187" t="s">
        <v>408</v>
      </c>
      <c r="CG59" s="0" t="n">
        <v>6.7</v>
      </c>
      <c r="CH59" s="187" t="s">
        <v>408</v>
      </c>
      <c r="CI59" s="0" t="n">
        <v>5.2</v>
      </c>
      <c r="CJ59" s="187" t="s">
        <v>408</v>
      </c>
      <c r="CK59" s="0" t="n">
        <v>4.3</v>
      </c>
      <c r="CL59" s="187" t="s">
        <v>408</v>
      </c>
      <c r="CM59" s="0" t="n">
        <v>1.9</v>
      </c>
      <c r="CN59" s="187" t="s">
        <v>408</v>
      </c>
      <c r="CO59" s="0" t="n">
        <v>9</v>
      </c>
      <c r="CP59" s="187" t="s">
        <v>408</v>
      </c>
    </row>
    <row r="60" customFormat="false" ht="14.25" hidden="false" customHeight="false" outlineLevel="0" collapsed="false">
      <c r="BO60" s="0" t="n">
        <v>12.8</v>
      </c>
      <c r="BP60" s="187" t="s">
        <v>409</v>
      </c>
      <c r="BQ60" s="0" t="n">
        <v>15.5</v>
      </c>
      <c r="BR60" s="187" t="s">
        <v>409</v>
      </c>
      <c r="BS60" s="0" t="n">
        <v>7.8</v>
      </c>
      <c r="BT60" s="187" t="s">
        <v>409</v>
      </c>
      <c r="BU60" s="0" t="n">
        <v>6.7</v>
      </c>
      <c r="BV60" s="187" t="s">
        <v>409</v>
      </c>
      <c r="BY60" s="0" t="n">
        <v>9.3</v>
      </c>
      <c r="BZ60" s="187" t="s">
        <v>409</v>
      </c>
      <c r="CA60" s="0" t="n">
        <v>10.5</v>
      </c>
      <c r="CB60" s="187" t="s">
        <v>409</v>
      </c>
      <c r="CE60" s="0" t="n">
        <v>10.9</v>
      </c>
      <c r="CF60" s="187" t="s">
        <v>409</v>
      </c>
      <c r="CG60" s="0" t="n">
        <v>6.7</v>
      </c>
      <c r="CH60" s="187" t="s">
        <v>409</v>
      </c>
      <c r="CI60" s="0" t="n">
        <v>5.2</v>
      </c>
      <c r="CJ60" s="187" t="s">
        <v>409</v>
      </c>
      <c r="CK60" s="0" t="n">
        <v>4.3</v>
      </c>
      <c r="CL60" s="187" t="s">
        <v>409</v>
      </c>
      <c r="CM60" s="0" t="n">
        <v>1.9</v>
      </c>
      <c r="CN60" s="187" t="s">
        <v>409</v>
      </c>
      <c r="CO60" s="0" t="n">
        <v>9</v>
      </c>
      <c r="CP60" s="187" t="s">
        <v>409</v>
      </c>
    </row>
    <row r="61" customFormat="false" ht="14.25" hidden="false" customHeight="false" outlineLevel="0" collapsed="false">
      <c r="BO61" s="0" t="n">
        <v>12.8</v>
      </c>
      <c r="BP61" s="187" t="s">
        <v>410</v>
      </c>
      <c r="BQ61" s="0" t="n">
        <v>15.5</v>
      </c>
      <c r="BR61" s="187" t="s">
        <v>410</v>
      </c>
      <c r="BS61" s="0" t="n">
        <v>7.8</v>
      </c>
      <c r="BT61" s="187" t="s">
        <v>410</v>
      </c>
      <c r="BU61" s="0" t="n">
        <v>6.7</v>
      </c>
      <c r="BV61" s="187" t="s">
        <v>410</v>
      </c>
      <c r="BY61" s="0" t="n">
        <v>9.3</v>
      </c>
      <c r="BZ61" s="187" t="s">
        <v>410</v>
      </c>
      <c r="CA61" s="0" t="n">
        <v>10.5</v>
      </c>
      <c r="CB61" s="187" t="s">
        <v>410</v>
      </c>
      <c r="CE61" s="0" t="n">
        <v>10.9</v>
      </c>
      <c r="CF61" s="187" t="s">
        <v>410</v>
      </c>
      <c r="CG61" s="0" t="n">
        <v>6.7</v>
      </c>
      <c r="CH61" s="187" t="s">
        <v>410</v>
      </c>
      <c r="CI61" s="0" t="n">
        <v>5.2</v>
      </c>
      <c r="CJ61" s="187" t="s">
        <v>410</v>
      </c>
      <c r="CK61" s="0" t="n">
        <v>4.2</v>
      </c>
      <c r="CL61" s="187" t="s">
        <v>410</v>
      </c>
      <c r="CM61" s="0" t="n">
        <v>1.9</v>
      </c>
      <c r="CN61" s="187" t="s">
        <v>410</v>
      </c>
      <c r="CO61" s="0" t="n">
        <v>9</v>
      </c>
      <c r="CP61" s="187" t="s">
        <v>410</v>
      </c>
    </row>
    <row r="62" customFormat="false" ht="14.25" hidden="false" customHeight="false" outlineLevel="0" collapsed="false">
      <c r="BO62" s="0" t="n">
        <v>12.8</v>
      </c>
      <c r="BP62" s="187" t="s">
        <v>411</v>
      </c>
      <c r="BQ62" s="0" t="n">
        <v>15.4</v>
      </c>
      <c r="BR62" s="187" t="s">
        <v>411</v>
      </c>
      <c r="BS62" s="0" t="n">
        <v>7.8</v>
      </c>
      <c r="BT62" s="187" t="s">
        <v>411</v>
      </c>
      <c r="BU62" s="0" t="n">
        <v>6.7</v>
      </c>
      <c r="BV62" s="187" t="s">
        <v>411</v>
      </c>
      <c r="BY62" s="0" t="n">
        <v>9.3</v>
      </c>
      <c r="BZ62" s="187" t="s">
        <v>411</v>
      </c>
      <c r="CA62" s="0" t="n">
        <v>10.5</v>
      </c>
      <c r="CB62" s="187" t="s">
        <v>411</v>
      </c>
      <c r="CE62" s="0" t="n">
        <v>10.8</v>
      </c>
      <c r="CF62" s="187" t="s">
        <v>411</v>
      </c>
      <c r="CG62" s="0" t="n">
        <v>6.7</v>
      </c>
      <c r="CH62" s="187" t="s">
        <v>411</v>
      </c>
      <c r="CI62" s="0" t="n">
        <v>5.2</v>
      </c>
      <c r="CJ62" s="187" t="s">
        <v>411</v>
      </c>
      <c r="CK62" s="0" t="n">
        <v>4.2</v>
      </c>
      <c r="CL62" s="187" t="s">
        <v>411</v>
      </c>
      <c r="CM62" s="0" t="n">
        <v>1.9</v>
      </c>
      <c r="CN62" s="187" t="s">
        <v>411</v>
      </c>
      <c r="CO62" s="0" t="n">
        <v>9</v>
      </c>
      <c r="CP62" s="187" t="s">
        <v>411</v>
      </c>
    </row>
    <row r="63" customFormat="false" ht="14.25" hidden="false" customHeight="false" outlineLevel="0" collapsed="false">
      <c r="BO63" s="0" t="n">
        <v>12.8</v>
      </c>
      <c r="BP63" s="187" t="s">
        <v>412</v>
      </c>
      <c r="BQ63" s="0" t="n">
        <v>15.4</v>
      </c>
      <c r="BR63" s="187" t="s">
        <v>412</v>
      </c>
      <c r="BS63" s="0" t="n">
        <v>7.8</v>
      </c>
      <c r="BT63" s="187" t="s">
        <v>412</v>
      </c>
      <c r="BU63" s="0" t="n">
        <v>6.7</v>
      </c>
      <c r="BV63" s="187" t="s">
        <v>412</v>
      </c>
      <c r="BY63" s="0" t="n">
        <v>9.2</v>
      </c>
      <c r="BZ63" s="187" t="s">
        <v>412</v>
      </c>
      <c r="CA63" s="0" t="n">
        <v>10.5</v>
      </c>
      <c r="CB63" s="187" t="s">
        <v>412</v>
      </c>
      <c r="CE63" s="0" t="n">
        <v>10.8</v>
      </c>
      <c r="CF63" s="187" t="s">
        <v>412</v>
      </c>
      <c r="CG63" s="0" t="n">
        <v>6.7</v>
      </c>
      <c r="CH63" s="187" t="s">
        <v>412</v>
      </c>
      <c r="CI63" s="0" t="n">
        <v>5.2</v>
      </c>
      <c r="CJ63" s="187" t="s">
        <v>412</v>
      </c>
      <c r="CK63" s="0" t="n">
        <v>4.2</v>
      </c>
      <c r="CL63" s="187" t="s">
        <v>412</v>
      </c>
      <c r="CM63" s="0" t="n">
        <v>1.9</v>
      </c>
      <c r="CN63" s="187" t="s">
        <v>412</v>
      </c>
      <c r="CO63" s="0" t="n">
        <v>9</v>
      </c>
      <c r="CP63" s="187" t="s">
        <v>412</v>
      </c>
    </row>
    <row r="64" customFormat="false" ht="14.25" hidden="false" customHeight="false" outlineLevel="0" collapsed="false">
      <c r="BO64" s="0" t="n">
        <v>12.8</v>
      </c>
      <c r="BP64" s="187" t="s">
        <v>413</v>
      </c>
      <c r="BQ64" s="0" t="n">
        <v>15.4</v>
      </c>
      <c r="BR64" s="187" t="s">
        <v>413</v>
      </c>
      <c r="BS64" s="0" t="n">
        <v>7.8</v>
      </c>
      <c r="BT64" s="187" t="s">
        <v>413</v>
      </c>
      <c r="BU64" s="0" t="n">
        <v>6.7</v>
      </c>
      <c r="BV64" s="187" t="s">
        <v>413</v>
      </c>
      <c r="BY64" s="0" t="n">
        <v>9.2</v>
      </c>
      <c r="BZ64" s="187" t="s">
        <v>413</v>
      </c>
      <c r="CA64" s="0" t="n">
        <v>10.5</v>
      </c>
      <c r="CB64" s="187" t="s">
        <v>413</v>
      </c>
      <c r="CE64" s="0" t="n">
        <v>10.8</v>
      </c>
      <c r="CF64" s="187" t="s">
        <v>413</v>
      </c>
      <c r="CG64" s="0" t="n">
        <v>6.7</v>
      </c>
      <c r="CH64" s="187" t="s">
        <v>413</v>
      </c>
      <c r="CI64" s="0" t="n">
        <v>5.2</v>
      </c>
      <c r="CJ64" s="187" t="s">
        <v>413</v>
      </c>
      <c r="CK64" s="0" t="n">
        <v>4.2</v>
      </c>
      <c r="CL64" s="187" t="s">
        <v>413</v>
      </c>
      <c r="CM64" s="0" t="n">
        <v>1.9</v>
      </c>
      <c r="CN64" s="187" t="s">
        <v>413</v>
      </c>
      <c r="CO64" s="0" t="n">
        <v>9</v>
      </c>
      <c r="CP64" s="187" t="s">
        <v>413</v>
      </c>
    </row>
    <row r="65" customFormat="false" ht="14.25" hidden="false" customHeight="false" outlineLevel="0" collapsed="false">
      <c r="BO65" s="0" t="n">
        <v>12.8</v>
      </c>
      <c r="BP65" s="187" t="s">
        <v>414</v>
      </c>
      <c r="BQ65" s="0" t="n">
        <v>15.3</v>
      </c>
      <c r="BR65" s="187" t="s">
        <v>414</v>
      </c>
      <c r="BS65" s="0" t="n">
        <v>7.8</v>
      </c>
      <c r="BT65" s="187" t="s">
        <v>414</v>
      </c>
      <c r="BU65" s="0" t="n">
        <v>6.7</v>
      </c>
      <c r="BV65" s="187" t="s">
        <v>414</v>
      </c>
      <c r="BY65" s="0" t="n">
        <v>9.2</v>
      </c>
      <c r="BZ65" s="187" t="s">
        <v>414</v>
      </c>
      <c r="CA65" s="0" t="n">
        <v>10.5</v>
      </c>
      <c r="CB65" s="187" t="s">
        <v>414</v>
      </c>
      <c r="CE65" s="0" t="n">
        <v>10.8</v>
      </c>
      <c r="CF65" s="187" t="s">
        <v>414</v>
      </c>
      <c r="CG65" s="0" t="n">
        <v>6.7</v>
      </c>
      <c r="CH65" s="187" t="s">
        <v>414</v>
      </c>
      <c r="CI65" s="0" t="n">
        <v>5.1</v>
      </c>
      <c r="CJ65" s="187" t="s">
        <v>414</v>
      </c>
      <c r="CK65" s="0" t="n">
        <v>4.2</v>
      </c>
      <c r="CL65" s="187" t="s">
        <v>414</v>
      </c>
      <c r="CM65" s="0" t="n">
        <v>1.9</v>
      </c>
      <c r="CN65" s="187" t="s">
        <v>414</v>
      </c>
      <c r="CO65" s="0" t="n">
        <v>9</v>
      </c>
      <c r="CP65" s="187" t="s">
        <v>414</v>
      </c>
    </row>
    <row r="66" customFormat="false" ht="14.25" hidden="false" customHeight="false" outlineLevel="0" collapsed="false">
      <c r="BO66" s="0" t="n">
        <v>12.8</v>
      </c>
      <c r="BP66" s="187" t="s">
        <v>415</v>
      </c>
      <c r="BQ66" s="0" t="n">
        <v>15.3</v>
      </c>
      <c r="BR66" s="187" t="s">
        <v>415</v>
      </c>
      <c r="BS66" s="0" t="n">
        <v>7.8</v>
      </c>
      <c r="BT66" s="187" t="s">
        <v>415</v>
      </c>
      <c r="BU66" s="0" t="n">
        <v>6.7</v>
      </c>
      <c r="BV66" s="187" t="s">
        <v>415</v>
      </c>
      <c r="BY66" s="0" t="n">
        <v>9.2</v>
      </c>
      <c r="BZ66" s="187" t="s">
        <v>415</v>
      </c>
      <c r="CA66" s="0" t="n">
        <v>10.5</v>
      </c>
      <c r="CB66" s="187" t="s">
        <v>415</v>
      </c>
      <c r="CE66" s="0" t="n">
        <v>10.8</v>
      </c>
      <c r="CF66" s="187" t="s">
        <v>415</v>
      </c>
      <c r="CG66" s="0" t="n">
        <v>6.7</v>
      </c>
      <c r="CH66" s="187" t="s">
        <v>415</v>
      </c>
      <c r="CI66" s="0" t="n">
        <v>5.1</v>
      </c>
      <c r="CJ66" s="187" t="s">
        <v>415</v>
      </c>
      <c r="CK66" s="0" t="n">
        <v>4.2</v>
      </c>
      <c r="CL66" s="187" t="s">
        <v>415</v>
      </c>
      <c r="CM66" s="0" t="n">
        <v>1.9</v>
      </c>
      <c r="CN66" s="187" t="s">
        <v>415</v>
      </c>
      <c r="CO66" s="0" t="n">
        <v>9</v>
      </c>
      <c r="CP66" s="187" t="s">
        <v>415</v>
      </c>
    </row>
    <row r="67" customFormat="false" ht="14.25" hidden="false" customHeight="false" outlineLevel="0" collapsed="false">
      <c r="BO67" s="0" t="n">
        <v>12.8</v>
      </c>
      <c r="BP67" s="187" t="s">
        <v>416</v>
      </c>
      <c r="BQ67" s="0" t="n">
        <v>15.3</v>
      </c>
      <c r="BR67" s="187" t="s">
        <v>416</v>
      </c>
      <c r="BS67" s="0" t="n">
        <v>7.8</v>
      </c>
      <c r="BT67" s="187" t="s">
        <v>416</v>
      </c>
      <c r="BU67" s="0" t="n">
        <v>6.6</v>
      </c>
      <c r="BV67" s="187" t="s">
        <v>416</v>
      </c>
      <c r="BY67" s="0" t="n">
        <v>9.2</v>
      </c>
      <c r="BZ67" s="187" t="s">
        <v>416</v>
      </c>
      <c r="CA67" s="0" t="n">
        <v>10.5</v>
      </c>
      <c r="CB67" s="187" t="s">
        <v>416</v>
      </c>
      <c r="CE67" s="0" t="n">
        <v>10.8</v>
      </c>
      <c r="CF67" s="187" t="s">
        <v>416</v>
      </c>
      <c r="CG67" s="0" t="n">
        <v>6.6</v>
      </c>
      <c r="CH67" s="187" t="s">
        <v>416</v>
      </c>
      <c r="CI67" s="0" t="n">
        <v>5.1</v>
      </c>
      <c r="CJ67" s="187" t="s">
        <v>416</v>
      </c>
      <c r="CK67" s="0" t="n">
        <v>4.2</v>
      </c>
      <c r="CL67" s="187" t="s">
        <v>416</v>
      </c>
      <c r="CM67" s="0" t="n">
        <v>1.9</v>
      </c>
      <c r="CN67" s="187" t="s">
        <v>416</v>
      </c>
      <c r="CO67" s="0" t="n">
        <v>9</v>
      </c>
      <c r="CP67" s="187" t="s">
        <v>416</v>
      </c>
    </row>
    <row r="68" customFormat="false" ht="14.25" hidden="false" customHeight="false" outlineLevel="0" collapsed="false">
      <c r="BO68" s="0" t="n">
        <v>12.8</v>
      </c>
      <c r="BP68" s="187" t="s">
        <v>417</v>
      </c>
      <c r="BQ68" s="0" t="n">
        <v>15.3</v>
      </c>
      <c r="BR68" s="187" t="s">
        <v>417</v>
      </c>
      <c r="BS68" s="0" t="n">
        <v>7.7</v>
      </c>
      <c r="BT68" s="187" t="s">
        <v>417</v>
      </c>
      <c r="BU68" s="0" t="n">
        <v>6.6</v>
      </c>
      <c r="BV68" s="187" t="s">
        <v>417</v>
      </c>
      <c r="BY68" s="0" t="n">
        <v>9.2</v>
      </c>
      <c r="BZ68" s="187" t="s">
        <v>417</v>
      </c>
      <c r="CA68" s="0" t="n">
        <v>10.5</v>
      </c>
      <c r="CB68" s="187" t="s">
        <v>417</v>
      </c>
      <c r="CE68" s="0" t="n">
        <v>10.8</v>
      </c>
      <c r="CF68" s="187" t="s">
        <v>417</v>
      </c>
      <c r="CG68" s="0" t="n">
        <v>6.6</v>
      </c>
      <c r="CH68" s="187" t="s">
        <v>417</v>
      </c>
      <c r="CI68" s="0" t="n">
        <v>5.1</v>
      </c>
      <c r="CJ68" s="187" t="s">
        <v>417</v>
      </c>
      <c r="CK68" s="0" t="n">
        <v>4.2</v>
      </c>
      <c r="CL68" s="187" t="s">
        <v>417</v>
      </c>
      <c r="CM68" s="0" t="n">
        <v>1.9</v>
      </c>
      <c r="CN68" s="187" t="s">
        <v>417</v>
      </c>
      <c r="CO68" s="0" t="n">
        <v>9</v>
      </c>
      <c r="CP68" s="187" t="s">
        <v>417</v>
      </c>
    </row>
    <row r="69" customFormat="false" ht="14.25" hidden="false" customHeight="false" outlineLevel="0" collapsed="false">
      <c r="BO69" s="0" t="n">
        <v>12.8</v>
      </c>
      <c r="BP69" s="187" t="s">
        <v>418</v>
      </c>
      <c r="BQ69" s="0" t="n">
        <v>15.3</v>
      </c>
      <c r="BR69" s="187" t="s">
        <v>418</v>
      </c>
      <c r="BS69" s="0" t="n">
        <v>7.7</v>
      </c>
      <c r="BT69" s="187" t="s">
        <v>418</v>
      </c>
      <c r="BU69" s="0" t="n">
        <v>6.6</v>
      </c>
      <c r="BV69" s="187" t="s">
        <v>418</v>
      </c>
      <c r="BY69" s="0" t="n">
        <v>9.2</v>
      </c>
      <c r="BZ69" s="187" t="s">
        <v>418</v>
      </c>
      <c r="CA69" s="0" t="n">
        <v>10.5</v>
      </c>
      <c r="CB69" s="187" t="s">
        <v>418</v>
      </c>
      <c r="CE69" s="0" t="n">
        <v>10.8</v>
      </c>
      <c r="CF69" s="187" t="s">
        <v>418</v>
      </c>
      <c r="CG69" s="0" t="n">
        <v>6.6</v>
      </c>
      <c r="CH69" s="187" t="s">
        <v>418</v>
      </c>
      <c r="CI69" s="0" t="n">
        <v>5.1</v>
      </c>
      <c r="CJ69" s="187" t="s">
        <v>418</v>
      </c>
      <c r="CK69" s="0" t="n">
        <v>4.2</v>
      </c>
      <c r="CL69" s="187" t="s">
        <v>418</v>
      </c>
      <c r="CM69" s="0" t="n">
        <v>1.9</v>
      </c>
      <c r="CN69" s="187" t="s">
        <v>418</v>
      </c>
      <c r="CO69" s="0" t="n">
        <v>9</v>
      </c>
      <c r="CP69" s="187" t="s">
        <v>418</v>
      </c>
    </row>
    <row r="70" customFormat="false" ht="14.25" hidden="false" customHeight="false" outlineLevel="0" collapsed="false">
      <c r="BO70" s="0" t="n">
        <v>12.8</v>
      </c>
      <c r="BP70" s="187" t="s">
        <v>419</v>
      </c>
      <c r="BQ70" s="0" t="n">
        <v>15.3</v>
      </c>
      <c r="BR70" s="187" t="s">
        <v>419</v>
      </c>
      <c r="BS70" s="0" t="n">
        <v>7.7</v>
      </c>
      <c r="BT70" s="187" t="s">
        <v>419</v>
      </c>
      <c r="BU70" s="0" t="n">
        <v>6.6</v>
      </c>
      <c r="BV70" s="187" t="s">
        <v>419</v>
      </c>
      <c r="BY70" s="0" t="n">
        <v>9.2</v>
      </c>
      <c r="BZ70" s="187" t="s">
        <v>419</v>
      </c>
      <c r="CA70" s="0" t="n">
        <v>10.5</v>
      </c>
      <c r="CB70" s="187" t="s">
        <v>419</v>
      </c>
      <c r="CE70" s="0" t="n">
        <v>10.8</v>
      </c>
      <c r="CF70" s="187" t="s">
        <v>419</v>
      </c>
      <c r="CG70" s="0" t="n">
        <v>6.6</v>
      </c>
      <c r="CH70" s="187" t="s">
        <v>419</v>
      </c>
      <c r="CI70" s="0" t="n">
        <v>5.1</v>
      </c>
      <c r="CJ70" s="187" t="s">
        <v>419</v>
      </c>
      <c r="CK70" s="0" t="n">
        <v>4.2</v>
      </c>
      <c r="CL70" s="187" t="s">
        <v>419</v>
      </c>
      <c r="CM70" s="0" t="n">
        <v>1.9</v>
      </c>
      <c r="CN70" s="187" t="s">
        <v>419</v>
      </c>
      <c r="CO70" s="0" t="n">
        <v>9</v>
      </c>
      <c r="CP70" s="187" t="s">
        <v>419</v>
      </c>
    </row>
    <row r="71" customFormat="false" ht="14.25" hidden="false" customHeight="false" outlineLevel="0" collapsed="false">
      <c r="BO71" s="0" t="n">
        <v>12.7</v>
      </c>
      <c r="BP71" s="187" t="s">
        <v>420</v>
      </c>
      <c r="BQ71" s="0" t="n">
        <v>15.3</v>
      </c>
      <c r="BR71" s="187" t="s">
        <v>420</v>
      </c>
      <c r="BS71" s="0" t="n">
        <v>7.7</v>
      </c>
      <c r="BT71" s="187" t="s">
        <v>420</v>
      </c>
      <c r="BU71" s="0" t="n">
        <v>6.5</v>
      </c>
      <c r="BV71" s="187" t="s">
        <v>420</v>
      </c>
      <c r="BY71" s="0" t="n">
        <v>9.2</v>
      </c>
      <c r="BZ71" s="187" t="s">
        <v>420</v>
      </c>
      <c r="CA71" s="0" t="n">
        <v>10.5</v>
      </c>
      <c r="CB71" s="187" t="s">
        <v>420</v>
      </c>
      <c r="CE71" s="0" t="n">
        <v>10.8</v>
      </c>
      <c r="CF71" s="187" t="s">
        <v>420</v>
      </c>
      <c r="CG71" s="0" t="n">
        <v>6.6</v>
      </c>
      <c r="CH71" s="187" t="s">
        <v>420</v>
      </c>
      <c r="CI71" s="0" t="n">
        <v>5.1</v>
      </c>
      <c r="CJ71" s="187" t="s">
        <v>420</v>
      </c>
      <c r="CK71" s="0" t="n">
        <v>4.2</v>
      </c>
      <c r="CL71" s="187" t="s">
        <v>420</v>
      </c>
      <c r="CM71" s="0" t="n">
        <v>1.9</v>
      </c>
      <c r="CN71" s="187" t="s">
        <v>420</v>
      </c>
      <c r="CO71" s="0" t="n">
        <v>9</v>
      </c>
      <c r="CP71" s="187" t="s">
        <v>420</v>
      </c>
    </row>
    <row r="72" customFormat="false" ht="14.25" hidden="false" customHeight="false" outlineLevel="0" collapsed="false">
      <c r="BO72" s="0" t="n">
        <v>12.7</v>
      </c>
      <c r="BP72" s="187" t="s">
        <v>421</v>
      </c>
      <c r="BQ72" s="0" t="n">
        <v>15.3</v>
      </c>
      <c r="BR72" s="187" t="s">
        <v>421</v>
      </c>
      <c r="BS72" s="0" t="n">
        <v>7.7</v>
      </c>
      <c r="BT72" s="187" t="s">
        <v>421</v>
      </c>
      <c r="BU72" s="0" t="n">
        <v>6.5</v>
      </c>
      <c r="BV72" s="187" t="s">
        <v>421</v>
      </c>
      <c r="BY72" s="0" t="n">
        <v>9.2</v>
      </c>
      <c r="BZ72" s="187" t="s">
        <v>421</v>
      </c>
      <c r="CA72" s="0" t="n">
        <v>10.4</v>
      </c>
      <c r="CB72" s="187" t="s">
        <v>421</v>
      </c>
      <c r="CE72" s="0" t="n">
        <v>10.7</v>
      </c>
      <c r="CF72" s="187" t="s">
        <v>421</v>
      </c>
      <c r="CG72" s="0" t="n">
        <v>6.6</v>
      </c>
      <c r="CH72" s="187" t="s">
        <v>421</v>
      </c>
      <c r="CI72" s="0" t="n">
        <v>5.1</v>
      </c>
      <c r="CJ72" s="187" t="s">
        <v>421</v>
      </c>
      <c r="CK72" s="0" t="n">
        <v>4.2</v>
      </c>
      <c r="CL72" s="187" t="s">
        <v>421</v>
      </c>
      <c r="CM72" s="0" t="n">
        <v>1.9</v>
      </c>
      <c r="CN72" s="187" t="s">
        <v>421</v>
      </c>
      <c r="CO72" s="0" t="n">
        <v>8.9</v>
      </c>
      <c r="CP72" s="187" t="s">
        <v>421</v>
      </c>
    </row>
    <row r="73" customFormat="false" ht="14.25" hidden="false" customHeight="false" outlineLevel="0" collapsed="false">
      <c r="BO73" s="0" t="n">
        <v>12.7</v>
      </c>
      <c r="BP73" s="187" t="s">
        <v>422</v>
      </c>
      <c r="BQ73" s="0" t="n">
        <v>15.3</v>
      </c>
      <c r="BR73" s="187" t="s">
        <v>422</v>
      </c>
      <c r="BS73" s="0" t="n">
        <v>7.6</v>
      </c>
      <c r="BT73" s="187" t="s">
        <v>422</v>
      </c>
      <c r="BU73" s="0" t="n">
        <v>6.5</v>
      </c>
      <c r="BV73" s="187" t="s">
        <v>422</v>
      </c>
      <c r="BY73" s="0" t="n">
        <v>9.1</v>
      </c>
      <c r="BZ73" s="187" t="s">
        <v>422</v>
      </c>
      <c r="CA73" s="0" t="n">
        <v>10.4</v>
      </c>
      <c r="CB73" s="187" t="s">
        <v>422</v>
      </c>
      <c r="CE73" s="0" t="n">
        <v>10.7</v>
      </c>
      <c r="CF73" s="187" t="s">
        <v>422</v>
      </c>
      <c r="CG73" s="0" t="n">
        <v>6.6</v>
      </c>
      <c r="CH73" s="187" t="s">
        <v>422</v>
      </c>
      <c r="CI73" s="0" t="n">
        <v>5.1</v>
      </c>
      <c r="CJ73" s="187" t="s">
        <v>422</v>
      </c>
      <c r="CK73" s="0" t="n">
        <v>4.2</v>
      </c>
      <c r="CL73" s="187" t="s">
        <v>422</v>
      </c>
      <c r="CM73" s="0" t="n">
        <v>1.9</v>
      </c>
      <c r="CN73" s="187" t="s">
        <v>422</v>
      </c>
      <c r="CO73" s="0" t="n">
        <v>8.9</v>
      </c>
      <c r="CP73" s="187" t="s">
        <v>422</v>
      </c>
    </row>
    <row r="74" customFormat="false" ht="14.25" hidden="false" customHeight="false" outlineLevel="0" collapsed="false">
      <c r="BO74" s="0" t="n">
        <v>12.7</v>
      </c>
      <c r="BP74" s="187" t="s">
        <v>423</v>
      </c>
      <c r="BQ74" s="0" t="n">
        <v>15.3</v>
      </c>
      <c r="BR74" s="187" t="s">
        <v>423</v>
      </c>
      <c r="BS74" s="0" t="n">
        <v>7.6</v>
      </c>
      <c r="BT74" s="187" t="s">
        <v>423</v>
      </c>
      <c r="BU74" s="0" t="n">
        <v>6.5</v>
      </c>
      <c r="BV74" s="187" t="s">
        <v>423</v>
      </c>
      <c r="BY74" s="0" t="n">
        <v>9.1</v>
      </c>
      <c r="BZ74" s="187" t="s">
        <v>423</v>
      </c>
      <c r="CA74" s="0" t="n">
        <v>10.4</v>
      </c>
      <c r="CB74" s="187" t="s">
        <v>423</v>
      </c>
      <c r="CE74" s="0" t="n">
        <v>10.7</v>
      </c>
      <c r="CF74" s="187" t="s">
        <v>423</v>
      </c>
      <c r="CG74" s="0" t="n">
        <v>6.6</v>
      </c>
      <c r="CH74" s="187" t="s">
        <v>423</v>
      </c>
      <c r="CI74" s="0" t="n">
        <v>5</v>
      </c>
      <c r="CJ74" s="187" t="s">
        <v>423</v>
      </c>
      <c r="CK74" s="0" t="n">
        <v>4.2</v>
      </c>
      <c r="CL74" s="187" t="s">
        <v>423</v>
      </c>
      <c r="CM74" s="0" t="n">
        <v>1.8</v>
      </c>
      <c r="CN74" s="187" t="s">
        <v>423</v>
      </c>
      <c r="CO74" s="0" t="n">
        <v>8.9</v>
      </c>
      <c r="CP74" s="187" t="s">
        <v>423</v>
      </c>
    </row>
    <row r="75" customFormat="false" ht="14.25" hidden="false" customHeight="false" outlineLevel="0" collapsed="false">
      <c r="BO75" s="0" t="n">
        <v>12.7</v>
      </c>
      <c r="BP75" s="187" t="s">
        <v>424</v>
      </c>
      <c r="BQ75" s="0" t="n">
        <v>15.3</v>
      </c>
      <c r="BR75" s="187" t="s">
        <v>424</v>
      </c>
      <c r="BS75" s="0" t="n">
        <v>7.6</v>
      </c>
      <c r="BT75" s="187" t="s">
        <v>424</v>
      </c>
      <c r="BU75" s="0" t="n">
        <v>6.5</v>
      </c>
      <c r="BV75" s="187" t="s">
        <v>424</v>
      </c>
      <c r="BY75" s="0" t="n">
        <v>9.1</v>
      </c>
      <c r="BZ75" s="187" t="s">
        <v>424</v>
      </c>
      <c r="CA75" s="0" t="n">
        <v>10.4</v>
      </c>
      <c r="CB75" s="187" t="s">
        <v>424</v>
      </c>
      <c r="CE75" s="0" t="n">
        <v>10.7</v>
      </c>
      <c r="CF75" s="187" t="s">
        <v>424</v>
      </c>
      <c r="CG75" s="0" t="n">
        <v>6.6</v>
      </c>
      <c r="CH75" s="187" t="s">
        <v>424</v>
      </c>
      <c r="CI75" s="0" t="n">
        <v>5</v>
      </c>
      <c r="CJ75" s="187" t="s">
        <v>424</v>
      </c>
      <c r="CK75" s="0" t="n">
        <v>4.2</v>
      </c>
      <c r="CL75" s="187" t="s">
        <v>424</v>
      </c>
      <c r="CM75" s="0" t="n">
        <v>1.8</v>
      </c>
      <c r="CN75" s="187" t="s">
        <v>424</v>
      </c>
      <c r="CO75" s="0" t="n">
        <v>8.9</v>
      </c>
      <c r="CP75" s="187" t="s">
        <v>424</v>
      </c>
    </row>
    <row r="76" customFormat="false" ht="14.25" hidden="false" customHeight="false" outlineLevel="0" collapsed="false">
      <c r="BO76" s="0" t="n">
        <v>12.7</v>
      </c>
      <c r="BP76" s="187" t="s">
        <v>425</v>
      </c>
      <c r="BQ76" s="0" t="n">
        <v>15.3</v>
      </c>
      <c r="BR76" s="187" t="s">
        <v>425</v>
      </c>
      <c r="BS76" s="0" t="n">
        <v>7.6</v>
      </c>
      <c r="BT76" s="187" t="s">
        <v>425</v>
      </c>
      <c r="BU76" s="0" t="n">
        <v>6.5</v>
      </c>
      <c r="BV76" s="187" t="s">
        <v>425</v>
      </c>
      <c r="BY76" s="0" t="n">
        <v>9.1</v>
      </c>
      <c r="BZ76" s="187" t="s">
        <v>425</v>
      </c>
      <c r="CA76" s="0" t="n">
        <v>10.4</v>
      </c>
      <c r="CB76" s="187" t="s">
        <v>425</v>
      </c>
      <c r="CE76" s="0" t="n">
        <v>10.7</v>
      </c>
      <c r="CF76" s="187" t="s">
        <v>425</v>
      </c>
      <c r="CG76" s="0" t="n">
        <v>6.6</v>
      </c>
      <c r="CH76" s="187" t="s">
        <v>425</v>
      </c>
      <c r="CI76" s="0" t="n">
        <v>5</v>
      </c>
      <c r="CJ76" s="187" t="s">
        <v>425</v>
      </c>
      <c r="CK76" s="0" t="n">
        <v>4.1</v>
      </c>
      <c r="CL76" s="187" t="s">
        <v>425</v>
      </c>
      <c r="CM76" s="0" t="n">
        <v>1.8</v>
      </c>
      <c r="CN76" s="187" t="s">
        <v>425</v>
      </c>
      <c r="CO76" s="0" t="n">
        <v>8.9</v>
      </c>
      <c r="CP76" s="187" t="s">
        <v>425</v>
      </c>
    </row>
    <row r="77" customFormat="false" ht="14.25" hidden="false" customHeight="false" outlineLevel="0" collapsed="false">
      <c r="BO77" s="0" t="n">
        <v>12.7</v>
      </c>
      <c r="BP77" s="187" t="s">
        <v>426</v>
      </c>
      <c r="BQ77" s="0" t="n">
        <v>15.3</v>
      </c>
      <c r="BR77" s="187" t="s">
        <v>426</v>
      </c>
      <c r="BS77" s="0" t="n">
        <v>7.6</v>
      </c>
      <c r="BT77" s="187" t="s">
        <v>426</v>
      </c>
      <c r="BU77" s="0" t="n">
        <v>6.5</v>
      </c>
      <c r="BV77" s="187" t="s">
        <v>426</v>
      </c>
      <c r="BY77" s="0" t="n">
        <v>9</v>
      </c>
      <c r="BZ77" s="187" t="s">
        <v>426</v>
      </c>
      <c r="CA77" s="0" t="n">
        <v>10.4</v>
      </c>
      <c r="CB77" s="187" t="s">
        <v>426</v>
      </c>
      <c r="CE77" s="0" t="n">
        <v>10.7</v>
      </c>
      <c r="CF77" s="187" t="s">
        <v>426</v>
      </c>
      <c r="CG77" s="0" t="n">
        <v>6.6</v>
      </c>
      <c r="CH77" s="187" t="s">
        <v>426</v>
      </c>
      <c r="CI77" s="0" t="n">
        <v>5</v>
      </c>
      <c r="CJ77" s="187" t="s">
        <v>426</v>
      </c>
      <c r="CK77" s="0" t="n">
        <v>4.1</v>
      </c>
      <c r="CL77" s="187" t="s">
        <v>426</v>
      </c>
      <c r="CM77" s="0" t="n">
        <v>1.8</v>
      </c>
      <c r="CN77" s="187" t="s">
        <v>426</v>
      </c>
      <c r="CO77" s="0" t="n">
        <v>8.9</v>
      </c>
      <c r="CP77" s="187" t="s">
        <v>426</v>
      </c>
    </row>
    <row r="78" customFormat="false" ht="14.25" hidden="false" customHeight="false" outlineLevel="0" collapsed="false">
      <c r="BO78" s="0" t="n">
        <v>12.7</v>
      </c>
      <c r="BP78" s="187" t="s">
        <v>427</v>
      </c>
      <c r="BQ78" s="0" t="n">
        <v>15.2</v>
      </c>
      <c r="BR78" s="187" t="s">
        <v>427</v>
      </c>
      <c r="BS78" s="0" t="n">
        <v>7.6</v>
      </c>
      <c r="BT78" s="187" t="s">
        <v>427</v>
      </c>
      <c r="BU78" s="0" t="n">
        <v>6.4</v>
      </c>
      <c r="BV78" s="187" t="s">
        <v>427</v>
      </c>
      <c r="BY78" s="0" t="n">
        <v>9</v>
      </c>
      <c r="BZ78" s="187" t="s">
        <v>427</v>
      </c>
      <c r="CA78" s="0" t="n">
        <v>10.4</v>
      </c>
      <c r="CB78" s="187" t="s">
        <v>427</v>
      </c>
      <c r="CE78" s="0" t="n">
        <v>10.7</v>
      </c>
      <c r="CF78" s="187" t="s">
        <v>427</v>
      </c>
      <c r="CG78" s="0" t="n">
        <v>6.5</v>
      </c>
      <c r="CH78" s="187" t="s">
        <v>427</v>
      </c>
      <c r="CI78" s="0" t="n">
        <v>5</v>
      </c>
      <c r="CJ78" s="187" t="s">
        <v>427</v>
      </c>
      <c r="CK78" s="0" t="n">
        <v>4.1</v>
      </c>
      <c r="CL78" s="187" t="s">
        <v>427</v>
      </c>
      <c r="CM78" s="0" t="n">
        <v>1.8</v>
      </c>
      <c r="CN78" s="187" t="s">
        <v>427</v>
      </c>
      <c r="CO78" s="0" t="n">
        <v>8.9</v>
      </c>
      <c r="CP78" s="187" t="s">
        <v>427</v>
      </c>
    </row>
    <row r="79" customFormat="false" ht="14.25" hidden="false" customHeight="false" outlineLevel="0" collapsed="false">
      <c r="BO79" s="0" t="n">
        <v>12.7</v>
      </c>
      <c r="BP79" s="187" t="s">
        <v>428</v>
      </c>
      <c r="BQ79" s="0" t="n">
        <v>15.2</v>
      </c>
      <c r="BR79" s="187" t="s">
        <v>428</v>
      </c>
      <c r="BS79" s="0" t="n">
        <v>7.6</v>
      </c>
      <c r="BT79" s="187" t="s">
        <v>428</v>
      </c>
      <c r="BU79" s="0" t="n">
        <v>6.4</v>
      </c>
      <c r="BV79" s="187" t="s">
        <v>428</v>
      </c>
      <c r="BY79" s="0" t="n">
        <v>9</v>
      </c>
      <c r="BZ79" s="187" t="s">
        <v>428</v>
      </c>
      <c r="CA79" s="0" t="n">
        <v>10.3</v>
      </c>
      <c r="CB79" s="187" t="s">
        <v>428</v>
      </c>
      <c r="CE79" s="0" t="n">
        <v>10.7</v>
      </c>
      <c r="CF79" s="187" t="s">
        <v>428</v>
      </c>
      <c r="CG79" s="0" t="n">
        <v>6.5</v>
      </c>
      <c r="CH79" s="187" t="s">
        <v>428</v>
      </c>
      <c r="CI79" s="0" t="n">
        <v>5</v>
      </c>
      <c r="CJ79" s="187" t="s">
        <v>428</v>
      </c>
      <c r="CK79" s="0" t="n">
        <v>4.1</v>
      </c>
      <c r="CL79" s="187" t="s">
        <v>428</v>
      </c>
      <c r="CM79" s="0" t="n">
        <v>1.8</v>
      </c>
      <c r="CN79" s="187" t="s">
        <v>428</v>
      </c>
      <c r="CO79" s="0" t="n">
        <v>8.9</v>
      </c>
      <c r="CP79" s="187" t="s">
        <v>428</v>
      </c>
    </row>
    <row r="80" customFormat="false" ht="14.25" hidden="false" customHeight="false" outlineLevel="0" collapsed="false">
      <c r="BO80" s="0" t="n">
        <v>12.7</v>
      </c>
      <c r="BP80" s="187" t="s">
        <v>429</v>
      </c>
      <c r="BQ80" s="0" t="n">
        <v>15.2</v>
      </c>
      <c r="BR80" s="187" t="s">
        <v>429</v>
      </c>
      <c r="BS80" s="0" t="n">
        <v>7.6</v>
      </c>
      <c r="BT80" s="187" t="s">
        <v>429</v>
      </c>
      <c r="BU80" s="0" t="n">
        <v>6.4</v>
      </c>
      <c r="BV80" s="187" t="s">
        <v>429</v>
      </c>
      <c r="BY80" s="0" t="n">
        <v>9</v>
      </c>
      <c r="BZ80" s="187" t="s">
        <v>429</v>
      </c>
      <c r="CA80" s="0" t="n">
        <v>10.3</v>
      </c>
      <c r="CB80" s="187" t="s">
        <v>429</v>
      </c>
      <c r="CE80" s="0" t="n">
        <v>10.6</v>
      </c>
      <c r="CF80" s="187" t="s">
        <v>429</v>
      </c>
      <c r="CG80" s="0" t="n">
        <v>6.5</v>
      </c>
      <c r="CH80" s="187" t="s">
        <v>429</v>
      </c>
      <c r="CI80" s="0" t="n">
        <v>5</v>
      </c>
      <c r="CJ80" s="187" t="s">
        <v>429</v>
      </c>
      <c r="CK80" s="0" t="n">
        <v>4.1</v>
      </c>
      <c r="CL80" s="187" t="s">
        <v>429</v>
      </c>
      <c r="CM80" s="0" t="n">
        <v>1.8</v>
      </c>
      <c r="CN80" s="187" t="s">
        <v>429</v>
      </c>
      <c r="CO80" s="0" t="n">
        <v>8.9</v>
      </c>
      <c r="CP80" s="187" t="s">
        <v>429</v>
      </c>
    </row>
    <row r="81" customFormat="false" ht="14.25" hidden="false" customHeight="false" outlineLevel="0" collapsed="false">
      <c r="BO81" s="0" t="n">
        <v>12.7</v>
      </c>
      <c r="BP81" s="187" t="s">
        <v>430</v>
      </c>
      <c r="BQ81" s="0" t="n">
        <v>15.2</v>
      </c>
      <c r="BR81" s="187" t="s">
        <v>430</v>
      </c>
      <c r="BS81" s="0" t="n">
        <v>7.6</v>
      </c>
      <c r="BT81" s="187" t="s">
        <v>430</v>
      </c>
      <c r="BU81" s="0" t="n">
        <v>6.4</v>
      </c>
      <c r="BV81" s="187" t="s">
        <v>430</v>
      </c>
      <c r="BY81" s="0" t="n">
        <v>9</v>
      </c>
      <c r="BZ81" s="187" t="s">
        <v>430</v>
      </c>
      <c r="CA81" s="0" t="n">
        <v>10.3</v>
      </c>
      <c r="CB81" s="187" t="s">
        <v>430</v>
      </c>
      <c r="CE81" s="0" t="n">
        <v>10.6</v>
      </c>
      <c r="CF81" s="187" t="s">
        <v>430</v>
      </c>
      <c r="CG81" s="0" t="n">
        <v>6.5</v>
      </c>
      <c r="CH81" s="187" t="s">
        <v>430</v>
      </c>
      <c r="CI81" s="0" t="n">
        <v>5</v>
      </c>
      <c r="CJ81" s="187" t="s">
        <v>430</v>
      </c>
      <c r="CK81" s="0" t="n">
        <v>4.1</v>
      </c>
      <c r="CL81" s="187" t="s">
        <v>430</v>
      </c>
      <c r="CM81" s="0" t="n">
        <v>1.8</v>
      </c>
      <c r="CN81" s="187" t="s">
        <v>430</v>
      </c>
      <c r="CO81" s="0" t="n">
        <v>8.9</v>
      </c>
      <c r="CP81" s="187" t="s">
        <v>430</v>
      </c>
    </row>
    <row r="82" customFormat="false" ht="14.25" hidden="false" customHeight="false" outlineLevel="0" collapsed="false">
      <c r="BO82" s="0" t="n">
        <v>12.7</v>
      </c>
      <c r="BP82" s="187" t="s">
        <v>431</v>
      </c>
      <c r="BQ82" s="0" t="n">
        <v>15.2</v>
      </c>
      <c r="BR82" s="187" t="s">
        <v>431</v>
      </c>
      <c r="BS82" s="0" t="n">
        <v>7.6</v>
      </c>
      <c r="BT82" s="187" t="s">
        <v>431</v>
      </c>
      <c r="BU82" s="0" t="n">
        <v>6.4</v>
      </c>
      <c r="BV82" s="187" t="s">
        <v>431</v>
      </c>
      <c r="BY82" s="0" t="n">
        <v>9</v>
      </c>
      <c r="BZ82" s="187" t="s">
        <v>431</v>
      </c>
      <c r="CA82" s="0" t="n">
        <v>10.3</v>
      </c>
      <c r="CB82" s="187" t="s">
        <v>431</v>
      </c>
      <c r="CE82" s="0" t="n">
        <v>10.6</v>
      </c>
      <c r="CF82" s="187" t="s">
        <v>431</v>
      </c>
      <c r="CG82" s="0" t="n">
        <v>6.5</v>
      </c>
      <c r="CH82" s="187" t="s">
        <v>431</v>
      </c>
      <c r="CI82" s="0" t="n">
        <v>5</v>
      </c>
      <c r="CJ82" s="187" t="s">
        <v>431</v>
      </c>
      <c r="CK82" s="0" t="n">
        <v>4.1</v>
      </c>
      <c r="CL82" s="187" t="s">
        <v>431</v>
      </c>
      <c r="CM82" s="0" t="n">
        <v>1.8</v>
      </c>
      <c r="CN82" s="187" t="s">
        <v>431</v>
      </c>
      <c r="CO82" s="0" t="n">
        <v>8.9</v>
      </c>
      <c r="CP82" s="187" t="s">
        <v>431</v>
      </c>
    </row>
    <row r="83" customFormat="false" ht="14.25" hidden="false" customHeight="false" outlineLevel="0" collapsed="false">
      <c r="BO83" s="0" t="n">
        <v>12.7</v>
      </c>
      <c r="BP83" s="187" t="s">
        <v>432</v>
      </c>
      <c r="BQ83" s="0" t="n">
        <v>15.2</v>
      </c>
      <c r="BR83" s="187" t="s">
        <v>432</v>
      </c>
      <c r="BS83" s="0" t="n">
        <v>7.6</v>
      </c>
      <c r="BT83" s="187" t="s">
        <v>432</v>
      </c>
      <c r="BU83" s="0" t="n">
        <v>6.4</v>
      </c>
      <c r="BV83" s="187" t="s">
        <v>432</v>
      </c>
      <c r="BY83" s="0" t="n">
        <v>9</v>
      </c>
      <c r="BZ83" s="187" t="s">
        <v>432</v>
      </c>
      <c r="CA83" s="0" t="n">
        <v>10.3</v>
      </c>
      <c r="CB83" s="187" t="s">
        <v>432</v>
      </c>
      <c r="CE83" s="0" t="n">
        <v>10.6</v>
      </c>
      <c r="CF83" s="187" t="s">
        <v>432</v>
      </c>
      <c r="CG83" s="0" t="n">
        <v>6.5</v>
      </c>
      <c r="CH83" s="187" t="s">
        <v>432</v>
      </c>
      <c r="CI83" s="0" t="n">
        <v>4.9</v>
      </c>
      <c r="CJ83" s="187" t="s">
        <v>432</v>
      </c>
      <c r="CK83" s="0" t="n">
        <v>4.1</v>
      </c>
      <c r="CL83" s="187" t="s">
        <v>432</v>
      </c>
      <c r="CM83" s="0" t="n">
        <v>1.8</v>
      </c>
      <c r="CN83" s="187" t="s">
        <v>432</v>
      </c>
      <c r="CO83" s="0" t="n">
        <v>8.9</v>
      </c>
      <c r="CP83" s="187" t="s">
        <v>432</v>
      </c>
    </row>
    <row r="84" customFormat="false" ht="14.25" hidden="false" customHeight="false" outlineLevel="0" collapsed="false">
      <c r="BO84" s="0" t="n">
        <v>12.7</v>
      </c>
      <c r="BP84" s="187" t="s">
        <v>433</v>
      </c>
      <c r="BQ84" s="0" t="n">
        <v>15.2</v>
      </c>
      <c r="BR84" s="187" t="s">
        <v>433</v>
      </c>
      <c r="BS84" s="0" t="n">
        <v>7.6</v>
      </c>
      <c r="BT84" s="187" t="s">
        <v>433</v>
      </c>
      <c r="BU84" s="0" t="n">
        <v>6.4</v>
      </c>
      <c r="BV84" s="187" t="s">
        <v>433</v>
      </c>
      <c r="BY84" s="0" t="n">
        <v>9</v>
      </c>
      <c r="BZ84" s="187" t="s">
        <v>433</v>
      </c>
      <c r="CA84" s="0" t="n">
        <v>10.3</v>
      </c>
      <c r="CB84" s="187" t="s">
        <v>433</v>
      </c>
      <c r="CE84" s="0" t="n">
        <v>10.6</v>
      </c>
      <c r="CF84" s="187" t="s">
        <v>433</v>
      </c>
      <c r="CG84" s="0" t="n">
        <v>6.4</v>
      </c>
      <c r="CH84" s="187" t="s">
        <v>433</v>
      </c>
      <c r="CI84" s="0" t="n">
        <v>4.9</v>
      </c>
      <c r="CJ84" s="187" t="s">
        <v>433</v>
      </c>
      <c r="CK84" s="0" t="n">
        <v>4.1</v>
      </c>
      <c r="CL84" s="187" t="s">
        <v>433</v>
      </c>
      <c r="CM84" s="0" t="n">
        <v>1.8</v>
      </c>
      <c r="CN84" s="187" t="s">
        <v>433</v>
      </c>
      <c r="CO84" s="0" t="n">
        <v>8.9</v>
      </c>
      <c r="CP84" s="187" t="s">
        <v>433</v>
      </c>
    </row>
    <row r="85" customFormat="false" ht="14.25" hidden="false" customHeight="false" outlineLevel="0" collapsed="false">
      <c r="BO85" s="0" t="n">
        <v>12.7</v>
      </c>
      <c r="BP85" s="187" t="s">
        <v>434</v>
      </c>
      <c r="BQ85" s="0" t="n">
        <v>15.2</v>
      </c>
      <c r="BR85" s="187" t="s">
        <v>434</v>
      </c>
      <c r="BS85" s="0" t="n">
        <v>7.6</v>
      </c>
      <c r="BT85" s="187" t="s">
        <v>434</v>
      </c>
      <c r="BU85" s="0" t="n">
        <v>6.4</v>
      </c>
      <c r="BV85" s="187" t="s">
        <v>434</v>
      </c>
      <c r="BY85" s="0" t="n">
        <v>9</v>
      </c>
      <c r="BZ85" s="187" t="s">
        <v>434</v>
      </c>
      <c r="CA85" s="0" t="n">
        <v>10.3</v>
      </c>
      <c r="CB85" s="187" t="s">
        <v>434</v>
      </c>
      <c r="CE85" s="0" t="n">
        <v>10.5</v>
      </c>
      <c r="CF85" s="187" t="s">
        <v>434</v>
      </c>
      <c r="CG85" s="0" t="n">
        <v>6.4</v>
      </c>
      <c r="CH85" s="187" t="s">
        <v>434</v>
      </c>
      <c r="CI85" s="0" t="n">
        <v>4.9</v>
      </c>
      <c r="CJ85" s="187" t="s">
        <v>434</v>
      </c>
      <c r="CK85" s="0" t="n">
        <v>4.1</v>
      </c>
      <c r="CL85" s="187" t="s">
        <v>434</v>
      </c>
      <c r="CM85" s="0" t="n">
        <v>1.8</v>
      </c>
      <c r="CN85" s="187" t="s">
        <v>434</v>
      </c>
      <c r="CO85" s="0" t="n">
        <v>8.9</v>
      </c>
      <c r="CP85" s="187" t="s">
        <v>434</v>
      </c>
    </row>
    <row r="86" customFormat="false" ht="14.25" hidden="false" customHeight="false" outlineLevel="0" collapsed="false">
      <c r="A86" s="188" t="n">
        <f aca="false">MAX(A4:A29)</f>
        <v>12.1</v>
      </c>
      <c r="B86" s="0" t="str">
        <f aca="false">LEFT(VLOOKUP(MAX(A4:A29),A4:B29,2,FALSE()),10)</f>
        <v>2023-08-03</v>
      </c>
      <c r="E86" s="188" t="n">
        <f aca="false">MAX(E4:E29)</f>
        <v>6.3</v>
      </c>
      <c r="F86" s="0" t="str">
        <f aca="false">LEFT(VLOOKUP(MAX(E4:E29),E4:F29,2,FALSE()),10)</f>
        <v>2023-08-03</v>
      </c>
      <c r="G86" s="188" t="n">
        <f aca="false">MAX(G4:G29)</f>
        <v>9.6</v>
      </c>
      <c r="H86" s="0" t="str">
        <f aca="false">LEFT(VLOOKUP(MAX(G4:G29),G4:H29,2,FALSE()),10)</f>
        <v>2023-08-03</v>
      </c>
      <c r="I86" s="188" t="n">
        <f aca="false">MAX(I4:I29)</f>
        <v>4</v>
      </c>
      <c r="J86" s="0" t="str">
        <f aca="false">LEFT(VLOOKUP(MAX(I4:I29),I4:J29,2,FALSE()),10)</f>
        <v>2023-08-03</v>
      </c>
      <c r="K86" s="188" t="n">
        <f aca="false">MAX(K4:K29)</f>
        <v>20.4</v>
      </c>
      <c r="L86" s="0" t="str">
        <f aca="false">LEFT(VLOOKUP(MAX(K4:K29),K4:L29,2,FALSE()),10)</f>
        <v>2023-08-04</v>
      </c>
      <c r="M86" s="188" t="n">
        <f aca="false">MAX(M4:M57)</f>
        <v>16.1</v>
      </c>
      <c r="N86" s="0" t="str">
        <f aca="false">LEFT(VLOOKUP(MAX(M4:M57),M4:N57,2,FALSE()),10)</f>
        <v>2023-08-04</v>
      </c>
      <c r="Q86" s="188" t="n">
        <f aca="false">MAX(Q4:Q27)</f>
        <v>667.6</v>
      </c>
      <c r="R86" s="0" t="str">
        <f aca="false">LEFT(VLOOKUP(MAX(Q4:Q27),Q4:R27,2,FALSE()),10)</f>
        <v>2023-08-03</v>
      </c>
      <c r="AI86" s="188" t="n">
        <f aca="false">MAX(AI4:AI27)</f>
        <v>5.1</v>
      </c>
      <c r="AJ86" s="0" t="str">
        <f aca="false">LEFT(VLOOKUP(MAX(AI4:AI27),AI4:AJ27,2,FALSE()),10)</f>
        <v>2023-08-03</v>
      </c>
      <c r="AK86" s="188" t="n">
        <f aca="false">MAX(AK4:AK27)</f>
        <v>4.6</v>
      </c>
      <c r="AL86" s="0" t="str">
        <f aca="false">LEFT(VLOOKUP(MAX(AK4:AK27),AK4:AL27,2,FALSE()),10)</f>
        <v>2023-08-03</v>
      </c>
      <c r="AM86" s="188" t="n">
        <f aca="false">MAX(AM4:AM27)</f>
        <v>4.6</v>
      </c>
      <c r="AN86" s="0" t="str">
        <f aca="false">LEFT(VLOOKUP(MAX(AM4:AM27),AM4:AN27,2,FALSE()),10)</f>
        <v>2023-08-03</v>
      </c>
      <c r="AO86" s="188" t="n">
        <f aca="false">MAX(AO4:AO27)</f>
        <v>4.5</v>
      </c>
      <c r="AP86" s="0" t="str">
        <f aca="false">LEFT(VLOOKUP(MAX(AO4:AO27),AO4:AP27,2,FALSE()),10)</f>
        <v>2023-08-03</v>
      </c>
      <c r="AQ86" s="188" t="n">
        <f aca="false">MAX(AQ4:AQ29)</f>
        <v>4.6</v>
      </c>
      <c r="AR86" s="0" t="str">
        <f aca="false">LEFT(VLOOKUP(MAX(AQ4:AQ29),AQ4:AR29,2,FALSE()),10)</f>
        <v>2023-08-03</v>
      </c>
      <c r="AS86" s="188" t="n">
        <f aca="false">MAX(AS4:AS27)</f>
        <v>3.8</v>
      </c>
      <c r="AT86" s="0" t="str">
        <f aca="false">LEFT(VLOOKUP(MAX(AS4:AS27),AS4:AT27,2,FALSE()),10)</f>
        <v>2023-08-03</v>
      </c>
      <c r="AU86" s="188" t="n">
        <f aca="false">MAX(AU4:AU27)</f>
        <v>3.7</v>
      </c>
      <c r="AV86" s="0" t="str">
        <f aca="false">LEFT(VLOOKUP(MAX(AU4:AU27),AU4:AV27,2,FALSE()),10)</f>
        <v>2023-08-03</v>
      </c>
      <c r="AW86" s="188" t="n">
        <f aca="false">MAX(AW4:AW27)</f>
        <v>1.5</v>
      </c>
      <c r="AX86" s="0" t="str">
        <f aca="false">LEFT(VLOOKUP(MAX(AW4:AW27),AW4:AX27,2,FALSE()),10)</f>
        <v>2023-08-03</v>
      </c>
      <c r="AY86" s="188" t="n">
        <f aca="false">MAX(AY4:AY27)</f>
        <v>3.7</v>
      </c>
      <c r="AZ86" s="0" t="str">
        <f aca="false">LEFT(VLOOKUP(MAX(AY4:AY27),AY4:AZ27,2,FALSE()),10)</f>
        <v>2023-08-04</v>
      </c>
      <c r="BA86" s="188" t="n">
        <f aca="false">MAX(BA4:BA55)</f>
        <v>3.4</v>
      </c>
      <c r="BB86" s="0" t="str">
        <f aca="false">LEFT(VLOOKUP(MAX(BA4:BA55),BA4:BB55,2,FALSE()),10)</f>
        <v>2023-08-03</v>
      </c>
      <c r="BC86" s="188" t="n">
        <f aca="false">MAX(BC4:BC55)</f>
        <v>3.6</v>
      </c>
      <c r="BD86" s="0" t="str">
        <f aca="false">LEFT(VLOOKUP(MAX(BC4:BC55),BC4:BD55,2,FALSE()),10)</f>
        <v>2023-08-03</v>
      </c>
      <c r="BE86" s="188" t="n">
        <f aca="false">MAX(BE4:BE55)</f>
        <v>4.6</v>
      </c>
      <c r="BF86" s="0" t="str">
        <f aca="false">LEFT(VLOOKUP(MAX(BE4:BE55),BE4:BF55,2,FALSE()),10)</f>
        <v>2023-08-03</v>
      </c>
      <c r="BG86" s="188" t="n">
        <f aca="false">MAX(BG4:BG55)</f>
        <v>14.2</v>
      </c>
      <c r="BH86" s="0" t="str">
        <f aca="false">LEFT(VLOOKUP(MAX(BG4:BG55),BG4:BH55,2,FALSE()),10)</f>
        <v>2023-08-03</v>
      </c>
      <c r="BI86" s="188" t="n">
        <f aca="false">MAX(BI4:BI55)</f>
        <v>14.6</v>
      </c>
      <c r="BJ86" s="0" t="str">
        <f aca="false">LEFT(VLOOKUP(MAX(BI4:BI55),BI4:BJ55,2,FALSE()),10)</f>
        <v>2023-08-03</v>
      </c>
      <c r="BK86" s="188" t="n">
        <f aca="false">MAX(BK4:BK57)</f>
        <v>6.5</v>
      </c>
      <c r="BL86" s="0" t="str">
        <f aca="false">LEFT(VLOOKUP(MAX(BK4:BK57),BK4:BL57,2,FALSE()),10)</f>
        <v>2023-08-05</v>
      </c>
      <c r="BO86" s="0" t="n">
        <v>12.7</v>
      </c>
      <c r="BP86" s="187" t="s">
        <v>435</v>
      </c>
      <c r="BQ86" s="0" t="n">
        <v>15.2</v>
      </c>
      <c r="BR86" s="187" t="s">
        <v>435</v>
      </c>
      <c r="BS86" s="0" t="n">
        <v>7.6</v>
      </c>
      <c r="BT86" s="187" t="s">
        <v>435</v>
      </c>
      <c r="BU86" s="0" t="n">
        <v>6.4</v>
      </c>
      <c r="BV86" s="187" t="s">
        <v>435</v>
      </c>
      <c r="BW86" s="188" t="n">
        <f aca="false">MAX(BW4:BW4)</f>
        <v>0</v>
      </c>
      <c r="BX86" s="183" t="e">
        <f aca="false">LEFT(VLOOKUP(MAX(BW4:BW4),BW4:BX4,2,FALSE()),10)</f>
        <v>#N/A</v>
      </c>
      <c r="BY86" s="0" t="n">
        <v>9</v>
      </c>
      <c r="BZ86" s="187" t="s">
        <v>435</v>
      </c>
      <c r="CA86" s="0" t="n">
        <v>10.3</v>
      </c>
      <c r="CB86" s="187" t="s">
        <v>435</v>
      </c>
      <c r="CC86" s="188" t="n">
        <f aca="false">MAX(CC4:CC4)</f>
        <v>0</v>
      </c>
      <c r="CD86" s="183" t="e">
        <f aca="false">LEFT(VLOOKUP(MAX(CC4:CC4),CC4:CD4,2,FALSE()),10)</f>
        <v>#N/A</v>
      </c>
      <c r="CE86" s="0" t="n">
        <v>10.5</v>
      </c>
      <c r="CF86" s="187" t="s">
        <v>435</v>
      </c>
      <c r="CG86" s="0" t="n">
        <v>6.4</v>
      </c>
      <c r="CH86" s="187" t="s">
        <v>435</v>
      </c>
      <c r="CI86" s="0" t="n">
        <v>4.9</v>
      </c>
      <c r="CJ86" s="187" t="s">
        <v>435</v>
      </c>
      <c r="CK86" s="0" t="n">
        <v>4.1</v>
      </c>
      <c r="CL86" s="187" t="s">
        <v>435</v>
      </c>
      <c r="CM86" s="0" t="n">
        <v>1.8</v>
      </c>
      <c r="CN86" s="187" t="s">
        <v>435</v>
      </c>
      <c r="CO86" s="0" t="n">
        <v>8.9</v>
      </c>
      <c r="CP86" s="187" t="s">
        <v>435</v>
      </c>
    </row>
    <row r="87" customFormat="false" ht="14.25" hidden="false" customHeight="false" outlineLevel="0" collapsed="false">
      <c r="A87" s="188" t="n">
        <f aca="false">MIN(A4:A29)</f>
        <v>11.8</v>
      </c>
      <c r="B87" s="0" t="str">
        <f aca="false">LEFT(VLOOKUP(MIN(A4:A29),A4:B29,2,FALSE()),10)</f>
        <v>2023-08-07</v>
      </c>
      <c r="E87" s="188" t="n">
        <f aca="false">MIN(E4:E29)</f>
        <v>5.5</v>
      </c>
      <c r="F87" s="0" t="str">
        <f aca="false">LEFT(VLOOKUP(MIN(E4:E29),E4:F29,2,FALSE()),10)</f>
        <v>2023-08-09</v>
      </c>
      <c r="G87" s="188" t="n">
        <f aca="false">MIN(G4:G29)</f>
        <v>9.5</v>
      </c>
      <c r="H87" s="0" t="str">
        <f aca="false">LEFT(VLOOKUP(MIN(G4:G29),G4:H29,2,FALSE()),10)</f>
        <v>2023-08-04</v>
      </c>
      <c r="I87" s="188" t="n">
        <f aca="false">MIN(I4:I29)</f>
        <v>2.8</v>
      </c>
      <c r="J87" s="0" t="str">
        <f aca="false">LEFT(VLOOKUP(MIN(I4:I29),I4:J29,2,FALSE()),10)</f>
        <v>2023-08-09</v>
      </c>
      <c r="K87" s="188" t="n">
        <f aca="false">MIN(K4:K29)</f>
        <v>19.7</v>
      </c>
      <c r="L87" s="0" t="str">
        <f aca="false">LEFT(VLOOKUP(MIN(K4:K29),K4:L29,2,FALSE()),10)</f>
        <v>2023-08-07</v>
      </c>
      <c r="M87" s="188" t="n">
        <f aca="false">MIN(M4:M57)</f>
        <v>15.7</v>
      </c>
      <c r="N87" s="0" t="str">
        <f aca="false">LEFT(VLOOKUP(MIN(M4:M57),M4:N57,2,FALSE()),10)</f>
        <v>2023-08-15</v>
      </c>
      <c r="Q87" s="188" t="n">
        <f aca="false">MIN(Q4:Q27)</f>
        <v>667.6</v>
      </c>
      <c r="R87" s="0" t="str">
        <f aca="false">LEFT(VLOOKUP(MIN(Q4:Q27),Q4:R27,2,FALSE()),10)</f>
        <v>2023-08-03</v>
      </c>
      <c r="AI87" s="188" t="n">
        <f aca="false">MIN(AI4:AI27)</f>
        <v>4.5</v>
      </c>
      <c r="AJ87" s="0" t="str">
        <f aca="false">LEFT(VLOOKUP(MIN(AI4:AI27),AI4:AJ27,2,FALSE()),10)</f>
        <v>2023-08-08</v>
      </c>
      <c r="AK87" s="188" t="n">
        <f aca="false">MIN(AK4:AK27)</f>
        <v>3.7</v>
      </c>
      <c r="AL87" s="0" t="str">
        <f aca="false">LEFT(VLOOKUP(MIN(AK4:AK27),AK4:AL27,2,FALSE()),10)</f>
        <v>2023-08-08</v>
      </c>
      <c r="AM87" s="188" t="n">
        <f aca="false">MIN(AM4:AM27)</f>
        <v>4</v>
      </c>
      <c r="AN87" s="0" t="str">
        <f aca="false">LEFT(VLOOKUP(MIN(AM4:AM27),AM4:AN27,2,FALSE()),10)</f>
        <v>2023-08-08</v>
      </c>
      <c r="AO87" s="188" t="n">
        <f aca="false">MIN(AO4:AO27)</f>
        <v>4.1</v>
      </c>
      <c r="AP87" s="0" t="str">
        <f aca="false">LEFT(VLOOKUP(MIN(AO4:AO27),AO4:AP27,2,FALSE()),10)</f>
        <v>2023-08-08</v>
      </c>
      <c r="AQ87" s="188" t="n">
        <f aca="false">MIN(AQ4:AQ29)</f>
        <v>3.6</v>
      </c>
      <c r="AR87" s="0" t="str">
        <f aca="false">LEFT(VLOOKUP(MIN(AQ4:AQ29),AQ4:AR29,2,FALSE()),10)</f>
        <v>2023-08-09</v>
      </c>
      <c r="AS87" s="188" t="n">
        <f aca="false">MIN(AS4:AS27)</f>
        <v>3</v>
      </c>
      <c r="AT87" s="0" t="str">
        <f aca="false">LEFT(VLOOKUP(MIN(AS4:AS27),AS4:AT27,2,FALSE()),10)</f>
        <v>2023-08-08</v>
      </c>
      <c r="AU87" s="188" t="n">
        <f aca="false">MIN(AU4:AU27)</f>
        <v>2.7</v>
      </c>
      <c r="AV87" s="0" t="str">
        <f aca="false">LEFT(VLOOKUP(MIN(AU4:AU27),AU4:AV27,2,FALSE()),10)</f>
        <v>2023-08-09</v>
      </c>
      <c r="AW87" s="188" t="n">
        <f aca="false">MIN(AW4:AW27)</f>
        <v>0.7</v>
      </c>
      <c r="AX87" s="0" t="str">
        <f aca="false">LEFT(VLOOKUP(MIN(AW4:AW27),AW4:AX27,2,FALSE()),10)</f>
        <v>2023-08-09</v>
      </c>
      <c r="AY87" s="188" t="n">
        <f aca="false">MIN(AY4:AY27)</f>
        <v>2.2</v>
      </c>
      <c r="AZ87" s="0" t="str">
        <f aca="false">LEFT(VLOOKUP(MIN(AY4:AY27),AY4:AZ27,2,FALSE()),10)</f>
        <v>2023-08-09</v>
      </c>
      <c r="BA87" s="188" t="n">
        <f aca="false">MIN(BA4:BA55)</f>
        <v>2.1</v>
      </c>
      <c r="BB87" s="0" t="str">
        <f aca="false">LEFT(VLOOKUP(MIN(BA4:BA55),BA4:BB55,2,FALSE()),10)</f>
        <v>2023-08-14</v>
      </c>
      <c r="BC87" s="188" t="n">
        <f aca="false">MIN(BC4:BC55)</f>
        <v>2.5</v>
      </c>
      <c r="BD87" s="0" t="str">
        <f aca="false">LEFT(VLOOKUP(MIN(BC4:BC55),BC4:BD55,2,FALSE()),10)</f>
        <v>2023-08-13</v>
      </c>
      <c r="BE87" s="188" t="n">
        <f aca="false">MIN(BE4:BE55)</f>
        <v>3.8</v>
      </c>
      <c r="BF87" s="0" t="str">
        <f aca="false">LEFT(VLOOKUP(MIN(BE4:BE55),BE4:BF55,2,FALSE()),10)</f>
        <v>2023-08-15</v>
      </c>
      <c r="BG87" s="188" t="n">
        <f aca="false">MIN(BG4:BG55)</f>
        <v>12.9</v>
      </c>
      <c r="BH87" s="0" t="str">
        <f aca="false">LEFT(VLOOKUP(MIN(BG4:BG55),BG4:BH55,2,FALSE()),10)</f>
        <v>2023-08-13</v>
      </c>
      <c r="BI87" s="188" t="n">
        <f aca="false">MIN(BI4:BI55)</f>
        <v>13</v>
      </c>
      <c r="BJ87" s="0" t="str">
        <f aca="false">LEFT(VLOOKUP(MIN(BI4:BI55),BI4:BJ55,2,FALSE()),10)</f>
        <v>2023-08-13</v>
      </c>
      <c r="BK87" s="188" t="n">
        <f aca="false">MIN(BK4:BK57)</f>
        <v>1.8</v>
      </c>
      <c r="BL87" s="0" t="str">
        <f aca="false">LEFT(VLOOKUP(MIN(BK4:BK57),BK4:BL57,2,FALSE()),10)</f>
        <v>2023-08-15</v>
      </c>
      <c r="BO87" s="0" t="n">
        <v>12.7</v>
      </c>
      <c r="BP87" s="187" t="s">
        <v>436</v>
      </c>
      <c r="BQ87" s="0" t="n">
        <v>15.2</v>
      </c>
      <c r="BR87" s="187" t="s">
        <v>436</v>
      </c>
      <c r="BS87" s="0" t="n">
        <v>7.6</v>
      </c>
      <c r="BT87" s="187" t="s">
        <v>436</v>
      </c>
      <c r="BU87" s="0" t="n">
        <v>6.4</v>
      </c>
      <c r="BV87" s="187" t="s">
        <v>436</v>
      </c>
      <c r="BW87" s="188" t="n">
        <f aca="false">MIN(BW4:BW4)</f>
        <v>0</v>
      </c>
      <c r="BX87" s="183" t="e">
        <f aca="false">LEFT(VLOOKUP(MIN(BW4:BW4),BW4:BX4,2,FALSE()),10)</f>
        <v>#N/A</v>
      </c>
      <c r="BY87" s="0" t="n">
        <v>8.9</v>
      </c>
      <c r="BZ87" s="187" t="s">
        <v>436</v>
      </c>
      <c r="CA87" s="0" t="n">
        <v>10.2</v>
      </c>
      <c r="CB87" s="187" t="s">
        <v>436</v>
      </c>
      <c r="CC87" s="188" t="n">
        <f aca="false">MIN(CC4:CC4)</f>
        <v>0</v>
      </c>
      <c r="CD87" s="183" t="e">
        <f aca="false">LEFT(VLOOKUP(MIN(CC4:CC4),CC4:CD4,2,FALSE()),10)</f>
        <v>#N/A</v>
      </c>
      <c r="CE87" s="0" t="n">
        <v>10.5</v>
      </c>
      <c r="CF87" s="187" t="s">
        <v>436</v>
      </c>
      <c r="CG87" s="0" t="n">
        <v>6.4</v>
      </c>
      <c r="CH87" s="187" t="s">
        <v>436</v>
      </c>
      <c r="CI87" s="0" t="n">
        <v>4.9</v>
      </c>
      <c r="CJ87" s="187" t="s">
        <v>436</v>
      </c>
      <c r="CK87" s="0" t="n">
        <v>4.1</v>
      </c>
      <c r="CL87" s="187" t="s">
        <v>436</v>
      </c>
      <c r="CM87" s="0" t="n">
        <v>1.8</v>
      </c>
      <c r="CN87" s="187" t="s">
        <v>436</v>
      </c>
      <c r="CO87" s="0" t="n">
        <v>8.8</v>
      </c>
      <c r="CP87" s="187" t="s">
        <v>436</v>
      </c>
    </row>
    <row r="88" customFormat="false" ht="14.25" hidden="false" customHeight="false" outlineLevel="0" collapsed="false">
      <c r="B88" s="0" t="str">
        <f aca="false" t="array" ref="B88:B88">IFERROR(LEFT(VLOOKUP(INDEX(A4:A29,MATCH(TRUE(),A4:A29&lt;22,0)),A4:B29,2,FALSE()),10),"beyond forecast")</f>
        <v>2023-08-03</v>
      </c>
      <c r="F88" s="0" t="str">
        <f aca="false" t="array" ref="F88:F88">IFERROR(LEFT(VLOOKUP(INDEX(E4:E29,MATCH(TRUE(),E4:E29&lt;20,0)),E4:F29,2,FALSE()),10),"beyond forecast")</f>
        <v>2023-08-03</v>
      </c>
      <c r="H88" s="189" t="str">
        <f aca="false" t="array" ref="H88:H88">IFERROR(LEFT(VLOOKUP(INDEX(G4:G29,MATCH(TRUE(),G4:G29&lt;22,0)),G4:H29,2,FALSE()),10),"beyond forecast")</f>
        <v>2023-08-03</v>
      </c>
      <c r="J88" s="183" t="str">
        <f aca="false" t="array" ref="J88:J88">IFERROR(LEFT(VLOOKUP(INDEX(I4:I29,MATCH(TRUE(),I4:I29&lt;23,0)),I4:J29,2,FALSE()),10),"beyond forecast")</f>
        <v>2023-08-03</v>
      </c>
      <c r="L88" s="183" t="str">
        <f aca="false" t="array" ref="L88:L88">IFERROR(LEFT(VLOOKUP(INDEX(K4:K29,MATCH(TRUE(),K4:K29&lt;33,0)),K4:L29,2,FALSE()),10),"beyond forecast")</f>
        <v>2023-08-03</v>
      </c>
      <c r="N88" s="183" t="str">
        <f aca="false" t="array" ref="N88:N88">IFERROR(LEFT(VLOOKUP(INDEX(M4:M57,MATCH(TRUE(),M4:M57&lt;22,0)),M4:N57,2,FALSE()),10),"beyond forecast")</f>
        <v>2023-08-03</v>
      </c>
      <c r="R88" s="183" t="str">
        <f aca="false" t="array" ref="R88:R88">IFERROR(LEFT(VLOOKUP(INDEX(Q4:Q27,MATCH(TRUE(),Q4:Q27&lt;17,0)),Q4:R27,2,FALSE()),10),"beyond forecast")</f>
        <v>beyond forecast</v>
      </c>
      <c r="AJ88" s="183" t="str">
        <f aca="false" t="array" ref="AJ88:AJ88">IFERROR(LEFT(VLOOKUP(INDEX(AI4:AI27,MATCH(TRUE(),AI4:AI27&lt;18,0)),AI4:AJ27,2,FALSE()),10),"beyond forecast")</f>
        <v>2023-08-03</v>
      </c>
      <c r="AL88" s="183" t="str">
        <f aca="false" t="array" ref="AL88:AL88">IFERROR(LEFT(VLOOKUP(INDEX(AK4:AK27,MATCH(TRUE(),AK4:AK27&lt;19,0)),AK4:AL27,2,FALSE()),10),"beyond forecast")</f>
        <v>2023-08-03</v>
      </c>
      <c r="AN88" s="183" t="str">
        <f aca="false" t="array" ref="AN88:AN88">IFERROR(LEFT(VLOOKUP(INDEX(AM4:AM27,MATCH(TRUE(),AM4:AM27&lt;18,0)),AM4:AN27,2,FALSE()),10),"beyond forecast")</f>
        <v>2023-08-03</v>
      </c>
      <c r="AP88" s="183" t="str">
        <f aca="false" t="array" ref="AP88:AP88">IFERROR(LEFT(VLOOKUP(INDEX(AO4:AO27,MATCH(TRUE(),AO4:AO27&lt;13,0)),AO4:AP27,2,FALSE()),10),"beyond forecast")</f>
        <v>2023-08-03</v>
      </c>
      <c r="AR88" s="183" t="str">
        <f aca="false" t="array" ref="AR88:AR88">IFERROR(LEFT(VLOOKUP(INDEX(AQ4:AQ29,MATCH(TRUE(),AQ4:AQ29&lt;17,0)),AQ4:AR29,2,FALSE()),10),"beyond forecast")</f>
        <v>2023-08-03</v>
      </c>
      <c r="AT88" s="183" t="str">
        <f aca="false" t="array" ref="AT88:AT88">IFERROR(LEFT(VLOOKUP(INDEX(AS4:AS27,MATCH(TRUE(),AS4:AS27&lt;17,0)),AS4:AT27,2,FALSE()),10),"beyond forecast")</f>
        <v>2023-08-03</v>
      </c>
      <c r="AV88" s="183" t="str">
        <f aca="false" t="array" ref="AV88:AV88">IFERROR(LEFT(VLOOKUP(INDEX(AU4:AU27,MATCH(TRUE(),AU4:AU27&lt;16,0)),AU4:AV27,2,FALSE()),10),"beyond forecast")</f>
        <v>2023-08-03</v>
      </c>
      <c r="AX88" s="183" t="str">
        <f aca="false" t="array" ref="AX88:AX88">IFERROR(LEFT(VLOOKUP(INDEX(AW4:AW27,MATCH(TRUE(),AW4:AW27&lt;12,0)),AW4:AX27,2,FALSE()),10),"beyond forecast")</f>
        <v>2023-08-03</v>
      </c>
      <c r="AZ88" s="183" t="str">
        <f aca="false" t="array" ref="AZ88:AZ88">IFERROR(LEFT(VLOOKUP(INDEX(AY4:AY27,MATCH(TRUE(),AY4:AY27&lt;18,0)),AY4:AZ27,2,FALSE()),10),"beyond forecast")</f>
        <v>2023-08-03</v>
      </c>
      <c r="BB88" s="183" t="str">
        <f aca="false" t="array" ref="BB88:BB88">IFERROR(LEFT(VLOOKUP(INDEX(BA4:BA55,MATCH(TRUE(),BA4:BA55&lt;16,0)),BA4:BB55,2,FALSE()),10),"beyond forecast")</f>
        <v>2023-08-03</v>
      </c>
      <c r="BD88" s="183" t="str">
        <f aca="false" t="array" ref="BD88:BD88">IFERROR(LEFT(VLOOKUP(INDEX(BC4:BC55,MATCH(TRUE(),BC4:BC55&lt;21.9,0)),BC4:BD55,2,FALSE()),10),"beyond forecast")</f>
        <v>2023-08-03</v>
      </c>
      <c r="BF88" s="183" t="str">
        <f aca="false" t="array" ref="BF88:BF88">IFERROR(LEFT(VLOOKUP(INDEX(BE4:BE55,MATCH(TRUE(),BE4:BE55&lt;21.4,0)),BE4:BF55,2,FALSE()),10),"beyond forecast")</f>
        <v>2023-08-03</v>
      </c>
      <c r="BH88" s="183" t="str">
        <f aca="false" t="array" ref="BH88:BH88">IFERROR(LEFT(VLOOKUP(INDEX(BG4:BG55,MATCH(TRUE(),BG4:BG55&lt;29,0)),BG4:BH55,2,FALSE()),10),"beyond forecast")</f>
        <v>2023-08-03</v>
      </c>
      <c r="BJ88" s="183" t="str">
        <f aca="false" t="array" ref="BJ88:BJ88">IFERROR(LEFT(VLOOKUP(INDEX(BI4:BI55,MATCH(TRUE(),BI4:BI55&lt;33.8,0)),BI4:BJ55,2,FALSE()),10),"beyond forecast")</f>
        <v>2023-08-03</v>
      </c>
      <c r="BL88" s="183" t="str">
        <f aca="false" t="array" ref="BL88:BL88">IFERROR(LEFT(VLOOKUP(INDEX(BK4:BK57,MATCH(TRUE(),BK4:BK57&lt;36.5,0)),BK4:BL57,2,FALSE()),10),"beyond forecast")</f>
        <v>2023-08-03</v>
      </c>
      <c r="BO88" s="0" t="n">
        <v>12.7</v>
      </c>
      <c r="BP88" s="187" t="s">
        <v>437</v>
      </c>
      <c r="BQ88" s="0" t="n">
        <v>15.2</v>
      </c>
      <c r="BR88" s="187" t="s">
        <v>437</v>
      </c>
      <c r="BS88" s="0" t="n">
        <v>7.6</v>
      </c>
      <c r="BT88" s="187" t="s">
        <v>437</v>
      </c>
      <c r="BU88" s="0" t="n">
        <v>6.4</v>
      </c>
      <c r="BV88" s="187" t="s">
        <v>437</v>
      </c>
      <c r="BX88" s="183" t="str">
        <f aca="false" t="array" ref="BX88:BX88">IFERROR(LEFT(VLOOKUP(INDEX(BW4:BW4,MATCH(TRUE(),BW4:BW4&lt;26,0)),BW4:BX4,2,FALSE()),10),"beyond forecast")</f>
        <v>beyond forecast</v>
      </c>
      <c r="BY88" s="0" t="n">
        <v>8.9</v>
      </c>
      <c r="BZ88" s="187" t="s">
        <v>437</v>
      </c>
      <c r="CA88" s="0" t="n">
        <v>10.2</v>
      </c>
      <c r="CB88" s="187" t="s">
        <v>437</v>
      </c>
      <c r="CD88" s="183" t="str">
        <f aca="false" t="array" ref="CD88:CD88">IFERROR(LEFT(VLOOKUP(INDEX(CC4:CC4,MATCH(TRUE(),CC4:CC4&lt;25,0)),CC4:CD4,2,FALSE()),10),"beyond forecast")</f>
        <v>beyond forecast</v>
      </c>
      <c r="CE88" s="0" t="n">
        <v>10.5</v>
      </c>
      <c r="CF88" s="187" t="s">
        <v>437</v>
      </c>
      <c r="CG88" s="0" t="n">
        <v>6.4</v>
      </c>
      <c r="CH88" s="187" t="s">
        <v>437</v>
      </c>
      <c r="CI88" s="0" t="n">
        <v>4.8</v>
      </c>
      <c r="CJ88" s="187" t="s">
        <v>437</v>
      </c>
      <c r="CK88" s="0" t="n">
        <v>4</v>
      </c>
      <c r="CL88" s="187" t="s">
        <v>437</v>
      </c>
      <c r="CM88" s="0" t="n">
        <v>1.7</v>
      </c>
      <c r="CN88" s="187" t="s">
        <v>437</v>
      </c>
      <c r="CO88" s="0" t="n">
        <v>8.8</v>
      </c>
      <c r="CP88" s="187" t="s">
        <v>437</v>
      </c>
    </row>
    <row r="89" customFormat="false" ht="14.25" hidden="false" customHeight="false" outlineLevel="0" collapsed="false">
      <c r="B89" s="0" t="str">
        <f aca="false" t="array" ref="B89:B89">IFERROR(LEFT(VLOOKUP(INDEX(A4:A29,MATCH(TRUE(),A4:A29&lt;18,0)),A4:B29,2,FALSE()),10),"beyond forecast")</f>
        <v>2023-08-03</v>
      </c>
      <c r="F89" s="0" t="str">
        <f aca="false" t="array" ref="F89:F89">IFERROR(LEFT(VLOOKUP(INDEX(E4:E29,MATCH(TRUE(),E4:E29&lt;14,0)),E4:F29,2,FALSE()),10),"beyond forecast")</f>
        <v>2023-08-03</v>
      </c>
      <c r="H89" s="0" t="str">
        <f aca="false" t="array" ref="H89:H89">IFERROR(LEFT(VLOOKUP(INDEX(G4:G29,MATCH(TRUE(),G4:G29&lt;14,0)),G4:H29,2,FALSE()),10),"beyond forecast")</f>
        <v>2023-08-03</v>
      </c>
      <c r="J89" s="0" t="str">
        <f aca="false" t="array" ref="J89:J89">IFERROR(LEFT(VLOOKUP(INDEX(I4:I29,MATCH(TRUE(),I4:I29&lt;14,0)),I4:J29,2,FALSE()),10),"beyond forecast")</f>
        <v>2023-08-03</v>
      </c>
      <c r="L89" s="0" t="str">
        <f aca="false" t="array" ref="L89:L89">IFERROR(LEFT(VLOOKUP(INDEX(K4:K29,MATCH(TRUE(),K4:K29&lt;25,0)),K4:L29,2,FALSE()),10),"beyond forecast")</f>
        <v>2023-08-03</v>
      </c>
      <c r="N89" s="0" t="str">
        <f aca="false" t="array" ref="N89:N89">IFERROR(LEFT(VLOOKUP(INDEX(M4:M57,MATCH(TRUE(),M4:M57&lt;18,0)),M4:N57,2,FALSE()),10),"beyond forecast")</f>
        <v>2023-08-03</v>
      </c>
      <c r="R89" s="0" t="str">
        <f aca="false" t="array" ref="R89:R89">IFERROR(LEFT(VLOOKUP(INDEX(Q4:Q27,MATCH(TRUE(),Q4:Q27&lt;14,0)),Q4:R27,2,FALSE()),10),"beyond forecast")</f>
        <v>beyond forecast</v>
      </c>
      <c r="AJ89" s="0" t="str">
        <f aca="false" t="array" ref="AJ89:AJ89">IFERROR(LEFT(VLOOKUP(INDEX(AI4:AI27,MATCH(TRUE(),AI4:AI27&lt;16,0)),AI4:AJ27,2,FALSE()),10),"beyond forecast")</f>
        <v>2023-08-03</v>
      </c>
      <c r="AL89" s="0" t="str">
        <f aca="false" t="array" ref="AL89:AL89">IFERROR(LEFT(VLOOKUP(INDEX(AK4:AK27,MATCH(TRUE(),AK4:AK27&lt;17,0)),AK4:AL27,2,FALSE()),10),"beyond forecast")</f>
        <v>2023-08-03</v>
      </c>
      <c r="AN89" s="0" t="str">
        <f aca="false" t="array" ref="AN89:AN89">IFERROR(LEFT(VLOOKUP(INDEX(AM4:AM27,MATCH(TRUE(),AM4:AM27&lt;16,0)),AM4:AN27,2,FALSE()),10),"beyond forecast")</f>
        <v>2023-08-03</v>
      </c>
      <c r="AP89" s="0" t="str">
        <f aca="false" t="array" ref="AP89:AP89">IFERROR(LEFT(VLOOKUP(INDEX(AO4:AO27,MATCH(TRUE(),AO4:AO27&lt;11,0)),AO4:AP27,2,FALSE()),10),"beyond forecast")</f>
        <v>2023-08-03</v>
      </c>
      <c r="AR89" s="0" t="str">
        <f aca="false" t="array" ref="AR89:AR89">IFERROR(LEFT(VLOOKUP(INDEX(AQ4:AQ29,MATCH(TRUE(),AQ4:AQ29&lt;15,0)),AQ4:AR29,2,FALSE()),10),"beyond forecast")</f>
        <v>2023-08-03</v>
      </c>
      <c r="AT89" s="0" t="str">
        <f aca="false" t="array" ref="AT89:AT89">IFERROR(LEFT(VLOOKUP(INDEX(AS4:AS27,MATCH(TRUE(),AS4:AS27&lt;15,0)),AS4:AT27,2,FALSE()),10),"beyond forecast")</f>
        <v>2023-08-03</v>
      </c>
      <c r="AV89" s="0" t="str">
        <f aca="false" t="array" ref="AV89:AV89">IFERROR(LEFT(VLOOKUP(INDEX(AU4:AU27,MATCH(TRUE(),AU4:AU27&lt;14,0)),AU4:AV27,2,FALSE()),10),"beyond forecast")</f>
        <v>2023-08-03</v>
      </c>
      <c r="AX89" s="0" t="str">
        <f aca="false" t="array" ref="AX89:AX89">IFERROR(LEFT(VLOOKUP(INDEX(AW4:AW27,MATCH(TRUE(),AW4:AW27&lt;10,0)),AW4:AX27,2,FALSE()),10),"beyond forecast")</f>
        <v>2023-08-03</v>
      </c>
      <c r="AZ89" s="0" t="str">
        <f aca="false" t="array" ref="AZ89:AZ89">IFERROR(LEFT(VLOOKUP(INDEX(AY4:AY27,MATCH(TRUE(),AY4:AY27&lt;16,0)),AY4:AZ27,2,FALSE()),10),"beyond forecast")</f>
        <v>2023-08-03</v>
      </c>
      <c r="BB89" s="0" t="str">
        <f aca="false" t="array" ref="BB89:BB89">IFERROR(LEFT(VLOOKUP(INDEX(BA4:BA55,MATCH(TRUE(),BA4:BA55&lt;14,0)),BA4:BB55,2,FALSE()),10),"beyond forecast")</f>
        <v>2023-08-03</v>
      </c>
      <c r="BD89" s="0" t="str">
        <f aca="false" t="array" ref="BD89:BD89">IFERROR(LEFT(VLOOKUP(INDEX(BC4:BC55,MATCH(TRUE(),BC4:BC55&lt;17,0)),BC4:BD55,2,FALSE()),10),"beyond forecast")</f>
        <v>2023-08-03</v>
      </c>
      <c r="BF89" s="0" t="str">
        <f aca="false" t="array" ref="BF89:BF89">IFERROR(LEFT(VLOOKUP(INDEX(BE4:BE55,MATCH(TRUE(),BE4:BE55&lt;16,0)),BE4:BF55,2,FALSE()),10),"beyond forecast")</f>
        <v>2023-08-03</v>
      </c>
      <c r="BH89" s="0" t="str">
        <f aca="false" t="array" ref="BH89:BH89">IFERROR(LEFT(VLOOKUP(INDEX(BG4:BG55,MATCH(TRUE(),BG4:BG55&lt;25,0)),BG4:BH55,2,FALSE()),10),"beyond forecast")</f>
        <v>2023-08-03</v>
      </c>
      <c r="BJ89" s="0" t="str">
        <f aca="false" t="array" ref="BJ89:BJ89">IFERROR(LEFT(VLOOKUP(INDEX(BI4:BI55,MATCH(TRUE(),BI4:BI55&lt;26,0)),BI4:BJ55,2,FALSE()),10),"beyond forecast")</f>
        <v>2023-08-03</v>
      </c>
      <c r="BL89" s="0" t="str">
        <f aca="false" t="array" ref="BL89:BL89">IFERROR(LEFT(VLOOKUP(INDEX(BK4:BK57,MATCH(TRUE(),BK4:BK57&lt;21,0)),BK4:BL57,2,FALSE()),10),"beyond forecast")</f>
        <v>2023-08-03</v>
      </c>
      <c r="BO89" s="0" t="n">
        <v>12.7</v>
      </c>
      <c r="BP89" s="187" t="s">
        <v>438</v>
      </c>
      <c r="BQ89" s="0" t="n">
        <v>15.2</v>
      </c>
      <c r="BR89" s="187" t="s">
        <v>438</v>
      </c>
      <c r="BS89" s="0" t="n">
        <v>7.5</v>
      </c>
      <c r="BT89" s="187" t="s">
        <v>438</v>
      </c>
      <c r="BU89" s="0" t="n">
        <v>6.4</v>
      </c>
      <c r="BV89" s="187" t="s">
        <v>438</v>
      </c>
      <c r="BX89" s="183" t="str">
        <f aca="false" t="array" ref="BX89:BX89">IFERROR(LEFT(VLOOKUP(INDEX(BW4:BW4,MATCH(TRUE(),BW4:BW4&lt;22,0)),BW4:BX4,2,FALSE()),10),"beyond forecast")</f>
        <v>beyond forecast</v>
      </c>
      <c r="BY89" s="0" t="n">
        <v>8.9</v>
      </c>
      <c r="BZ89" s="187" t="s">
        <v>438</v>
      </c>
      <c r="CA89" s="0" t="n">
        <v>10.2</v>
      </c>
      <c r="CB89" s="187" t="s">
        <v>438</v>
      </c>
      <c r="CD89" s="183" t="str">
        <f aca="false" t="array" ref="CD89:CD89">IFERROR(LEFT(VLOOKUP(INDEX(CC4:CC4,MATCH(TRUE(),CC4:CC4&lt;21,0)),CC4:CD4,2,FALSE()),10),"beyond forecast")</f>
        <v>beyond forecast</v>
      </c>
      <c r="CE89" s="0" t="n">
        <v>10.5</v>
      </c>
      <c r="CF89" s="187" t="s">
        <v>438</v>
      </c>
      <c r="CG89" s="0" t="n">
        <v>6.4</v>
      </c>
      <c r="CH89" s="187" t="s">
        <v>438</v>
      </c>
      <c r="CI89" s="0" t="n">
        <v>4.8</v>
      </c>
      <c r="CJ89" s="187" t="s">
        <v>438</v>
      </c>
      <c r="CK89" s="0" t="n">
        <v>4</v>
      </c>
      <c r="CL89" s="187" t="s">
        <v>438</v>
      </c>
      <c r="CM89" s="0" t="n">
        <v>1.7</v>
      </c>
      <c r="CN89" s="187" t="s">
        <v>438</v>
      </c>
      <c r="CO89" s="0" t="n">
        <v>8.8</v>
      </c>
      <c r="CP89" s="187" t="s">
        <v>438</v>
      </c>
    </row>
    <row r="90" customFormat="false" ht="14.25" hidden="false" customHeight="false" outlineLevel="0" collapsed="false">
      <c r="B90" s="0" t="str">
        <f aca="false" t="array" ref="B90:B90">IFERROR(LEFT(VLOOKUP(INDEX(A4:A29,MATCH(TRUE(),A4:A29&gt;10,0)),A4:B29,2,FALSE()),10),"beyond forecast")</f>
        <v>2023-08-03</v>
      </c>
      <c r="F90" s="0" t="str">
        <f aca="false" t="array" ref="F90:F90">IFERROR(LEFT(VLOOKUP(INDEX(E4:E29,MATCH(TRUE(),E4:E29&gt;3.3,0)),E4:F29,2,FALSE()),10),"beyond forecast")</f>
        <v>2023-08-03</v>
      </c>
      <c r="H90" s="0" t="str">
        <f aca="false" t="array" ref="H90:H90">IFERROR(LEFT(VLOOKUP(INDEX(G4:G29,MATCH(TRUE(),G4:G29&gt;7.6,0)),G4:H29,2,FALSE()),10),"beyond forecast")</f>
        <v>2023-08-03</v>
      </c>
      <c r="J90" s="0" t="str">
        <f aca="false" t="array" ref="J90:J90">IFERROR(LEFT(VLOOKUP(INDEX(I4:I29,MATCH(TRUE(),I4:I29&gt;1,0)),I4:J29,2,FALSE()),10),"beyond forecast")</f>
        <v>2023-08-03</v>
      </c>
      <c r="L90" s="0" t="str">
        <f aca="false" t="array" ref="L90:L90">IFERROR(LEFT(VLOOKUP(INDEX(K4:K29,MATCH(TRUE(),K4:K29&gt;18.1,0)),K4:L29,2,FALSE()),10),"beyond forecast")</f>
        <v>2023-08-03</v>
      </c>
      <c r="N90" s="0" t="str">
        <f aca="false" t="array" ref="N90:N90">IFERROR(LEFT(VLOOKUP(INDEX(M4:M57,MATCH(TRUE(),M4:M57&gt;14.2,0)),M4:N57,2,FALSE()),10),"beyond forecast")</f>
        <v>2023-08-03</v>
      </c>
      <c r="BO90" s="0" t="n">
        <v>12.7</v>
      </c>
      <c r="BP90" s="187" t="s">
        <v>439</v>
      </c>
      <c r="BQ90" s="0" t="n">
        <v>15.2</v>
      </c>
      <c r="BR90" s="187" t="s">
        <v>439</v>
      </c>
      <c r="BS90" s="0" t="n">
        <v>7.5</v>
      </c>
      <c r="BT90" s="187" t="s">
        <v>439</v>
      </c>
      <c r="BU90" s="0" t="n">
        <v>6.4</v>
      </c>
      <c r="BV90" s="187" t="s">
        <v>439</v>
      </c>
      <c r="BY90" s="0" t="n">
        <v>8.9</v>
      </c>
      <c r="BZ90" s="187" t="s">
        <v>439</v>
      </c>
      <c r="CA90" s="0" t="n">
        <v>10.2</v>
      </c>
      <c r="CB90" s="187" t="s">
        <v>439</v>
      </c>
      <c r="CE90" s="0" t="n">
        <v>10.5</v>
      </c>
      <c r="CF90" s="187" t="s">
        <v>439</v>
      </c>
      <c r="CG90" s="0" t="n">
        <v>6.4</v>
      </c>
      <c r="CH90" s="187" t="s">
        <v>439</v>
      </c>
      <c r="CI90" s="0" t="n">
        <v>4.8</v>
      </c>
      <c r="CJ90" s="187" t="s">
        <v>439</v>
      </c>
      <c r="CK90" s="0" t="n">
        <v>4</v>
      </c>
      <c r="CL90" s="187" t="s">
        <v>439</v>
      </c>
      <c r="CM90" s="0" t="n">
        <v>1.7</v>
      </c>
      <c r="CN90" s="187" t="s">
        <v>439</v>
      </c>
      <c r="CO90" s="0" t="n">
        <v>8.8</v>
      </c>
      <c r="CP90" s="187" t="s">
        <v>439</v>
      </c>
    </row>
    <row r="91" customFormat="false" ht="14.25" hidden="false" customHeight="false" outlineLevel="0" collapsed="false">
      <c r="B91" s="0" t="str">
        <f aca="false" t="array" ref="B91:B91">IFERROR(LEFT(VLOOKUP(INDEX(A4:A29,MATCH(TRUE(),A4:A29&gt;11.6,0)),A4:B29,2,FALSE()),10),"beyond forecast")</f>
        <v>2023-08-03</v>
      </c>
      <c r="F91" s="0" t="str">
        <f aca="false" t="array" ref="F91:F91">IFERROR(LEFT(VLOOKUP(INDEX(E4:E29,MATCH(TRUE(),E4:E29&gt;4.8,0)),E4:F29,2,FALSE()),10),"beyond forecast")</f>
        <v>2023-08-03</v>
      </c>
      <c r="H91" s="0" t="str">
        <f aca="false" t="array" ref="H91:H91">IFERROR(LEFT(VLOOKUP(INDEX(G4:G29,MATCH(TRUE(),G4:G29&gt;9.1,0)),G4:H29,2,FALSE()),10),"beyond forecast")</f>
        <v>2023-08-03</v>
      </c>
      <c r="J91" s="0" t="str">
        <f aca="false" t="array" ref="J91:J91">IFERROR(LEFT(VLOOKUP(INDEX(I4:I29,MATCH(TRUE(),I4:I29&gt;2,0)),I4:J29,2,FALSE()),10),"beyond forecast")</f>
        <v>2023-08-03</v>
      </c>
      <c r="L91" s="0" t="str">
        <f aca="false" t="array" ref="L91:L91">IFERROR(LEFT(VLOOKUP(INDEX(K4:K29,MATCH(TRUE(),K4:K29&gt;19,0)),K4:L29,2,FALSE()),10),"beyond forecast")</f>
        <v>2023-08-03</v>
      </c>
      <c r="N91" s="0" t="str">
        <f aca="false" t="array" ref="N91:N91">IFERROR(LEFT(VLOOKUP(INDEX(M4:M57,MATCH(TRUE(),M4:M57&gt;15.2,0)),M4:N57,2,FALSE()),10),"beyond forecast")</f>
        <v>2023-08-03</v>
      </c>
      <c r="BO91" s="0" t="n">
        <v>12.7</v>
      </c>
      <c r="BP91" s="187" t="s">
        <v>440</v>
      </c>
      <c r="BQ91" s="0" t="n">
        <v>15.2</v>
      </c>
      <c r="BR91" s="187" t="s">
        <v>440</v>
      </c>
      <c r="BS91" s="0" t="n">
        <v>7.5</v>
      </c>
      <c r="BT91" s="187" t="s">
        <v>440</v>
      </c>
      <c r="BU91" s="0" t="n">
        <v>6.3</v>
      </c>
      <c r="BV91" s="187" t="s">
        <v>440</v>
      </c>
      <c r="BY91" s="0" t="n">
        <v>8.9</v>
      </c>
      <c r="BZ91" s="187" t="s">
        <v>440</v>
      </c>
      <c r="CA91" s="0" t="n">
        <v>10.2</v>
      </c>
      <c r="CB91" s="187" t="s">
        <v>440</v>
      </c>
      <c r="CE91" s="0" t="n">
        <v>10.5</v>
      </c>
      <c r="CF91" s="187" t="s">
        <v>440</v>
      </c>
      <c r="CG91" s="0" t="n">
        <v>6.3</v>
      </c>
      <c r="CH91" s="187" t="s">
        <v>440</v>
      </c>
      <c r="CI91" s="0" t="n">
        <v>4.8</v>
      </c>
      <c r="CJ91" s="187" t="s">
        <v>440</v>
      </c>
      <c r="CK91" s="0" t="n">
        <v>4</v>
      </c>
      <c r="CL91" s="187" t="s">
        <v>440</v>
      </c>
      <c r="CM91" s="0" t="n">
        <v>1.7</v>
      </c>
      <c r="CN91" s="187" t="s">
        <v>440</v>
      </c>
      <c r="CO91" s="0" t="n">
        <v>8.8</v>
      </c>
      <c r="CP91" s="187" t="s">
        <v>440</v>
      </c>
    </row>
    <row r="92" customFormat="false" ht="14.25" hidden="false" customHeight="false" outlineLevel="0" collapsed="false">
      <c r="B92" s="0" t="str">
        <f aca="false" t="array" ref="B92:B92">IFERROR(LEFT(VLOOKUP(INDEX(A4:A29,MATCH(TRUE(),A4:A29&gt;=18,0)),A4:B29,2,FALSE()),10),"beyond forecast")</f>
        <v>beyond forecast</v>
      </c>
      <c r="F92" s="0" t="str">
        <f aca="false" t="array" ref="F92:F92">IFERROR(LEFT(VLOOKUP(INDEX(E4:E29,MATCH(TRUE(),E4:E29&gt;=14,0)),E4:F29,2,FALSE()),10),"beyond forecast")</f>
        <v>beyond forecast</v>
      </c>
      <c r="H92" s="0" t="str">
        <f aca="false" t="array" ref="H92:H92">IFERROR(LEFT(VLOOKUP(INDEX(G4:G29,MATCH(TRUE(),G4:G29&gt;=14,0)),G4:H29,2,FALSE()),10),"beyond forecast")</f>
        <v>beyond forecast</v>
      </c>
      <c r="J92" s="0" t="str">
        <f aca="false" t="array" ref="J92:J92">IFERROR(LEFT(VLOOKUP(INDEX(I4:I29,MATCH(TRUE(),I4:I29&gt;=14,0)),I4:J29,2,FALSE()),10),"beyond forecast")</f>
        <v>beyond forecast</v>
      </c>
      <c r="L92" s="0" t="str">
        <f aca="false" t="array" ref="L92:L92">IFERROR(LEFT(VLOOKUP(INDEX(K4:K29,MATCH(TRUE(),K4:K29&gt;=25,0)),K4:L29,2,FALSE()),10),"beyond forecast")</f>
        <v>beyond forecast</v>
      </c>
      <c r="N92" s="0" t="str">
        <f aca="false" t="array" ref="N92:N92">IFERROR(LEFT(VLOOKUP(INDEX(M4:M57,MATCH(TRUE(),M4:M57&gt;=18,0)),M4:N57,2,FALSE()),10),"beyond forecast")</f>
        <v>beyond forecast</v>
      </c>
      <c r="R92" s="0" t="str">
        <f aca="false" t="array" ref="R92:R92">IFERROR(LEFT(VLOOKUP(INDEX(Q4:Q27,MATCH(TRUE(),Q4:Q27&gt;=14,0)),Q4:R27,2,FALSE()),10),"beyond forecast")</f>
        <v>2023-08-03</v>
      </c>
      <c r="AJ92" s="0" t="str">
        <f aca="false" t="array" ref="AJ92:AJ92">IFERROR(LEFT(VLOOKUP(INDEX(AI4:AI27,MATCH(TRUE(),AI4:AI27&gt;=16,0)),AI4:AJ27,2,FALSE()),10),"beyond forecast")</f>
        <v>beyond forecast</v>
      </c>
      <c r="AL92" s="0" t="str">
        <f aca="false" t="array" ref="AL92:AL92">IFERROR(LEFT(VLOOKUP(INDEX(AK4:AK27,MATCH(TRUE(),AK4:AK27&gt;=17,0)),AK4:AL27,2,FALSE()),10),"beyond forecast")</f>
        <v>beyond forecast</v>
      </c>
      <c r="AN92" s="0" t="str">
        <f aca="false" t="array" ref="AN92:AN92">IFERROR(LEFT(VLOOKUP(INDEX(AM4:AM27,MATCH(TRUE(),AM4:AM27&gt;=16,0)),AM4:AN27,2,FALSE()),10),"beyond forecast")</f>
        <v>beyond forecast</v>
      </c>
      <c r="AP92" s="0" t="str">
        <f aca="false" t="array" ref="AP92:AP92">IFERROR(LEFT(VLOOKUP(INDEX(AO4:AO27,MATCH(TRUE(),AO4:AO27&gt;=11,0)),AO4:AP27,2,FALSE()),10),"beyond forecast")</f>
        <v>beyond forecast</v>
      </c>
      <c r="AR92" s="0" t="str">
        <f aca="false" t="array" ref="AR92:AR92">IFERROR(LEFT(VLOOKUP(INDEX(AQ4:AQ29,MATCH(TRUE(),AQ4:AQ29&gt;=15,0)),AQ4:AR29,2,FALSE()),10),"beyond forecast")</f>
        <v>beyond forecast</v>
      </c>
      <c r="AT92" s="0" t="str">
        <f aca="false" t="array" ref="AT92:AT92">IFERROR(LEFT(VLOOKUP(INDEX(AS4:AS27,MATCH(TRUE(),AS4:AS27&gt;=15,0)),AS4:AT27,2,FALSE()),10),"beyond forecast")</f>
        <v>beyond forecast</v>
      </c>
      <c r="AV92" s="0" t="str">
        <f aca="false" t="array" ref="AV92:AV92">IFERROR(LEFT(VLOOKUP(INDEX(AU4:AU27,MATCH(TRUE(),AU4:AU27&gt;=14,0)),AU4:AV27,2,FALSE()),10),"beyond forecast")</f>
        <v>beyond forecast</v>
      </c>
      <c r="AX92" s="0" t="str">
        <f aca="false" t="array" ref="AX92:AX92">IFERROR(LEFT(VLOOKUP(INDEX(AW4:AW27,MATCH(TRUE(),AW4:AW27&gt;=10,0)),AW4:AX27,2,FALSE()),10),"beyond forecast")</f>
        <v>beyond forecast</v>
      </c>
      <c r="AZ92" s="0" t="str">
        <f aca="false" t="array" ref="AZ92:AZ92">IFERROR(LEFT(VLOOKUP(INDEX(AY4:AY27,MATCH(TRUE(),AY4:AY27&gt;=16,0)),AY4:AZ27,2,FALSE()),10),"beyond forecast")</f>
        <v>beyond forecast</v>
      </c>
      <c r="BB92" s="0" t="str">
        <f aca="false" t="array" ref="BB92:BB92">IFERROR(LEFT(VLOOKUP(INDEX(BA4:BA55,MATCH(TRUE(),BA4:BA55&gt;=14,0)),BA4:BB55,2,FALSE()),10),"beyond forecast")</f>
        <v>beyond forecast</v>
      </c>
      <c r="BD92" s="0" t="str">
        <f aca="false" t="array" ref="BD92:BD92">IFERROR(LEFT(VLOOKUP(INDEX(BC4:BC55,MATCH(TRUE(),BC4:BC55&gt;=17,0)),BC4:BD55,2,FALSE()),10),"beyond forecast")</f>
        <v>beyond forecast</v>
      </c>
      <c r="BF92" s="0" t="str">
        <f aca="false" t="array" ref="BF92:BF92">IFERROR(LEFT(VLOOKUP(INDEX(BE4:BE55,MATCH(TRUE(),BE4:BE55&gt;=16,0)),BE4:BF55,2,FALSE()),10),"beyond forecast")</f>
        <v>beyond forecast</v>
      </c>
      <c r="BH92" s="0" t="str">
        <f aca="false" t="array" ref="BH92:BH92">IFERROR(LEFT(VLOOKUP(INDEX(BG4:BG55,MATCH(TRUE(),BG4:BG55&gt;=25,0)),BG4:BH55,2,FALSE()),10),"beyond forecast")</f>
        <v>beyond forecast</v>
      </c>
      <c r="BJ92" s="0" t="str">
        <f aca="false" t="array" ref="BJ92:BJ92">IFERROR(LEFT(VLOOKUP(INDEX(BI4:BI55,MATCH(TRUE(),BI4:BI55&gt;=26,0)),BI4:BJ55,2,FALSE()),10),"beyond forecast")</f>
        <v>beyond forecast</v>
      </c>
      <c r="BL92" s="0" t="str">
        <f aca="false" t="array" ref="BL92:BL92">IFERROR(LEFT(VLOOKUP(INDEX(BK4:BK57,MATCH(TRUE(),BK4:BK57&gt;=21,0)),BK4:BL57,2,FALSE()),10),"beyond forecast")</f>
        <v>beyond forecast</v>
      </c>
      <c r="BO92" s="0" t="n">
        <v>12.7</v>
      </c>
      <c r="BP92" s="187" t="s">
        <v>441</v>
      </c>
      <c r="BQ92" s="0" t="n">
        <v>15.2</v>
      </c>
      <c r="BR92" s="187" t="s">
        <v>441</v>
      </c>
      <c r="BS92" s="0" t="n">
        <v>7.5</v>
      </c>
      <c r="BT92" s="187" t="s">
        <v>441</v>
      </c>
      <c r="BU92" s="0" t="n">
        <v>6.3</v>
      </c>
      <c r="BV92" s="187" t="s">
        <v>441</v>
      </c>
      <c r="BX92" s="183" t="str">
        <f aca="false" t="array" ref="BX92:BX92">IFERROR(LEFT(VLOOKUP(INDEX(BW4:BW4,MATCH(TRUE(),BW4:BW4&gt;=22,0)),BW4:BX4,2,FALSE()),10),"beyond forecast")</f>
        <v>beyond forecast</v>
      </c>
      <c r="BY92" s="0" t="n">
        <v>8.9</v>
      </c>
      <c r="BZ92" s="187" t="s">
        <v>441</v>
      </c>
      <c r="CA92" s="0" t="n">
        <v>10.2</v>
      </c>
      <c r="CB92" s="187" t="s">
        <v>441</v>
      </c>
      <c r="CD92" s="183" t="str">
        <f aca="false" t="array" ref="CD92:CD92">IFERROR(LEFT(VLOOKUP(INDEX(CC4:CC4,MATCH(TRUE(),CC4:CC4&gt;=21,0)),CC4:CD4,2,FALSE()),10),"beyond forecast")</f>
        <v>beyond forecast</v>
      </c>
      <c r="CE92" s="0" t="n">
        <v>10.5</v>
      </c>
      <c r="CF92" s="187" t="s">
        <v>441</v>
      </c>
      <c r="CG92" s="0" t="n">
        <v>6.3</v>
      </c>
      <c r="CH92" s="187" t="s">
        <v>441</v>
      </c>
      <c r="CI92" s="0" t="n">
        <v>4.8</v>
      </c>
      <c r="CJ92" s="187" t="s">
        <v>441</v>
      </c>
      <c r="CK92" s="0" t="n">
        <v>4</v>
      </c>
      <c r="CL92" s="187" t="s">
        <v>441</v>
      </c>
      <c r="CM92" s="0" t="n">
        <v>1.7</v>
      </c>
      <c r="CN92" s="187" t="s">
        <v>441</v>
      </c>
      <c r="CO92" s="0" t="n">
        <v>8.8</v>
      </c>
      <c r="CP92" s="187" t="s">
        <v>441</v>
      </c>
    </row>
    <row r="93" customFormat="false" ht="14.25" hidden="false" customHeight="false" outlineLevel="0" collapsed="false">
      <c r="B93" s="0" t="str">
        <f aca="false" t="array" ref="B93:B93">IFERROR(LEFT(VLOOKUP(INDEX(A4:A29,MATCH(TRUE(),A4:A29&gt;=22,0)),A4:B29,2,FALSE()),10),"beyond forecast")</f>
        <v>beyond forecast</v>
      </c>
      <c r="F93" s="0" t="str">
        <f aca="false" t="array" ref="F93:F93">IFERROR(LEFT(VLOOKUP(INDEX(E4:E29,MATCH(TRUE(),E4:E29&gt;=20,0)),E4:F29,2,FALSE()),10),"beyond forecast")</f>
        <v>beyond forecast</v>
      </c>
      <c r="H93" s="0" t="str">
        <f aca="false" t="array" ref="H93:H93">IFERROR(LEFT(VLOOKUP(INDEX(G4:G29,MATCH(TRUE(),G4:G29&gt;=22,0)),G4:H29,2,FALSE()),10),"beyond forecast")</f>
        <v>beyond forecast</v>
      </c>
      <c r="J93" s="0" t="str">
        <f aca="false" t="array" ref="J93:J93">IFERROR(LEFT(VLOOKUP(INDEX(I4:I29,MATCH(TRUE(),I4:I29&gt;=23,0)),I4:J29,2,FALSE()),10),"beyond forecast")</f>
        <v>beyond forecast</v>
      </c>
      <c r="L93" s="0" t="str">
        <f aca="false" t="array" ref="L93:L93">IFERROR(LEFT(VLOOKUP(INDEX(K4:K29,MATCH(TRUE(),K4:K29&gt;=33,0)),K4:L29,2,FALSE()),10),"beyond forecast")</f>
        <v>beyond forecast</v>
      </c>
      <c r="N93" s="0" t="str">
        <f aca="false" t="array" ref="N93:N93">IFERROR(LEFT(VLOOKUP(INDEX(M4:M57,MATCH(TRUE(),M4:M57&gt;=22,0)),M4:N57,2,FALSE()),10),"beyond forecast")</f>
        <v>beyond forecast</v>
      </c>
      <c r="R93" s="0" t="str">
        <f aca="false" t="array" ref="R93:R93">IFERROR(LEFT(VLOOKUP(INDEX(Q4:Q27,MATCH(TRUE(),Q4:Q27&gt;=17,0)),Q4:R27,2,FALSE()),10),"beyond forecast")</f>
        <v>2023-08-03</v>
      </c>
      <c r="AJ93" s="0" t="str">
        <f aca="false" t="array" ref="AJ93:AJ93">IFERROR(LEFT(VLOOKUP(INDEX(AI4:AI27,MATCH(TRUE(),AI4:AI27&gt;=18,0)),AI4:AJ27,2,FALSE()),10),"beyond forecast")</f>
        <v>beyond forecast</v>
      </c>
      <c r="AL93" s="0" t="str">
        <f aca="false" t="array" ref="AL93:AL93">IFERROR(LEFT(VLOOKUP(INDEX(AK4:AK27,MATCH(TRUE(),AK4:AK27&gt;=19,0)),AK4:AL27,2,FALSE()),10),"beyond forecast")</f>
        <v>beyond forecast</v>
      </c>
      <c r="AN93" s="0" t="str">
        <f aca="false" t="array" ref="AN93:AN93">IFERROR(LEFT(VLOOKUP(INDEX(AM4:AM27,MATCH(TRUE(),AM4:AM27&gt;=18,0)),AM4:AN27,2,FALSE()),10),"beyond forecast")</f>
        <v>beyond forecast</v>
      </c>
      <c r="AP93" s="0" t="str">
        <f aca="false" t="array" ref="AP93:AP93">IFERROR(LEFT(VLOOKUP(INDEX(AO4:AO27,MATCH(TRUE(),AO4:AO27&gt;=13,0)),AO4:AP27,2,FALSE()),10),"beyond forecast")</f>
        <v>beyond forecast</v>
      </c>
      <c r="AR93" s="0" t="str">
        <f aca="false" t="array" ref="AR93:AR93">IFERROR(LEFT(VLOOKUP(INDEX(AQ4:AQ29,MATCH(TRUE(),AQ4:AQ29&gt;=17,0)),AQ4:AR29,2,FALSE()),10),"beyond forecast")</f>
        <v>beyond forecast</v>
      </c>
      <c r="AT93" s="0" t="str">
        <f aca="false" t="array" ref="AT93:AT93">IFERROR(LEFT(VLOOKUP(INDEX(AS4:AS27,MATCH(TRUE(),AS4:AS27&gt;=17,0)),AS4:AT27,2,FALSE()),10),"beyond forecast")</f>
        <v>beyond forecast</v>
      </c>
      <c r="AV93" s="0" t="str">
        <f aca="false" t="array" ref="AV93:AV93">IFERROR(LEFT(VLOOKUP(INDEX(AU4:AU27,MATCH(TRUE(),AU4:AU27&gt;=16,0)),AU4:AV27,2,FALSE()),10),"beyond forecast")</f>
        <v>beyond forecast</v>
      </c>
      <c r="AX93" s="0" t="str">
        <f aca="false" t="array" ref="AX93:AX93">IFERROR(LEFT(VLOOKUP(INDEX(AW4:AW27,MATCH(TRUE(),AW4:AW27&gt;=12,0)),AW4:AX27,2,FALSE()),10),"beyond forecast")</f>
        <v>beyond forecast</v>
      </c>
      <c r="AZ93" s="0" t="str">
        <f aca="false" t="array" ref="AZ93:AZ93">IFERROR(LEFT(VLOOKUP(INDEX(AY4:AY27,MATCH(TRUE(),AY4:AY27&gt;=18,0)),AY4:AZ27,2,FALSE()),10),"beyond forecast")</f>
        <v>beyond forecast</v>
      </c>
      <c r="BB93" s="0" t="str">
        <f aca="false" t="array" ref="BB93:BB93">IFERROR(LEFT(VLOOKUP(INDEX(BA4:BA55,MATCH(TRUE(),BA4:BA55&gt;=16,0)),BA4:BB55,2,FALSE()),10),"beyond forecast")</f>
        <v>beyond forecast</v>
      </c>
      <c r="BD93" s="0" t="str">
        <f aca="false" t="array" ref="BD93:BD93">IFERROR(LEFT(VLOOKUP(INDEX(BC4:BC55,MATCH(TRUE(),BC4:BC55&gt;=21.9,0)),BC4:BD55,2,FALSE()),10),"beyond forecast")</f>
        <v>beyond forecast</v>
      </c>
      <c r="BF93" s="0" t="str">
        <f aca="false" t="array" ref="BF93:BF93">IFERROR(LEFT(VLOOKUP(INDEX(BE4:BE55,MATCH(TRUE(),BE4:BE55&gt;=21.4,0)),BE4:BF55,2,FALSE()),10),"beyond forecast")</f>
        <v>beyond forecast</v>
      </c>
      <c r="BH93" s="0" t="str">
        <f aca="false" t="array" ref="BH93:BH93">IFERROR(LEFT(VLOOKUP(INDEX(BG4:BG55,MATCH(TRUE(),BG4:BG55&gt;=29,0)),BG4:BH55,2,FALSE()),10),"beyond forecast")</f>
        <v>beyond forecast</v>
      </c>
      <c r="BJ93" s="0" t="str">
        <f aca="false" t="array" ref="BJ93:BJ93">IFERROR(LEFT(VLOOKUP(INDEX(BI4:BI55,MATCH(TRUE(),BI4:BI55&gt;=33.8,0)),BI4:BJ55,2,FALSE()),10),"beyond forecast")</f>
        <v>beyond forecast</v>
      </c>
      <c r="BL93" s="0" t="str">
        <f aca="false" t="array" ref="BL93:BL93">IFERROR(LEFT(VLOOKUP(INDEX(BK4:BK57,MATCH(TRUE(),BK4:BK57&gt;=36.5,0)),BK4:BL57,2,FALSE()),10),"beyond forecast")</f>
        <v>beyond forecast</v>
      </c>
      <c r="BO93" s="0" t="n">
        <v>12.7</v>
      </c>
      <c r="BP93" s="187" t="s">
        <v>442</v>
      </c>
      <c r="BQ93" s="0" t="n">
        <v>15.2</v>
      </c>
      <c r="BR93" s="187" t="s">
        <v>442</v>
      </c>
      <c r="BS93" s="0" t="n">
        <v>7.5</v>
      </c>
      <c r="BT93" s="187" t="s">
        <v>442</v>
      </c>
      <c r="BU93" s="0" t="n">
        <v>6.3</v>
      </c>
      <c r="BV93" s="187" t="s">
        <v>442</v>
      </c>
      <c r="BX93" s="183" t="str">
        <f aca="false" t="array" ref="BX93:BX93">IFERROR(LEFT(VLOOKUP(INDEX(BW4:BW4,MATCH(TRUE(),BW4:BW4&gt;=26,0)),BW4:BX4,2,FALSE()),10),"beyond forecast")</f>
        <v>beyond forecast</v>
      </c>
      <c r="BY93" s="0" t="n">
        <v>8.9</v>
      </c>
      <c r="BZ93" s="187" t="s">
        <v>442</v>
      </c>
      <c r="CA93" s="0" t="n">
        <v>10.2</v>
      </c>
      <c r="CB93" s="187" t="s">
        <v>442</v>
      </c>
      <c r="CD93" s="183" t="str">
        <f aca="false" t="array" ref="CD93:CD93">IFERROR(LEFT(VLOOKUP(INDEX(CC4:CC4,MATCH(TRUE(),CC4:CC4&gt;=25,0)),CC4:CD4,2,FALSE()),10),"beyond forecast")</f>
        <v>beyond forecast</v>
      </c>
      <c r="CE93" s="0" t="n">
        <v>10.5</v>
      </c>
      <c r="CF93" s="187" t="s">
        <v>442</v>
      </c>
      <c r="CG93" s="0" t="n">
        <v>6.3</v>
      </c>
      <c r="CH93" s="187" t="s">
        <v>442</v>
      </c>
      <c r="CI93" s="0" t="n">
        <v>4.8</v>
      </c>
      <c r="CJ93" s="187" t="s">
        <v>442</v>
      </c>
      <c r="CK93" s="0" t="n">
        <v>4</v>
      </c>
      <c r="CL93" s="187" t="s">
        <v>442</v>
      </c>
      <c r="CM93" s="0" t="n">
        <v>1.7</v>
      </c>
      <c r="CN93" s="187" t="s">
        <v>442</v>
      </c>
      <c r="CO93" s="0" t="n">
        <v>8.8</v>
      </c>
      <c r="CP93" s="187" t="s">
        <v>442</v>
      </c>
    </row>
    <row r="94" customFormat="false" ht="14.25" hidden="false" customHeight="false" outlineLevel="0" collapsed="false">
      <c r="B94" s="0" t="str">
        <f aca="false" t="array" ref="B94:B94">IFERROR(LEFT(VLOOKUP(INDEX(A4:A29,MATCH(TRUE(),A4:A29&lt;=11.6,0)),A4:B29,2,FALSE()),10),"beyond forecast")</f>
        <v>beyond forecast</v>
      </c>
      <c r="F94" s="0" t="str">
        <f aca="false" t="array" ref="F94:F94">IFERROR(LEFT(VLOOKUP(INDEX(E4:E29,MATCH(TRUE(),E4:E29&lt;=4.8,0)),E4:F29,2,FALSE()),10),"beyond forecast")</f>
        <v>beyond forecast</v>
      </c>
      <c r="H94" s="0" t="str">
        <f aca="false" t="array" ref="H94:H94">IFERROR(LEFT(VLOOKUP(INDEX(G4:G29,MATCH(TRUE(),G4:G29&lt;=9.1,0)),G4:H29,2,FALSE()),10),"beyond forecast")</f>
        <v>beyond forecast</v>
      </c>
      <c r="J94" s="0" t="str">
        <f aca="false" t="array" ref="J94:J94">IFERROR(LEFT(VLOOKUP(INDEX(I4:I29,MATCH(TRUE(),I4:I29&lt;=2,0)),I4:J29,2,FALSE()),10),"beyond forecast")</f>
        <v>beyond forecast</v>
      </c>
      <c r="L94" s="0" t="str">
        <f aca="false" t="array" ref="L94:L94">IFERROR(LEFT(VLOOKUP(INDEX(K4:K29,MATCH(TRUE(),K4:K29&lt;=19,0)),K4:L29,2,FALSE()),10),"beyond forecast")</f>
        <v>beyond forecast</v>
      </c>
      <c r="N94" s="0" t="str">
        <f aca="false" t="array" ref="N94:N94">IFERROR(LEFT(VLOOKUP(INDEX(M4:M57,MATCH(TRUE(),M4:M57&lt;=15.2,0)),M4:N57,2,FALSE()),10),"beyond forecast")</f>
        <v>beyond forecast</v>
      </c>
      <c r="BO94" s="0" t="n">
        <v>12.7</v>
      </c>
      <c r="BP94" s="187" t="s">
        <v>443</v>
      </c>
      <c r="BQ94" s="0" t="n">
        <v>15.2</v>
      </c>
      <c r="BR94" s="187" t="s">
        <v>443</v>
      </c>
      <c r="BS94" s="0" t="n">
        <v>7.5</v>
      </c>
      <c r="BT94" s="187" t="s">
        <v>443</v>
      </c>
      <c r="BU94" s="0" t="n">
        <v>6.3</v>
      </c>
      <c r="BV94" s="187" t="s">
        <v>443</v>
      </c>
      <c r="BY94" s="0" t="n">
        <v>8.9</v>
      </c>
      <c r="BZ94" s="187" t="s">
        <v>443</v>
      </c>
      <c r="CA94" s="0" t="n">
        <v>10.2</v>
      </c>
      <c r="CB94" s="187" t="s">
        <v>443</v>
      </c>
      <c r="CE94" s="0" t="n">
        <v>10.5</v>
      </c>
      <c r="CF94" s="187" t="s">
        <v>443</v>
      </c>
      <c r="CG94" s="0" t="n">
        <v>6.3</v>
      </c>
      <c r="CH94" s="187" t="s">
        <v>443</v>
      </c>
      <c r="CI94" s="0" t="n">
        <v>4.7</v>
      </c>
      <c r="CJ94" s="187" t="s">
        <v>443</v>
      </c>
      <c r="CK94" s="0" t="n">
        <v>4</v>
      </c>
      <c r="CL94" s="187" t="s">
        <v>443</v>
      </c>
      <c r="CM94" s="0" t="n">
        <v>1.7</v>
      </c>
      <c r="CN94" s="187" t="s">
        <v>443</v>
      </c>
      <c r="CO94" s="0" t="n">
        <v>8.8</v>
      </c>
      <c r="CP94" s="187" t="s">
        <v>443</v>
      </c>
    </row>
    <row r="95" customFormat="false" ht="14.25" hidden="false" customHeight="false" outlineLevel="0" collapsed="false">
      <c r="B95" s="0" t="str">
        <f aca="false" t="array" ref="B95:B95">IFERROR(LEFT(VLOOKUP(INDEX(A4:A29,MATCH(TRUE(),A4:A29&lt;=10,0)),A4:B29,2,FALSE()),10),"beyond forecast")</f>
        <v>beyond forecast</v>
      </c>
      <c r="F95" s="0" t="str">
        <f aca="false" t="array" ref="F95:F95">IFERROR(LEFT(VLOOKUP(INDEX(E4:E29,MATCH(TRUE(),E4:E29&lt;=3.3,0)),E4:F29,2,FALSE()),10),"beyond forecast")</f>
        <v>beyond forecast</v>
      </c>
      <c r="H95" s="0" t="str">
        <f aca="false" t="array" ref="H95:H95">IFERROR(LEFT(VLOOKUP(INDEX(G4:G29,MATCH(TRUE(),G4:G29&lt;=7.6,0)),G4:H29,2,FALSE()),10),"beyond forecast")</f>
        <v>beyond forecast</v>
      </c>
      <c r="J95" s="0" t="str">
        <f aca="false" t="array" ref="J95:J95">IFERROR(LEFT(VLOOKUP(INDEX(I4:I29,MATCH(TRUE(),I4:I29&lt;=1,0)),I4:J29,2,FALSE()),10),"beyond forecast")</f>
        <v>beyond forecast</v>
      </c>
      <c r="L95" s="0" t="str">
        <f aca="false" t="array" ref="L95:L95">IFERROR(LEFT(VLOOKUP(INDEX(K4:K29,MATCH(TRUE(),K4:K29&lt;=18.1,0)),K4:L29,2,FALSE()),10),"beyond forecast")</f>
        <v>beyond forecast</v>
      </c>
      <c r="N95" s="0" t="str">
        <f aca="false" t="array" ref="N95:N95">IFERROR(LEFT(VLOOKUP(INDEX(M4:M57,MATCH(TRUE(),M4:M57&lt;=14.2,0)),M4:N57,2,FALSE()),10),"beyond forecast")</f>
        <v>beyond forecast</v>
      </c>
      <c r="BO95" s="0" t="n">
        <v>12.7</v>
      </c>
      <c r="BP95" s="187" t="s">
        <v>444</v>
      </c>
      <c r="BQ95" s="0" t="n">
        <v>15.2</v>
      </c>
      <c r="BR95" s="187" t="s">
        <v>444</v>
      </c>
      <c r="BS95" s="0" t="n">
        <v>7.5</v>
      </c>
      <c r="BT95" s="187" t="s">
        <v>444</v>
      </c>
      <c r="BU95" s="0" t="n">
        <v>6.3</v>
      </c>
      <c r="BV95" s="187" t="s">
        <v>444</v>
      </c>
      <c r="BY95" s="0" t="n">
        <v>8.9</v>
      </c>
      <c r="BZ95" s="187" t="s">
        <v>444</v>
      </c>
      <c r="CA95" s="0" t="n">
        <v>10.2</v>
      </c>
      <c r="CB95" s="187" t="s">
        <v>444</v>
      </c>
      <c r="CE95" s="0" t="n">
        <v>10.4</v>
      </c>
      <c r="CF95" s="187" t="s">
        <v>444</v>
      </c>
      <c r="CG95" s="0" t="n">
        <v>6.3</v>
      </c>
      <c r="CH95" s="187" t="s">
        <v>444</v>
      </c>
      <c r="CI95" s="0" t="n">
        <v>4.7</v>
      </c>
      <c r="CJ95" s="187" t="s">
        <v>444</v>
      </c>
      <c r="CK95" s="0" t="n">
        <v>3.9</v>
      </c>
      <c r="CL95" s="187" t="s">
        <v>444</v>
      </c>
      <c r="CM95" s="0" t="n">
        <v>1.6</v>
      </c>
      <c r="CN95" s="187" t="s">
        <v>444</v>
      </c>
      <c r="CO95" s="0" t="n">
        <v>8.7</v>
      </c>
      <c r="CP95" s="187" t="s">
        <v>444</v>
      </c>
    </row>
    <row r="96" customFormat="false" ht="14.25" hidden="false" customHeight="false" outlineLevel="0" collapsed="false">
      <c r="B96" s="0" t="str">
        <f aca="false" t="array" ref="B96:B96">IFERROR(LEFT(VLOOKUP(INDEX(A4:A29,MATCH(TRUE(),A4:A29&gt;=25.5,0)),A4:B29,2,FALSE()),10),"beyond forecast")</f>
        <v>beyond forecast</v>
      </c>
      <c r="F96" s="0" t="str">
        <f aca="false" t="array" ref="F96:F96">IFERROR(LEFT(VLOOKUP(INDEX(E4:E29,MATCH(TRUE(),E4:E29&gt;=24.5,0)),E4:F29,2,FALSE()),10),"beyond forecast")</f>
        <v>beyond forecast</v>
      </c>
      <c r="H96" s="0" t="str">
        <f aca="false" t="array" ref="H96:H96">IFERROR(LEFT(VLOOKUP(INDEX(G4:G29,MATCH(TRUE(),G4:G29&gt;=26,0)),G4:H29,2,FALSE()),10),"beyond forecast")</f>
        <v>beyond forecast</v>
      </c>
      <c r="J96" s="0" t="str">
        <f aca="false" t="array" ref="J96:J96">IFERROR(LEFT(VLOOKUP(INDEX(I4:I29,MATCH(TRUE(),I4:I29&gt;=25,0)),I4:J29,2,FALSE()),10),"beyond forecast")</f>
        <v>beyond forecast</v>
      </c>
      <c r="L96" s="0" t="str">
        <f aca="false" t="array" ref="L96:L96">IFERROR(LEFT(VLOOKUP(INDEX(K4:K29,MATCH(TRUE(),K4:K29&gt;=34,0)),K4:L29,2,FALSE()),10),"beyond forecast")</f>
        <v>beyond forecast</v>
      </c>
      <c r="AJ96" s="0" t="str">
        <f aca="false" t="array" ref="AJ96:AJ96">IFERROR(LEFT(VLOOKUP(INDEX(AI4:AI27,MATCH(TRUE(),AI4:AI27&gt;=20.8,0)),AI4:AJ27,2,FALSE()),10),"beyond forecast")</f>
        <v>beyond forecast</v>
      </c>
      <c r="AL96" s="0" t="str">
        <f aca="false" t="array" ref="AL96:AL96">IFERROR(LEFT(VLOOKUP(INDEX(AK4:AK27,MATCH(TRUE(),AK4:AK27&gt;=18.4,0)),AK4:AL27,2,FALSE()),10),"beyond forecast")</f>
        <v>beyond forecast</v>
      </c>
      <c r="AN96" s="0" t="str">
        <f aca="false" t="array" ref="AN96:AN96">IFERROR(LEFT(VLOOKUP(INDEX(AM4:AM27,MATCH(TRUE(),AM4:AM27&gt;=19,0)),AM4:AN27,2,FALSE()),10),"beyond forecast")</f>
        <v>beyond forecast</v>
      </c>
      <c r="AP96" s="0" t="str">
        <f aca="false" t="array" ref="AP96:AP96">IFERROR(LEFT(VLOOKUP(INDEX(AO4:AO27,MATCH(TRUE(),AO4:AO27&gt;=14,0)),AO4:AP27,2,FALSE()),10),"beyond forecast")</f>
        <v>beyond forecast</v>
      </c>
      <c r="AR96" s="0" t="str">
        <f aca="false" t="array" ref="AR96:AR96">IFERROR(LEFT(VLOOKUP(INDEX(AQ4:AQ29,MATCH(TRUE(),AQ4:AQ29&gt;=20,0)),AQ4:AR29,2,FALSE()),10),"beyond forecast")</f>
        <v>beyond forecast</v>
      </c>
      <c r="AV96" s="0" t="str">
        <f aca="false" t="array" ref="AV96:AV96">IFERROR(LEFT(VLOOKUP(INDEX(AU4:AU27,MATCH(TRUE(),AU4:AU27&gt;=18.1,0)),AU4:AV27,2,FALSE()),10),"beyond forecast")</f>
        <v>beyond forecast</v>
      </c>
      <c r="AX96" s="0" t="str">
        <f aca="false" t="array" ref="AX96:AX96">IFERROR(LEFT(VLOOKUP(INDEX(AW4:AW27,MATCH(TRUE(),AW4:AW27&gt;=14.9,0)),AW4:AX27,2,FALSE()),10),"beyond forecast")</f>
        <v>beyond forecast</v>
      </c>
      <c r="AZ96" s="0" t="str">
        <f aca="false" t="array" ref="AZ96:AZ96">IFERROR(LEFT(VLOOKUP(INDEX(AY4:AY27,MATCH(TRUE(),AY4:AY27&gt;=21.2,0)),AY4:AZ27,2,FALSE()),10),"beyond forecast")</f>
        <v>beyond forecast</v>
      </c>
      <c r="BB96" s="0" t="str">
        <f aca="false" t="array" ref="BB96:BB96">IFERROR(LEFT(VLOOKUP(INDEX(BA4:BA55,MATCH(TRUE(),BA4:BA55&gt;=18,0)),BA4:BB55,2,FALSE()),10),"beyond forecast")</f>
        <v>beyond forecast</v>
      </c>
      <c r="BH96" s="0" t="str">
        <f aca="false" t="array" ref="BH96:BH96">IFERROR(LEFT(VLOOKUP(INDEX(BG4:BG55,MATCH(TRUE(),BG4:BG55&gt;=32.5,0)),BG4:BH55,2,FALSE()),10),"beyond forecast")</f>
        <v>beyond forecast</v>
      </c>
      <c r="BJ96" s="0" t="str">
        <f aca="false" t="array" ref="BJ96:BJ96">IFERROR(LEFT(VLOOKUP(INDEX(BI4:BI55,MATCH(TRUE(),BI4:BI55&gt;=33.5,0)),BI4:BJ55,2,FALSE()),10),"beyond forecast")</f>
        <v>beyond forecast</v>
      </c>
      <c r="BL96" s="0" t="str">
        <f aca="false" t="array" ref="BL96:BL96">IFERROR(LEFT(VLOOKUP(INDEX(BK4:BK57,MATCH(TRUE(),BK4:BK57&gt;=34,0)),BK4:BL57,2,FALSE()),10),"beyond forecast")</f>
        <v>beyond forecast</v>
      </c>
      <c r="BO96" s="0" t="n">
        <v>12.7</v>
      </c>
      <c r="BP96" s="187" t="s">
        <v>445</v>
      </c>
      <c r="BQ96" s="0" t="n">
        <v>15.2</v>
      </c>
      <c r="BR96" s="187" t="s">
        <v>445</v>
      </c>
      <c r="BS96" s="0" t="n">
        <v>7.5</v>
      </c>
      <c r="BT96" s="187" t="s">
        <v>445</v>
      </c>
      <c r="BU96" s="0" t="n">
        <v>6.3</v>
      </c>
      <c r="BV96" s="187" t="s">
        <v>445</v>
      </c>
      <c r="BY96" s="0" t="n">
        <v>8.9</v>
      </c>
      <c r="BZ96" s="187" t="s">
        <v>445</v>
      </c>
      <c r="CA96" s="0" t="n">
        <v>10.2</v>
      </c>
      <c r="CB96" s="187" t="s">
        <v>445</v>
      </c>
      <c r="CE96" s="0" t="n">
        <v>10.4</v>
      </c>
      <c r="CF96" s="187" t="s">
        <v>445</v>
      </c>
      <c r="CG96" s="0" t="n">
        <v>6.3</v>
      </c>
      <c r="CH96" s="187" t="s">
        <v>445</v>
      </c>
      <c r="CI96" s="0" t="n">
        <v>4.7</v>
      </c>
      <c r="CJ96" s="187" t="s">
        <v>445</v>
      </c>
      <c r="CK96" s="0" t="n">
        <v>3.9</v>
      </c>
      <c r="CL96" s="187" t="s">
        <v>445</v>
      </c>
      <c r="CM96" s="0" t="n">
        <v>1.6</v>
      </c>
      <c r="CN96" s="187" t="s">
        <v>445</v>
      </c>
      <c r="CO96" s="0" t="n">
        <v>8.7</v>
      </c>
      <c r="CP96" s="187" t="s">
        <v>445</v>
      </c>
    </row>
    <row r="97" customFormat="false" ht="14.25" hidden="false" customHeight="false" outlineLevel="0" collapsed="false">
      <c r="B97" s="0" t="str">
        <f aca="false" t="array" ref="B97:B97">IFERROR(LEFT(VLOOKUP(INDEX(A4:A29,MATCH(TRUE(),A4:A29&gt;=27,0)),A4:B29,2,FALSE()),10),"beyond forecast")</f>
        <v>beyond forecast</v>
      </c>
      <c r="F97" s="0" t="str">
        <f aca="false" t="array" ref="F97:F97">IFERROR(LEFT(VLOOKUP(INDEX(E4:E29,MATCH(TRUE(),E4:E29&gt;=26,0)),E4:F29,2,FALSE()),10),"beyond forecast")</f>
        <v>beyond forecast</v>
      </c>
      <c r="H97" s="0" t="str">
        <f aca="false" t="array" ref="H97:H97">IFERROR(LEFT(VLOOKUP(INDEX(G4:G29,MATCH(TRUE(),G4:G29&gt;=27,0)),G4:H29,2,FALSE()),10),"beyond forecast")</f>
        <v>beyond forecast</v>
      </c>
      <c r="J97" s="0" t="str">
        <f aca="false" t="array" ref="J97:J97">IFERROR(LEFT(VLOOKUP(INDEX(I4:I29,MATCH(TRUE(),I4:I29&gt;=26,0)),I4:J29,2,FALSE()),10),"beyond forecast")</f>
        <v>beyond forecast</v>
      </c>
      <c r="L97" s="0" t="str">
        <f aca="false" t="array" ref="L97:L97">IFERROR(LEFT(VLOOKUP(INDEX(K4:K29,MATCH(TRUE(),K4:K29&gt;=35.5,0)),K4:L29,2,FALSE()),10),"beyond forecast")</f>
        <v>beyond forecast</v>
      </c>
      <c r="AJ97" s="0" t="str">
        <f aca="false" t="array" ref="AJ97:AJ97">IFERROR(LEFT(VLOOKUP(INDEX(AI4:AI27,MATCH(TRUE(),AI4:AI27&lt;20.8,0)),AI4:AJ27,2,FALSE()),10),"beyond forecast")</f>
        <v>2023-08-03</v>
      </c>
      <c r="AL97" s="0" t="str">
        <f aca="false" t="array" ref="AL97:AL97">IFERROR(LEFT(VLOOKUP(INDEX(AK4:AK27,MATCH(TRUE(),AK4:AK27&lt;18.4,0)),AK4:AL27,2,FALSE()),10),"beyond forecast")</f>
        <v>2023-08-03</v>
      </c>
      <c r="AN97" s="0" t="str">
        <f aca="false" t="array" ref="AN97:AN97">IFERROR(LEFT(VLOOKUP(INDEX(AM4:AM27,MATCH(TRUE(),AM4:AM27&lt;19,0)),AM4:AN27,2,FALSE()),10),"beyond forecast")</f>
        <v>2023-08-03</v>
      </c>
      <c r="AP97" s="0" t="str">
        <f aca="false" t="array" ref="AP97:AP97">IFERROR(LEFT(VLOOKUP(INDEX(AO4:AO27,MATCH(TRUE(),AO4:AO27&lt;14,0)),AO4:AP27,2,FALSE()),10),"beyond forecast")</f>
        <v>2023-08-03</v>
      </c>
      <c r="AR97" s="0" t="str">
        <f aca="false" t="array" ref="AR97:AR97">IFERROR(LEFT(VLOOKUP(INDEX(AQ4:AQ29,MATCH(TRUE(),AQ4:AQ29&lt;20,0)),AQ4:AR29,2,FALSE()),10),"beyond forecast")</f>
        <v>2023-08-03</v>
      </c>
      <c r="AV97" s="0" t="str">
        <f aca="false" t="array" ref="AV97:AV97">IFERROR(LEFT(VLOOKUP(INDEX(AU4:AU27,MATCH(TRUE(),AU4:AU27&lt;18.1,0)),AU4:AV27,2,FALSE()),10),"beyond forecast")</f>
        <v>2023-08-03</v>
      </c>
      <c r="AX97" s="0" t="str">
        <f aca="false" t="array" ref="AX97:AX97">IFERROR(LEFT(VLOOKUP(INDEX(AW4:AW27,MATCH(TRUE(),AW4:AW27&lt;14.9,0)),AW4:AX27,2,FALSE()),10),"beyond forecast")</f>
        <v>2023-08-03</v>
      </c>
      <c r="AZ97" s="0" t="str">
        <f aca="false" t="array" ref="AZ97:AZ97">IFERROR(LEFT(VLOOKUP(INDEX(AY4:AY27,MATCH(TRUE(),AY4:AY27&lt;21.2,0)),AY4:AZ27,2,FALSE()),10),"beyond forecast")</f>
        <v>2023-08-03</v>
      </c>
      <c r="BB97" s="0" t="str">
        <f aca="false" t="array" ref="BB97:BB97">IFERROR(LEFT(VLOOKUP(INDEX(BA4:BA55,MATCH(TRUE(),BA4:BA55&lt;18,0)),BA4:BB55,2,FALSE()),10),"beyond forecast")</f>
        <v>2023-08-03</v>
      </c>
      <c r="BH97" s="0" t="str">
        <f aca="false" t="array" ref="BH97:BH97">IFERROR(LEFT(VLOOKUP(INDEX(BG4:BG55,MATCH(TRUE(),BG4:BG55&lt;32.5,0)),BG4:BH55,2,FALSE()),10),"beyond forecast")</f>
        <v>2023-08-03</v>
      </c>
      <c r="BJ97" s="0" t="str">
        <f aca="false" t="array" ref="BJ97:BJ97">IFERROR(LEFT(VLOOKUP(INDEX(BI4:BI55,MATCH(TRUE(),BI4:BI55&lt;33.5,0)),BI4:BJ55,2,FALSE()),10),"beyond forecast")</f>
        <v>2023-08-03</v>
      </c>
      <c r="BL97" s="0" t="str">
        <f aca="false" t="array" ref="BL97:BL97">IFERROR(LEFT(VLOOKUP(INDEX(BK4:BK57,MATCH(TRUE(),BK4:BK57&lt;34,0)),BK4:BL57,2,FALSE()),10),"beyond forecast")</f>
        <v>2023-08-03</v>
      </c>
      <c r="BO97" s="0" t="n">
        <v>12.7</v>
      </c>
      <c r="BP97" s="187" t="s">
        <v>446</v>
      </c>
      <c r="BQ97" s="0" t="n">
        <v>15.2</v>
      </c>
      <c r="BR97" s="187" t="s">
        <v>446</v>
      </c>
      <c r="BS97" s="0" t="n">
        <v>7.5</v>
      </c>
      <c r="BT97" s="187" t="s">
        <v>446</v>
      </c>
      <c r="BU97" s="0" t="n">
        <v>6.3</v>
      </c>
      <c r="BV97" s="187" t="s">
        <v>446</v>
      </c>
      <c r="BY97" s="0" t="n">
        <v>8.9</v>
      </c>
      <c r="BZ97" s="187" t="s">
        <v>446</v>
      </c>
      <c r="CA97" s="0" t="n">
        <v>10.2</v>
      </c>
      <c r="CB97" s="187" t="s">
        <v>446</v>
      </c>
      <c r="CE97" s="0" t="n">
        <v>10.4</v>
      </c>
      <c r="CF97" s="187" t="s">
        <v>446</v>
      </c>
      <c r="CG97" s="0" t="n">
        <v>6.3</v>
      </c>
      <c r="CH97" s="187" t="s">
        <v>446</v>
      </c>
      <c r="CI97" s="0" t="n">
        <v>4.7</v>
      </c>
      <c r="CJ97" s="187" t="s">
        <v>446</v>
      </c>
      <c r="CK97" s="0" t="n">
        <v>3.9</v>
      </c>
      <c r="CL97" s="187" t="s">
        <v>446</v>
      </c>
      <c r="CM97" s="0" t="n">
        <v>1.6</v>
      </c>
      <c r="CN97" s="187" t="s">
        <v>446</v>
      </c>
      <c r="CO97" s="0" t="n">
        <v>8.7</v>
      </c>
      <c r="CP97" s="187" t="s">
        <v>446</v>
      </c>
    </row>
    <row r="98" customFormat="false" ht="14.25" hidden="false" customHeight="false" outlineLevel="0" collapsed="false">
      <c r="B98" s="0" t="str">
        <f aca="false" t="array" ref="B98:B98">IFERROR(LEFT(VLOOKUP(INDEX(A4:A29,MATCH(TRUE(),A4:A29&lt;27,0)),A4:B29,2,FALSE()),10),"beyond forecast")</f>
        <v>2023-08-03</v>
      </c>
      <c r="F98" s="0" t="str">
        <f aca="false" t="array" ref="F98:F98">IFERROR(LEFT(VLOOKUP(INDEX(E4:E29,MATCH(TRUE(),E4:E29&lt;26,0)),E4:F29,2,FALSE()),10),"beyond forecast")</f>
        <v>2023-08-03</v>
      </c>
      <c r="H98" s="0" t="str">
        <f aca="false" t="array" ref="H98:H98">IFERROR(LEFT(VLOOKUP(INDEX(G4:G29,MATCH(TRUE(),G4:G29&lt;27,0)),G4:H29,2,FALSE()),10),"beyond forecast")</f>
        <v>2023-08-03</v>
      </c>
      <c r="J98" s="0" t="str">
        <f aca="false" t="array" ref="J98:J98">IFERROR(LEFT(VLOOKUP(INDEX(I4:I29,MATCH(TRUE(),I4:I29&lt;26,0)),I4:J29,2,FALSE()),10),"beyond forecast")</f>
        <v>2023-08-03</v>
      </c>
      <c r="L98" s="0" t="str">
        <f aca="false" t="array" ref="L98:L98">IFERROR(LEFT(VLOOKUP(INDEX(K4:K29,MATCH(TRUE(),K4:K29&lt;35.5,0)),K4:L29,2,FALSE()),10),"beyond forecast")</f>
        <v>2023-08-03</v>
      </c>
      <c r="BO98" s="0" t="n">
        <v>12.7</v>
      </c>
      <c r="BP98" s="187" t="s">
        <v>447</v>
      </c>
      <c r="BQ98" s="0" t="n">
        <v>15.2</v>
      </c>
      <c r="BR98" s="187" t="s">
        <v>447</v>
      </c>
      <c r="BS98" s="0" t="n">
        <v>7.5</v>
      </c>
      <c r="BT98" s="187" t="s">
        <v>447</v>
      </c>
      <c r="BU98" s="0" t="n">
        <v>6.3</v>
      </c>
      <c r="BV98" s="187" t="s">
        <v>447</v>
      </c>
      <c r="BY98" s="0" t="n">
        <v>8.9</v>
      </c>
      <c r="BZ98" s="187" t="s">
        <v>447</v>
      </c>
      <c r="CA98" s="0" t="n">
        <v>10.2</v>
      </c>
      <c r="CB98" s="187" t="s">
        <v>447</v>
      </c>
      <c r="CE98" s="0" t="n">
        <v>10.4</v>
      </c>
      <c r="CF98" s="187" t="s">
        <v>447</v>
      </c>
      <c r="CG98" s="0" t="n">
        <v>6.3</v>
      </c>
      <c r="CH98" s="187" t="s">
        <v>447</v>
      </c>
      <c r="CI98" s="0" t="n">
        <v>4.7</v>
      </c>
      <c r="CJ98" s="187" t="s">
        <v>447</v>
      </c>
      <c r="CK98" s="0" t="n">
        <v>3.9</v>
      </c>
      <c r="CL98" s="187" t="s">
        <v>447</v>
      </c>
      <c r="CM98" s="0" t="n">
        <v>1.6</v>
      </c>
      <c r="CN98" s="187" t="s">
        <v>447</v>
      </c>
      <c r="CO98" s="0" t="n">
        <v>8.7</v>
      </c>
      <c r="CP98" s="187" t="s">
        <v>447</v>
      </c>
    </row>
    <row r="99" customFormat="false" ht="14.25" hidden="false" customHeight="false" outlineLevel="0" collapsed="false">
      <c r="B99" s="0" t="str">
        <f aca="false" t="array" ref="B99:B99">IFERROR(LEFT(VLOOKUP(INDEX(A4:A29,MATCH(TRUE(),A4:A29&lt;25.5,0)),A4:B29,2,FALSE()),10),"beyond forecast")</f>
        <v>2023-08-03</v>
      </c>
      <c r="F99" s="0" t="str">
        <f aca="false" t="array" ref="F99:F99">IFERROR(LEFT(VLOOKUP(INDEX(E4:E29,MATCH(TRUE(),E4:E29&lt;25,0)),E4:F29,2,FALSE()),10),"beyond forecast")</f>
        <v>2023-08-03</v>
      </c>
      <c r="H99" s="0" t="str">
        <f aca="false" t="array" ref="H99:H99">IFERROR(LEFT(VLOOKUP(INDEX(G4:G29,MATCH(TRUE(),G4:G29&lt;26,0)),G4:H29,2,FALSE()),10),"beyond forecast")</f>
        <v>2023-08-03</v>
      </c>
      <c r="J99" s="0" t="str">
        <f aca="false" t="array" ref="J99:J99">IFERROR(LEFT(VLOOKUP(INDEX(I4:I29,MATCH(TRUE(),I4:I29&lt;25,0)),I4:J29,2,FALSE()),10),"beyond forecast")</f>
        <v>2023-08-03</v>
      </c>
      <c r="L99" s="0" t="str">
        <f aca="false" t="array" ref="L99:L99">IFERROR(LEFT(VLOOKUP(INDEX(K4:K29,MATCH(TRUE(),K4:K29&lt;34,0)),K4:L29,2,FALSE()),10),"beyond forecast")</f>
        <v>2023-08-03</v>
      </c>
      <c r="BO99" s="0" t="n">
        <v>12.7</v>
      </c>
      <c r="BP99" s="187" t="s">
        <v>448</v>
      </c>
      <c r="BQ99" s="0" t="n">
        <v>15.2</v>
      </c>
      <c r="BR99" s="187" t="s">
        <v>448</v>
      </c>
      <c r="BS99" s="0" t="n">
        <v>7.5</v>
      </c>
      <c r="BT99" s="187" t="s">
        <v>448</v>
      </c>
      <c r="BU99" s="0" t="n">
        <v>6.3</v>
      </c>
      <c r="BV99" s="187" t="s">
        <v>448</v>
      </c>
      <c r="BY99" s="0" t="n">
        <v>8.9</v>
      </c>
      <c r="BZ99" s="187" t="s">
        <v>448</v>
      </c>
      <c r="CA99" s="0" t="n">
        <v>10.2</v>
      </c>
      <c r="CB99" s="187" t="s">
        <v>448</v>
      </c>
      <c r="CE99" s="0" t="n">
        <v>10.4</v>
      </c>
      <c r="CF99" s="187" t="s">
        <v>448</v>
      </c>
      <c r="CG99" s="0" t="n">
        <v>6.3</v>
      </c>
      <c r="CH99" s="187" t="s">
        <v>448</v>
      </c>
      <c r="CI99" s="0" t="n">
        <v>4.7</v>
      </c>
      <c r="CJ99" s="187" t="s">
        <v>448</v>
      </c>
      <c r="CK99" s="0" t="n">
        <v>3.9</v>
      </c>
      <c r="CL99" s="187" t="s">
        <v>448</v>
      </c>
      <c r="CM99" s="0" t="n">
        <v>1.6</v>
      </c>
      <c r="CN99" s="187" t="s">
        <v>448</v>
      </c>
      <c r="CO99" s="0" t="n">
        <v>8.7</v>
      </c>
      <c r="CP99" s="187" t="s">
        <v>448</v>
      </c>
    </row>
    <row r="100" customFormat="false" ht="14.25" hidden="false" customHeight="false" outlineLevel="0" collapsed="false">
      <c r="BO100" s="0" t="n">
        <v>12.7</v>
      </c>
      <c r="BP100" s="187" t="s">
        <v>449</v>
      </c>
      <c r="BQ100" s="0" t="n">
        <v>15.2</v>
      </c>
      <c r="BR100" s="187" t="s">
        <v>449</v>
      </c>
      <c r="BS100" s="0" t="n">
        <v>7.5</v>
      </c>
      <c r="BT100" s="187" t="s">
        <v>449</v>
      </c>
      <c r="BU100" s="0" t="n">
        <v>6.3</v>
      </c>
      <c r="BV100" s="187" t="s">
        <v>449</v>
      </c>
      <c r="BY100" s="0" t="n">
        <v>8.9</v>
      </c>
      <c r="BZ100" s="187" t="s">
        <v>449</v>
      </c>
      <c r="CA100" s="0" t="n">
        <v>10.2</v>
      </c>
      <c r="CB100" s="187" t="s">
        <v>449</v>
      </c>
      <c r="CE100" s="0" t="n">
        <v>10.4</v>
      </c>
      <c r="CF100" s="187" t="s">
        <v>449</v>
      </c>
      <c r="CG100" s="0" t="n">
        <v>6.3</v>
      </c>
      <c r="CH100" s="187" t="s">
        <v>449</v>
      </c>
      <c r="CI100" s="0" t="n">
        <v>4.7</v>
      </c>
      <c r="CJ100" s="187" t="s">
        <v>449</v>
      </c>
      <c r="CK100" s="0" t="n">
        <v>3.9</v>
      </c>
      <c r="CL100" s="187" t="s">
        <v>449</v>
      </c>
      <c r="CM100" s="0" t="n">
        <v>1.6</v>
      </c>
      <c r="CN100" s="187" t="s">
        <v>449</v>
      </c>
      <c r="CO100" s="0" t="n">
        <v>8.7</v>
      </c>
      <c r="CP100" s="187" t="s">
        <v>449</v>
      </c>
    </row>
    <row r="101" customFormat="false" ht="14.25" hidden="false" customHeight="false" outlineLevel="0" collapsed="false">
      <c r="BO101" s="0" t="n">
        <v>12.7</v>
      </c>
      <c r="BP101" s="187" t="s">
        <v>450</v>
      </c>
      <c r="BQ101" s="0" t="n">
        <v>15.2</v>
      </c>
      <c r="BR101" s="187" t="s">
        <v>450</v>
      </c>
      <c r="BS101" s="0" t="n">
        <v>7.5</v>
      </c>
      <c r="BT101" s="187" t="s">
        <v>450</v>
      </c>
      <c r="BU101" s="0" t="n">
        <v>6.3</v>
      </c>
      <c r="BV101" s="187" t="s">
        <v>450</v>
      </c>
      <c r="BY101" s="0" t="n">
        <v>8.9</v>
      </c>
      <c r="BZ101" s="187" t="s">
        <v>450</v>
      </c>
      <c r="CA101" s="0" t="n">
        <v>10.2</v>
      </c>
      <c r="CB101" s="187" t="s">
        <v>450</v>
      </c>
      <c r="CE101" s="0" t="n">
        <v>10.4</v>
      </c>
      <c r="CF101" s="187" t="s">
        <v>450</v>
      </c>
      <c r="CG101" s="0" t="n">
        <v>6.3</v>
      </c>
      <c r="CH101" s="187" t="s">
        <v>450</v>
      </c>
      <c r="CI101" s="0" t="n">
        <v>4.7</v>
      </c>
      <c r="CJ101" s="187" t="s">
        <v>450</v>
      </c>
      <c r="CK101" s="0" t="n">
        <v>3.9</v>
      </c>
      <c r="CL101" s="187" t="s">
        <v>450</v>
      </c>
      <c r="CM101" s="0" t="n">
        <v>1.6</v>
      </c>
      <c r="CN101" s="187" t="s">
        <v>450</v>
      </c>
      <c r="CO101" s="0" t="n">
        <v>8.7</v>
      </c>
      <c r="CP101" s="187" t="s">
        <v>450</v>
      </c>
    </row>
    <row r="102" customFormat="false" ht="14.25" hidden="false" customHeight="false" outlineLevel="0" collapsed="false">
      <c r="BO102" s="0" t="n">
        <v>12.7</v>
      </c>
      <c r="BP102" s="187" t="s">
        <v>451</v>
      </c>
      <c r="BQ102" s="0" t="n">
        <v>15.1</v>
      </c>
      <c r="BR102" s="187" t="s">
        <v>451</v>
      </c>
      <c r="BS102" s="0" t="n">
        <v>7.5</v>
      </c>
      <c r="BT102" s="187" t="s">
        <v>451</v>
      </c>
      <c r="BU102" s="0" t="n">
        <v>6.3</v>
      </c>
      <c r="BV102" s="187" t="s">
        <v>451</v>
      </c>
      <c r="BY102" s="0" t="n">
        <v>8.9</v>
      </c>
      <c r="BZ102" s="187" t="s">
        <v>451</v>
      </c>
      <c r="CA102" s="0" t="n">
        <v>10.2</v>
      </c>
      <c r="CB102" s="187" t="s">
        <v>451</v>
      </c>
      <c r="CE102" s="0" t="n">
        <v>10.4</v>
      </c>
      <c r="CF102" s="187" t="s">
        <v>451</v>
      </c>
      <c r="CG102" s="0" t="n">
        <v>6.3</v>
      </c>
      <c r="CH102" s="187" t="s">
        <v>451</v>
      </c>
      <c r="CI102" s="0" t="n">
        <v>4.7</v>
      </c>
      <c r="CJ102" s="187" t="s">
        <v>451</v>
      </c>
      <c r="CK102" s="0" t="n">
        <v>3.9</v>
      </c>
      <c r="CL102" s="187" t="s">
        <v>451</v>
      </c>
      <c r="CM102" s="0" t="n">
        <v>1.6</v>
      </c>
      <c r="CN102" s="187" t="s">
        <v>451</v>
      </c>
      <c r="CO102" s="0" t="n">
        <v>8.7</v>
      </c>
      <c r="CP102" s="187" t="s">
        <v>451</v>
      </c>
    </row>
    <row r="103" customFormat="false" ht="14.25" hidden="false" customHeight="false" outlineLevel="0" collapsed="false">
      <c r="BO103" s="0" t="n">
        <v>12.7</v>
      </c>
      <c r="BP103" s="187" t="s">
        <v>452</v>
      </c>
      <c r="BQ103" s="0" t="n">
        <v>15.1</v>
      </c>
      <c r="BR103" s="187" t="s">
        <v>452</v>
      </c>
      <c r="BS103" s="0" t="n">
        <v>7.5</v>
      </c>
      <c r="BT103" s="187" t="s">
        <v>452</v>
      </c>
      <c r="BU103" s="0" t="n">
        <v>6.3</v>
      </c>
      <c r="BV103" s="187" t="s">
        <v>452</v>
      </c>
      <c r="BY103" s="0" t="n">
        <v>8.9</v>
      </c>
      <c r="BZ103" s="187" t="s">
        <v>452</v>
      </c>
      <c r="CA103" s="0" t="n">
        <v>10.2</v>
      </c>
      <c r="CB103" s="187" t="s">
        <v>452</v>
      </c>
      <c r="CE103" s="0" t="n">
        <v>10.4</v>
      </c>
      <c r="CF103" s="187" t="s">
        <v>452</v>
      </c>
      <c r="CG103" s="0" t="n">
        <v>6.3</v>
      </c>
      <c r="CH103" s="187" t="s">
        <v>452</v>
      </c>
      <c r="CI103" s="0" t="n">
        <v>4.7</v>
      </c>
      <c r="CJ103" s="187" t="s">
        <v>452</v>
      </c>
      <c r="CK103" s="0" t="n">
        <v>3.9</v>
      </c>
      <c r="CL103" s="187" t="s">
        <v>452</v>
      </c>
      <c r="CM103" s="0" t="n">
        <v>1.6</v>
      </c>
      <c r="CN103" s="187" t="s">
        <v>452</v>
      </c>
      <c r="CO103" s="0" t="n">
        <v>8.7</v>
      </c>
      <c r="CP103" s="187" t="s">
        <v>452</v>
      </c>
    </row>
    <row r="104" customFormat="false" ht="14.25" hidden="false" customHeight="false" outlineLevel="0" collapsed="false">
      <c r="BO104" s="0" t="n">
        <v>12.7</v>
      </c>
      <c r="BP104" s="187" t="s">
        <v>453</v>
      </c>
      <c r="BQ104" s="0" t="n">
        <v>15.1</v>
      </c>
      <c r="BR104" s="187" t="s">
        <v>453</v>
      </c>
      <c r="BS104" s="0" t="n">
        <v>7.5</v>
      </c>
      <c r="BT104" s="187" t="s">
        <v>453</v>
      </c>
      <c r="BU104" s="0" t="n">
        <v>6.3</v>
      </c>
      <c r="BV104" s="187" t="s">
        <v>453</v>
      </c>
      <c r="BY104" s="0" t="n">
        <v>8.8</v>
      </c>
      <c r="BZ104" s="187" t="s">
        <v>453</v>
      </c>
      <c r="CA104" s="0" t="n">
        <v>10.2</v>
      </c>
      <c r="CB104" s="187" t="s">
        <v>453</v>
      </c>
      <c r="CE104" s="0" t="n">
        <v>10.4</v>
      </c>
      <c r="CF104" s="187" t="s">
        <v>453</v>
      </c>
      <c r="CG104" s="0" t="n">
        <v>6.2</v>
      </c>
      <c r="CH104" s="187" t="s">
        <v>453</v>
      </c>
      <c r="CI104" s="0" t="n">
        <v>4.6</v>
      </c>
      <c r="CJ104" s="187" t="s">
        <v>453</v>
      </c>
      <c r="CK104" s="0" t="n">
        <v>3.9</v>
      </c>
      <c r="CL104" s="187" t="s">
        <v>453</v>
      </c>
      <c r="CM104" s="0" t="n">
        <v>1.6</v>
      </c>
      <c r="CN104" s="187" t="s">
        <v>453</v>
      </c>
      <c r="CO104" s="0" t="n">
        <v>8.7</v>
      </c>
      <c r="CP104" s="187" t="s">
        <v>453</v>
      </c>
    </row>
    <row r="105" customFormat="false" ht="14.25" hidden="false" customHeight="false" outlineLevel="0" collapsed="false">
      <c r="BO105" s="0" t="n">
        <v>12.7</v>
      </c>
      <c r="BP105" s="187" t="s">
        <v>454</v>
      </c>
      <c r="BQ105" s="0" t="n">
        <v>15.1</v>
      </c>
      <c r="BR105" s="187" t="s">
        <v>454</v>
      </c>
      <c r="BS105" s="0" t="n">
        <v>7.5</v>
      </c>
      <c r="BT105" s="187" t="s">
        <v>454</v>
      </c>
      <c r="BU105" s="0" t="n">
        <v>6.3</v>
      </c>
      <c r="BV105" s="187" t="s">
        <v>454</v>
      </c>
      <c r="BY105" s="0" t="n">
        <v>8.8</v>
      </c>
      <c r="BZ105" s="187" t="s">
        <v>454</v>
      </c>
      <c r="CA105" s="0" t="n">
        <v>10.2</v>
      </c>
      <c r="CB105" s="187" t="s">
        <v>454</v>
      </c>
      <c r="CE105" s="0" t="n">
        <v>10.4</v>
      </c>
      <c r="CF105" s="187" t="s">
        <v>454</v>
      </c>
      <c r="CG105" s="0" t="n">
        <v>6.2</v>
      </c>
      <c r="CH105" s="187" t="s">
        <v>454</v>
      </c>
      <c r="CI105" s="0" t="n">
        <v>4.6</v>
      </c>
      <c r="CJ105" s="187" t="s">
        <v>454</v>
      </c>
      <c r="CK105" s="0" t="n">
        <v>3.9</v>
      </c>
      <c r="CL105" s="187" t="s">
        <v>454</v>
      </c>
      <c r="CM105" s="0" t="n">
        <v>1.6</v>
      </c>
      <c r="CN105" s="187" t="s">
        <v>454</v>
      </c>
      <c r="CO105" s="0" t="n">
        <v>8.7</v>
      </c>
      <c r="CP105" s="187" t="s">
        <v>454</v>
      </c>
    </row>
    <row r="106" customFormat="false" ht="14.25" hidden="false" customHeight="false" outlineLevel="0" collapsed="false">
      <c r="BO106" s="0" t="n">
        <v>12.7</v>
      </c>
      <c r="BP106" s="187" t="s">
        <v>455</v>
      </c>
      <c r="BQ106" s="0" t="n">
        <v>15.1</v>
      </c>
      <c r="BR106" s="187" t="s">
        <v>455</v>
      </c>
      <c r="BS106" s="0" t="n">
        <v>7.5</v>
      </c>
      <c r="BT106" s="187" t="s">
        <v>455</v>
      </c>
      <c r="BU106" s="0" t="n">
        <v>6.3</v>
      </c>
      <c r="BV106" s="187" t="s">
        <v>455</v>
      </c>
      <c r="BY106" s="0" t="n">
        <v>8.8</v>
      </c>
      <c r="BZ106" s="187" t="s">
        <v>455</v>
      </c>
      <c r="CA106" s="0" t="n">
        <v>10.1</v>
      </c>
      <c r="CB106" s="187" t="s">
        <v>455</v>
      </c>
      <c r="CE106" s="0" t="n">
        <v>10.4</v>
      </c>
      <c r="CF106" s="187" t="s">
        <v>455</v>
      </c>
      <c r="CG106" s="0" t="n">
        <v>6.2</v>
      </c>
      <c r="CH106" s="187" t="s">
        <v>455</v>
      </c>
      <c r="CI106" s="0" t="n">
        <v>4.6</v>
      </c>
      <c r="CJ106" s="187" t="s">
        <v>455</v>
      </c>
      <c r="CK106" s="0" t="n">
        <v>3.9</v>
      </c>
      <c r="CL106" s="187" t="s">
        <v>455</v>
      </c>
      <c r="CM106" s="0" t="n">
        <v>1.6</v>
      </c>
      <c r="CN106" s="187" t="s">
        <v>455</v>
      </c>
      <c r="CO106" s="0" t="n">
        <v>8.7</v>
      </c>
      <c r="CP106" s="187" t="s">
        <v>455</v>
      </c>
    </row>
    <row r="107" customFormat="false" ht="14.25" hidden="false" customHeight="false" outlineLevel="0" collapsed="false">
      <c r="BO107" s="0" t="n">
        <v>12.7</v>
      </c>
      <c r="BP107" s="187" t="s">
        <v>456</v>
      </c>
      <c r="BQ107" s="0" t="n">
        <v>15.1</v>
      </c>
      <c r="BR107" s="187" t="s">
        <v>456</v>
      </c>
      <c r="BS107" s="0" t="n">
        <v>7.5</v>
      </c>
      <c r="BT107" s="187" t="s">
        <v>456</v>
      </c>
      <c r="BU107" s="0" t="n">
        <v>6.3</v>
      </c>
      <c r="BV107" s="187" t="s">
        <v>456</v>
      </c>
      <c r="BY107" s="0" t="n">
        <v>8.8</v>
      </c>
      <c r="BZ107" s="187" t="s">
        <v>456</v>
      </c>
      <c r="CA107" s="0" t="n">
        <v>10.1</v>
      </c>
      <c r="CB107" s="187" t="s">
        <v>456</v>
      </c>
      <c r="CE107" s="0" t="n">
        <v>10.4</v>
      </c>
      <c r="CF107" s="187" t="s">
        <v>456</v>
      </c>
      <c r="CG107" s="0" t="n">
        <v>6.2</v>
      </c>
      <c r="CH107" s="187" t="s">
        <v>456</v>
      </c>
      <c r="CI107" s="0" t="n">
        <v>4.6</v>
      </c>
      <c r="CJ107" s="187" t="s">
        <v>456</v>
      </c>
      <c r="CK107" s="0" t="n">
        <v>3.9</v>
      </c>
      <c r="CL107" s="187" t="s">
        <v>456</v>
      </c>
      <c r="CM107" s="0" t="n">
        <v>1.6</v>
      </c>
      <c r="CN107" s="187" t="s">
        <v>456</v>
      </c>
      <c r="CO107" s="0" t="n">
        <v>8.6</v>
      </c>
      <c r="CP107" s="187" t="s">
        <v>456</v>
      </c>
    </row>
    <row r="108" customFormat="false" ht="14.25" hidden="false" customHeight="false" outlineLevel="0" collapsed="false">
      <c r="BO108" s="0" t="n">
        <v>12.7</v>
      </c>
      <c r="BP108" s="187" t="s">
        <v>457</v>
      </c>
      <c r="BQ108" s="0" t="n">
        <v>15.1</v>
      </c>
      <c r="BR108" s="187" t="s">
        <v>457</v>
      </c>
      <c r="BS108" s="0" t="n">
        <v>7.5</v>
      </c>
      <c r="BT108" s="187" t="s">
        <v>457</v>
      </c>
      <c r="BU108" s="0" t="n">
        <v>6.3</v>
      </c>
      <c r="BV108" s="187" t="s">
        <v>457</v>
      </c>
      <c r="BY108" s="0" t="n">
        <v>8.8</v>
      </c>
      <c r="BZ108" s="187" t="s">
        <v>457</v>
      </c>
      <c r="CA108" s="0" t="n">
        <v>10.1</v>
      </c>
      <c r="CB108" s="187" t="s">
        <v>457</v>
      </c>
      <c r="CE108" s="0" t="n">
        <v>10.4</v>
      </c>
      <c r="CF108" s="187" t="s">
        <v>457</v>
      </c>
      <c r="CG108" s="0" t="n">
        <v>6.2</v>
      </c>
      <c r="CH108" s="187" t="s">
        <v>457</v>
      </c>
      <c r="CI108" s="0" t="n">
        <v>4.6</v>
      </c>
      <c r="CJ108" s="187" t="s">
        <v>457</v>
      </c>
      <c r="CK108" s="0" t="n">
        <v>3.9</v>
      </c>
      <c r="CL108" s="187" t="s">
        <v>457</v>
      </c>
      <c r="CM108" s="0" t="n">
        <v>1.6</v>
      </c>
      <c r="CN108" s="187" t="s">
        <v>457</v>
      </c>
      <c r="CO108" s="0" t="n">
        <v>8.6</v>
      </c>
      <c r="CP108" s="187" t="s">
        <v>457</v>
      </c>
    </row>
    <row r="109" customFormat="false" ht="14.25" hidden="false" customHeight="false" outlineLevel="0" collapsed="false">
      <c r="BO109" s="0" t="n">
        <v>12.7</v>
      </c>
      <c r="BP109" s="187" t="s">
        <v>458</v>
      </c>
      <c r="BQ109" s="0" t="n">
        <v>15.1</v>
      </c>
      <c r="BR109" s="187" t="s">
        <v>458</v>
      </c>
      <c r="BS109" s="0" t="n">
        <v>7.5</v>
      </c>
      <c r="BT109" s="187" t="s">
        <v>458</v>
      </c>
      <c r="BU109" s="0" t="n">
        <v>6.3</v>
      </c>
      <c r="BV109" s="187" t="s">
        <v>458</v>
      </c>
      <c r="BY109" s="0" t="n">
        <v>8.8</v>
      </c>
      <c r="BZ109" s="187" t="s">
        <v>458</v>
      </c>
      <c r="CA109" s="0" t="n">
        <v>10.1</v>
      </c>
      <c r="CB109" s="187" t="s">
        <v>458</v>
      </c>
      <c r="CE109" s="0" t="n">
        <v>10.4</v>
      </c>
      <c r="CF109" s="187" t="s">
        <v>458</v>
      </c>
      <c r="CG109" s="0" t="n">
        <v>6.2</v>
      </c>
      <c r="CH109" s="187" t="s">
        <v>458</v>
      </c>
      <c r="CI109" s="0" t="n">
        <v>4.6</v>
      </c>
      <c r="CJ109" s="187" t="s">
        <v>458</v>
      </c>
      <c r="CK109" s="0" t="n">
        <v>3.9</v>
      </c>
      <c r="CL109" s="187" t="s">
        <v>458</v>
      </c>
      <c r="CM109" s="0" t="n">
        <v>1.6</v>
      </c>
      <c r="CN109" s="187" t="s">
        <v>458</v>
      </c>
      <c r="CO109" s="0" t="n">
        <v>8.6</v>
      </c>
      <c r="CP109" s="187" t="s">
        <v>458</v>
      </c>
    </row>
    <row r="110" customFormat="false" ht="14.25" hidden="false" customHeight="false" outlineLevel="0" collapsed="false">
      <c r="BO110" s="0" t="n">
        <v>12.6</v>
      </c>
      <c r="BP110" s="187" t="s">
        <v>459</v>
      </c>
      <c r="BQ110" s="0" t="n">
        <v>15.1</v>
      </c>
      <c r="BR110" s="187" t="s">
        <v>459</v>
      </c>
      <c r="BS110" s="0" t="n">
        <v>7.5</v>
      </c>
      <c r="BT110" s="187" t="s">
        <v>459</v>
      </c>
      <c r="BU110" s="0" t="n">
        <v>6.3</v>
      </c>
      <c r="BV110" s="187" t="s">
        <v>459</v>
      </c>
      <c r="BY110" s="0" t="n">
        <v>8.8</v>
      </c>
      <c r="BZ110" s="187" t="s">
        <v>459</v>
      </c>
      <c r="CA110" s="0" t="n">
        <v>10.1</v>
      </c>
      <c r="CB110" s="187" t="s">
        <v>459</v>
      </c>
      <c r="CE110" s="0" t="n">
        <v>10.3</v>
      </c>
      <c r="CF110" s="187" t="s">
        <v>459</v>
      </c>
      <c r="CG110" s="0" t="n">
        <v>6.2</v>
      </c>
      <c r="CH110" s="187" t="s">
        <v>459</v>
      </c>
      <c r="CI110" s="0" t="n">
        <v>4.6</v>
      </c>
      <c r="CJ110" s="187" t="s">
        <v>459</v>
      </c>
      <c r="CK110" s="0" t="n">
        <v>3.9</v>
      </c>
      <c r="CL110" s="187" t="s">
        <v>459</v>
      </c>
      <c r="CM110" s="0" t="n">
        <v>1.5</v>
      </c>
      <c r="CN110" s="187" t="s">
        <v>459</v>
      </c>
      <c r="CO110" s="0" t="n">
        <v>8.6</v>
      </c>
      <c r="CP110" s="187" t="s">
        <v>459</v>
      </c>
    </row>
    <row r="111" customFormat="false" ht="14.25" hidden="false" customHeight="false" outlineLevel="0" collapsed="false">
      <c r="O111" s="188" t="n">
        <f aca="false">MAX(O4:O27)</f>
        <v>2.9</v>
      </c>
      <c r="P111" s="0" t="str">
        <f aca="false">LEFT(VLOOKUP(MAX(O4:O27),O4:P27,2,FALSE()),10)</f>
        <v>2023-08-03</v>
      </c>
      <c r="S111" s="188" t="n">
        <f aca="false">MAX(S4:S27)</f>
        <v>4.3</v>
      </c>
      <c r="T111" s="0" t="str">
        <f aca="false">LEFT(VLOOKUP(MAX(S4:S27),S4:T27,2,FALSE()),10)</f>
        <v>2023-08-03</v>
      </c>
      <c r="U111" s="188" t="n">
        <f aca="false">MAX(U4:U27)</f>
        <v>651.2</v>
      </c>
      <c r="V111" s="0" t="str">
        <f aca="false">LEFT(VLOOKUP(MAX(U4:U27),U4:V27,2,FALSE()),10)</f>
        <v>2023-08-03</v>
      </c>
      <c r="W111" s="188" t="n">
        <f aca="false">MAX(W4:W27)</f>
        <v>645.9</v>
      </c>
      <c r="X111" s="0" t="str">
        <f aca="false">LEFT(VLOOKUP(MAX(W4:W27),W4:X27,2,FALSE()),10)</f>
        <v>2023-08-03</v>
      </c>
      <c r="Y111" s="188" t="n">
        <f aca="false">MAX(Y4:Y27)</f>
        <v>639.5</v>
      </c>
      <c r="Z111" s="0" t="str">
        <f aca="false">LEFT(VLOOKUP(MAX(Y4:Y27),Y4:Z27,2,FALSE()),10)</f>
        <v>2023-08-03</v>
      </c>
      <c r="AA111" s="188" t="n">
        <f aca="false">MAX(AA4:AA27)</f>
        <v>631.4</v>
      </c>
      <c r="AB111" s="0" t="str">
        <f aca="false">LEFT(VLOOKUP(MAX(AA4:AA27),AA4:AB27,2,FALSE()),10)</f>
        <v>2023-08-03</v>
      </c>
      <c r="AC111" s="188" t="n">
        <f aca="false">MAX(AC4:AC27)</f>
        <v>621.1</v>
      </c>
      <c r="AD111" s="0" t="str">
        <f aca="false">LEFT(VLOOKUP(MAX(AC4:AC27),AC4:AD27,2,FALSE()),10)</f>
        <v>2023-08-03</v>
      </c>
      <c r="AE111" s="188" t="n">
        <f aca="false">MAX(AE4:AE27)</f>
        <v>613</v>
      </c>
      <c r="AF111" s="0" t="str">
        <f aca="false">LEFT(VLOOKUP(MAX(AE4:AE27),AE4:AF27,2,FALSE()),10)</f>
        <v>2023-08-03</v>
      </c>
      <c r="AG111" s="188" t="n">
        <f aca="false">MAX(AG4:AG29)</f>
        <v>4.6</v>
      </c>
      <c r="AH111" s="0" t="str">
        <f aca="false">LEFT(VLOOKUP(MAX(AG4:AG29),AG4:AH29,2,FALSE()),10)</f>
        <v>2023-08-03</v>
      </c>
      <c r="BO111" s="0" t="n">
        <v>12.6</v>
      </c>
      <c r="BP111" s="187" t="s">
        <v>460</v>
      </c>
      <c r="BQ111" s="0" t="n">
        <v>15.1</v>
      </c>
      <c r="BR111" s="187" t="s">
        <v>460</v>
      </c>
      <c r="BS111" s="0" t="n">
        <v>7.5</v>
      </c>
      <c r="BT111" s="187" t="s">
        <v>460</v>
      </c>
      <c r="BU111" s="0" t="n">
        <v>6.3</v>
      </c>
      <c r="BV111" s="187" t="s">
        <v>460</v>
      </c>
      <c r="BY111" s="0" t="n">
        <v>8.8</v>
      </c>
      <c r="BZ111" s="187" t="s">
        <v>460</v>
      </c>
      <c r="CA111" s="0" t="n">
        <v>10.1</v>
      </c>
      <c r="CB111" s="187" t="s">
        <v>460</v>
      </c>
      <c r="CE111" s="0" t="n">
        <v>10.3</v>
      </c>
      <c r="CF111" s="187" t="s">
        <v>460</v>
      </c>
      <c r="CG111" s="0" t="n">
        <v>6.2</v>
      </c>
      <c r="CH111" s="187" t="s">
        <v>460</v>
      </c>
      <c r="CI111" s="0" t="n">
        <v>4.6</v>
      </c>
      <c r="CJ111" s="187" t="s">
        <v>460</v>
      </c>
      <c r="CK111" s="0" t="n">
        <v>3.9</v>
      </c>
      <c r="CL111" s="187" t="s">
        <v>460</v>
      </c>
      <c r="CM111" s="0" t="n">
        <v>1.5</v>
      </c>
      <c r="CN111" s="187" t="s">
        <v>460</v>
      </c>
      <c r="CO111" s="0" t="n">
        <v>8.6</v>
      </c>
      <c r="CP111" s="187" t="s">
        <v>460</v>
      </c>
    </row>
    <row r="112" customFormat="false" ht="14.25" hidden="false" customHeight="false" outlineLevel="0" collapsed="false">
      <c r="O112" s="188" t="n">
        <f aca="false">MIN(O4:O27)</f>
        <v>2.9</v>
      </c>
      <c r="P112" s="0" t="str">
        <f aca="false">LEFT(VLOOKUP(MIN(O4:O27),O4:P27,2,FALSE()),10)</f>
        <v>2023-08-03</v>
      </c>
      <c r="S112" s="188" t="n">
        <f aca="false">MIN(S4:S27)</f>
        <v>4.2</v>
      </c>
      <c r="T112" s="0" t="str">
        <f aca="false">LEFT(VLOOKUP(MIN(S4:S27),S4:T27,2,FALSE()),10)</f>
        <v>2023-08-05</v>
      </c>
      <c r="U112" s="188" t="n">
        <f aca="false">MIN(U4:U27)</f>
        <v>651.1</v>
      </c>
      <c r="V112" s="0" t="str">
        <f aca="false">LEFT(VLOOKUP(MIN(U4:U27),U4:V27,2,FALSE()),10)</f>
        <v>2023-08-08</v>
      </c>
      <c r="W112" s="188" t="n">
        <f aca="false">MIN(W4:W27)</f>
        <v>645.9</v>
      </c>
      <c r="X112" s="0" t="str">
        <f aca="false">LEFT(VLOOKUP(MIN(W4:W27),W4:X27,2,FALSE()),10)</f>
        <v>2023-08-03</v>
      </c>
      <c r="Y112" s="188" t="n">
        <f aca="false">MIN(Y4:Y27)</f>
        <v>639.4</v>
      </c>
      <c r="Z112" s="0" t="str">
        <f aca="false">LEFT(VLOOKUP(MIN(Y4:Y27),Y4:Z27,2,FALSE()),10)</f>
        <v>2023-08-04</v>
      </c>
      <c r="AA112" s="188" t="n">
        <f aca="false">MIN(AA4:AA27)</f>
        <v>631.2</v>
      </c>
      <c r="AB112" s="0" t="str">
        <f aca="false">LEFT(VLOOKUP(MIN(AA4:AA27),AA4:AB27,2,FALSE()),10)</f>
        <v>2023-08-06</v>
      </c>
      <c r="AC112" s="188" t="n">
        <f aca="false">MIN(AC4:AC27)</f>
        <v>620.7</v>
      </c>
      <c r="AD112" s="0" t="str">
        <f aca="false">LEFT(VLOOKUP(MIN(AC4:AC27),AC4:AD27,2,FALSE()),10)</f>
        <v>2023-08-06</v>
      </c>
      <c r="AE112" s="188" t="n">
        <f aca="false">MIN(AE4:AE27)</f>
        <v>612.2</v>
      </c>
      <c r="AF112" s="0" t="str">
        <f aca="false">LEFT(VLOOKUP(MIN(AE4:AE27),AE4:AF27,2,FALSE()),10)</f>
        <v>2023-08-08</v>
      </c>
      <c r="AG112" s="188" t="n">
        <f aca="false">MIN(AG4:AG29)</f>
        <v>3.9</v>
      </c>
      <c r="AH112" s="0" t="str">
        <f aca="false">LEFT(VLOOKUP(MIN(AG4:AG29),AG4:AH29,2,FALSE()),10)</f>
        <v>2023-08-07</v>
      </c>
      <c r="BQ112" s="188" t="n">
        <f aca="false">MAX(BQ4:BQ111)</f>
        <v>16.3</v>
      </c>
      <c r="BR112" s="0" t="str">
        <f aca="false">LEFT(VLOOKUP(MAX(BQ4:BQ111),BQ4:BR111,2,FALSE()),10)</f>
        <v>2023-08-03</v>
      </c>
      <c r="BS112" s="188" t="n">
        <f aca="false">MAX(BS4:BS111)</f>
        <v>9.1</v>
      </c>
      <c r="BT112" s="0" t="str">
        <f aca="false">LEFT(VLOOKUP(MAX(BS4:BS111),BS4:BT111,2,FALSE()),10)</f>
        <v>2023-08-04</v>
      </c>
    </row>
    <row r="113" customFormat="false" ht="14.25" hidden="false" customHeight="false" outlineLevel="0" collapsed="false">
      <c r="P113" s="0" t="str">
        <f aca="false" t="array" ref="P113:P113">IFERROR(LEFT(VLOOKUP(INDEX(O4:O27,MATCH(TRUE(),O4:O27&lt;17,0)),O4:P27,2,FALSE()),10),"beyond forecast")</f>
        <v>2023-08-03</v>
      </c>
      <c r="T113" s="0" t="str">
        <f aca="false" t="array" ref="T113:T113">IFERROR(LEFT(VLOOKUP(INDEX(S4:S27,MATCH(TRUE(),S4:S27&lt;18,0)),S4:T27,2,FALSE()),10),"beyond forecast")</f>
        <v>2023-08-03</v>
      </c>
      <c r="V113" s="0" t="str">
        <f aca="false" t="array" ref="V113:V113">IFERROR(LEFT(VLOOKUP(INDEX(U4:U27,MATCH(TRUE(),U4:U27&lt;667,0)),U4:V27,2,FALSE()),10),"beyond forecast")</f>
        <v>2023-08-03</v>
      </c>
      <c r="X113" s="0" t="str">
        <f aca="false" t="array" ref="X113:X113">IFERROR(LEFT(VLOOKUP(INDEX(W4:W27,MATCH(TRUE(),W4:W27&lt;655,0)),W4:X27,2,FALSE()),10),"beyond forecast")</f>
        <v>2023-08-03</v>
      </c>
      <c r="Z113" s="0" t="str">
        <f aca="false" t="array" ref="Z113:Z113">IFERROR(LEFT(VLOOKUP(INDEX(Y4:Y27,MATCH(TRUE(),Y4:Y27&lt;649,0)),Y4:Z27,2,FALSE()),10),"beyond forecast")</f>
        <v>2023-08-03</v>
      </c>
      <c r="AB113" s="0" t="str">
        <f aca="false" t="array" ref="AB113:AB113">IFERROR(LEFT(VLOOKUP(INDEX(AA4:AA27,MATCH(TRUE(),AA4:AA27&lt;643,0)),AA4:AB27,2,FALSE()),10),"beyond forecast")</f>
        <v>2023-08-03</v>
      </c>
      <c r="AD113" s="0" t="str">
        <f aca="false" t="array" ref="AD113:AD113">IFERROR(LEFT(VLOOKUP(INDEX(AC4:AC27,MATCH(TRUE(),AC4:AC27&lt;636,0)),AC4:AD27,2,FALSE()),10),"beyond forecast")</f>
        <v>2023-08-03</v>
      </c>
      <c r="AF113" s="0" t="str">
        <f aca="false" t="array" ref="AF113:AF113">IFERROR(LEFT(VLOOKUP(INDEX(AE4:AE27,MATCH(TRUE(),AE4:AE27&lt;628,0)),AE4:AF27,2,FALSE()),10),"beyond forecast")</f>
        <v>2023-08-03</v>
      </c>
      <c r="AH113" s="0" t="str">
        <f aca="false" t="array" ref="AH113:AH113">IFERROR(LEFT(VLOOKUP(INDEX(AG4:AG29,MATCH(TRUE(),AG4:AG29&lt;18,0)),AG4:AH29,2,FALSE()),10),"beyond forecast")</f>
        <v>2023-08-03</v>
      </c>
      <c r="BQ113" s="188" t="n">
        <f aca="false">MIN(BQ4:BQ111)</f>
        <v>15.1</v>
      </c>
      <c r="BR113" s="0" t="str">
        <f aca="false">LEFT(VLOOKUP(MIN(BQ4:BQ111),BQ4:BR111,2,FALSE()),10)</f>
        <v>2023-08-28</v>
      </c>
      <c r="BS113" s="188" t="n">
        <f aca="false">MIN(BS4:BS111)</f>
        <v>7.5</v>
      </c>
      <c r="BT113" s="0" t="str">
        <f aca="false">LEFT(VLOOKUP(MIN(BS4:BS111),BS4:BT111,2,FALSE()),10)</f>
        <v>2023-08-25</v>
      </c>
    </row>
    <row r="114" customFormat="false" ht="14.25" hidden="false" customHeight="false" outlineLevel="0" collapsed="false">
      <c r="P114" s="0" t="str">
        <f aca="false" t="array" ref="P114:P114">IFERROR(LEFT(VLOOKUP(INDEX(O4:O27,MATCH(TRUE(),O4:O27&lt;14,0)),O4:P27,2,FALSE()),10),"beyond forecast")</f>
        <v>2023-08-03</v>
      </c>
      <c r="T114" s="0" t="str">
        <f aca="false" t="array" ref="T114:T114">IFERROR(LEFT(VLOOKUP(INDEX(S4:S27,MATCH(TRUE(),S4:S27&lt;16,0)),S4:T27,2,FALSE()),10),"beyond forecast")</f>
        <v>2023-08-03</v>
      </c>
      <c r="V114" s="0" t="str">
        <f aca="false" t="array" ref="V114:V114">IFERROR(LEFT(VLOOKUP(INDEX(U4:U27,MATCH(TRUE(),U4:U27&lt;665,0)),U4:V27,2,FALSE()),10),"beyond forecast")</f>
        <v>2023-08-03</v>
      </c>
      <c r="X114" s="0" t="str">
        <f aca="false" t="array" ref="X114:X114">IFERROR(LEFT(VLOOKUP(INDEX(W4:W27,MATCH(TRUE(),W4:W27&lt;653,0)),W4:X27,2,FALSE()),10),"beyond forecast")</f>
        <v>2023-08-03</v>
      </c>
      <c r="Z114" s="0" t="str">
        <f aca="false" t="array" ref="Z114:Z114">IFERROR(LEFT(VLOOKUP(INDEX(Y4:Y27,MATCH(TRUE(),Y4:Y27&lt;647,0)),Y4:Z27,2,FALSE()),10),"beyond forecast")</f>
        <v>2023-08-03</v>
      </c>
      <c r="AB114" s="0" t="str">
        <f aca="false" t="array" ref="AB114:AB114">IFERROR(LEFT(VLOOKUP(INDEX(AA4:AA27,MATCH(TRUE(),AA4:AA27&lt;641,0)),AA4:AB27,2,FALSE()),10),"beyond forecast")</f>
        <v>2023-08-03</v>
      </c>
      <c r="AD114" s="0" t="str">
        <f aca="false" t="array" ref="AD114:AD114">IFERROR(LEFT(VLOOKUP(INDEX(AC4:AC27,MATCH(TRUE(),AC4:AC27&lt;634,0)),AC4:AD27,2,FALSE()),10),"beyond forecast")</f>
        <v>2023-08-03</v>
      </c>
      <c r="AF114" s="0" t="str">
        <f aca="false" t="array" ref="AF114:AF114">IFERROR(LEFT(VLOOKUP(INDEX(AE4:AE27,MATCH(TRUE(),AE4:AE27&lt;625,0)),AE4:AF27,2,FALSE()),10),"beyond forecast")</f>
        <v>2023-08-03</v>
      </c>
      <c r="AH114" s="0" t="str">
        <f aca="false" t="array" ref="AH114:AH114">IFERROR(LEFT(VLOOKUP(INDEX(AG4:AG29,MATCH(TRUE(),AG4:AG29&lt;15,0)),AG4:AH29,2,FALSE()),10),"beyond forecast")</f>
        <v>2023-08-03</v>
      </c>
      <c r="BR114" s="0" t="str">
        <f aca="false" t="array" ref="BR114:BR114">IFERROR(LEFT(VLOOKUP(INDEX(BQ4:BQ111,MATCH(TRUE(),BQ4:BQ111&lt;29,0)),BQ4:BR111,2,FALSE()),10),"beyond forecast")</f>
        <v>2023-08-03</v>
      </c>
      <c r="BT114" s="0" t="str">
        <f aca="false" t="array" ref="BT114:BT114">IFERROR(LEFT(VLOOKUP(INDEX(BS4:BS111,MATCH(TRUE(),BS4:BS111&lt;20,0)),BS4:BT111,2,FALSE()),10),"beyond forecast")</f>
        <v>2023-08-03</v>
      </c>
    </row>
    <row r="115" customFormat="false" ht="14.25" hidden="false" customHeight="false" outlineLevel="0" collapsed="false">
      <c r="BO115" s="188" t="n">
        <f aca="false">MAX(BO4:BO111)</f>
        <v>13</v>
      </c>
      <c r="BP115" s="0" t="str">
        <f aca="false">LEFT(VLOOKUP(MAX(BO4:BO111),BO4:BP111,2,FALSE()),10)</f>
        <v>2023-08-09</v>
      </c>
      <c r="BR115" s="183" t="str">
        <f aca="false" t="array" ref="BR115:BR115">IFERROR(LEFT(VLOOKUP(INDEX(BQ4:BQ111,MATCH(TRUE(),BQ4:BQ111&lt;26,0)),BQ4:BR111,2,FALSE()),10),"beyond forecast")</f>
        <v>2023-08-03</v>
      </c>
      <c r="BT115" s="183" t="str">
        <f aca="false" t="array" ref="BT115:BT115">IFERROR(LEFT(VLOOKUP(INDEX(BS4:BS111,MATCH(TRUE(),BS4:BS111&lt;17,0)),BS4:BT111,2,FALSE()),10),"beyond forecast")</f>
        <v>2023-08-03</v>
      </c>
      <c r="BU115" s="188" t="n">
        <f aca="false">MAX(BU4:BU111)</f>
        <v>8.1</v>
      </c>
      <c r="BV115" s="0" t="str">
        <f aca="false">LEFT(VLOOKUP(MAX(BU4:BU111),BU4:BV111,2,FALSE()),10)</f>
        <v>2023-08-05</v>
      </c>
      <c r="BY115" s="188" t="n">
        <f aca="false">MAX(BY4:BY111)</f>
        <v>10.5</v>
      </c>
      <c r="BZ115" s="0" t="str">
        <f aca="false">LEFT(VLOOKUP(MAX(BY4:BY111),BY4:BZ111,2,FALSE()),10)</f>
        <v>2023-08-06</v>
      </c>
      <c r="CA115" s="188" t="n">
        <f aca="false">MAX(CA4:CA111)</f>
        <v>11.6</v>
      </c>
      <c r="CB115" s="0" t="str">
        <f aca="false">LEFT(VLOOKUP(MAX(CA4:CA111),CA4:CB111,2,FALSE()),10)</f>
        <v>2023-08-07</v>
      </c>
      <c r="CE115" s="188" t="n">
        <f aca="false">MAX(CE4:CE111)</f>
        <v>17.2</v>
      </c>
      <c r="CF115" s="0" t="str">
        <f aca="false">LEFT(VLOOKUP(MAX(CE4:CE111),CE4:CF111,2,FALSE()),10)</f>
        <v>2023-08-04</v>
      </c>
      <c r="CG115" s="188" t="n">
        <f aca="false">MAX(CG4:CG111)</f>
        <v>12.8</v>
      </c>
      <c r="CH115" s="0" t="str">
        <f aca="false">LEFT(VLOOKUP(MAX(CG4:CG111),CG4:CH111,2,FALSE()),10)</f>
        <v>2023-08-05</v>
      </c>
      <c r="CI115" s="188" t="n">
        <f aca="false">MAX(CI4:CI111)</f>
        <v>12</v>
      </c>
      <c r="CJ115" s="0" t="str">
        <f aca="false">LEFT(VLOOKUP(MAX(CI4:CI111),CI4:CJ111,2,FALSE()),10)</f>
        <v>2023-08-05</v>
      </c>
      <c r="CK115" s="188" t="n">
        <f aca="false">MAX(CK4:CK111)</f>
        <v>13.9</v>
      </c>
      <c r="CL115" s="0" t="str">
        <f aca="false">LEFT(VLOOKUP(MAX(CK4:CK111),CK4:CL111,2,FALSE()),10)</f>
        <v>2023-08-04</v>
      </c>
      <c r="CM115" s="188" t="n">
        <f aca="false">MAX(CM4:CM111)</f>
        <v>12.8</v>
      </c>
      <c r="CN115" s="0" t="str">
        <f aca="false">LEFT(VLOOKUP(MAX(CM4:CM111),CM4:CN111,2,FALSE()),10)</f>
        <v>2023-08-04</v>
      </c>
      <c r="CO115" s="188" t="n">
        <f aca="false">MAX(CO4:CO111)</f>
        <v>18.6</v>
      </c>
      <c r="CP115" s="0" t="str">
        <f aca="false">LEFT(VLOOKUP(MAX(CO4:CO111),CO4:CP111,2,FALSE()),10)</f>
        <v>2023-08-04</v>
      </c>
    </row>
    <row r="116" customFormat="false" ht="14.25" hidden="false" customHeight="false" outlineLevel="0" collapsed="false">
      <c r="BO116" s="188" t="n">
        <f aca="false">MIN(BO4:BO111)</f>
        <v>12.6</v>
      </c>
      <c r="BP116" s="0" t="str">
        <f aca="false">LEFT(VLOOKUP(MIN(BO4:BO111),BO4:BP111,2,FALSE()),10)</f>
        <v>2023-08-03</v>
      </c>
      <c r="BU116" s="188" t="n">
        <f aca="false">MIN(BU4:BU111)</f>
        <v>6.3</v>
      </c>
      <c r="BV116" s="0" t="str">
        <f aca="false">LEFT(VLOOKUP(MIN(BU4:BU111),BU4:BV111,2,FALSE()),10)</f>
        <v>2023-08-25</v>
      </c>
      <c r="BY116" s="188" t="n">
        <f aca="false">MIN(BY4:BY111)</f>
        <v>8.8</v>
      </c>
      <c r="BZ116" s="0" t="str">
        <f aca="false">LEFT(VLOOKUP(MIN(BY4:BY111),BY4:BZ111,2,FALSE()),10)</f>
        <v>2023-08-28</v>
      </c>
      <c r="CA116" s="188" t="n">
        <f aca="false">MIN(CA4:CA111)</f>
        <v>10.1</v>
      </c>
      <c r="CB116" s="0" t="str">
        <f aca="false">LEFT(VLOOKUP(MIN(CA4:CA111),CA4:CB111,2,FALSE()),10)</f>
        <v>2023-08-29</v>
      </c>
      <c r="CE116" s="188" t="n">
        <f aca="false">MIN(CE4:CE111)</f>
        <v>10.3</v>
      </c>
      <c r="CF116" s="0" t="str">
        <f aca="false">LEFT(VLOOKUP(MIN(CE4:CE111),CE4:CF111,2,FALSE()),10)</f>
        <v>2023-08-30</v>
      </c>
      <c r="CG116" s="188" t="n">
        <f aca="false">MIN(CG4:CG111)</f>
        <v>6.2</v>
      </c>
      <c r="CH116" s="0" t="str">
        <f aca="false">LEFT(VLOOKUP(MIN(CG4:CG111),CG4:CH111,2,FALSE()),10)</f>
        <v>2023-08-28</v>
      </c>
      <c r="CI116" s="188" t="n">
        <f aca="false">MIN(CI4:CI111)</f>
        <v>4.6</v>
      </c>
      <c r="CJ116" s="0" t="str">
        <f aca="false">LEFT(VLOOKUP(MIN(CI4:CI111),CI4:CJ111,2,FALSE()),10)</f>
        <v>2023-08-28</v>
      </c>
      <c r="CK116" s="188" t="n">
        <f aca="false">MIN(CK4:CK111)</f>
        <v>3.9</v>
      </c>
      <c r="CL116" s="0" t="str">
        <f aca="false">LEFT(VLOOKUP(MIN(CK4:CK111),CK4:CL111,2,FALSE()),10)</f>
        <v>2023-08-26</v>
      </c>
      <c r="CM116" s="188" t="n">
        <f aca="false">MIN(CM4:CM111)</f>
        <v>1.5</v>
      </c>
      <c r="CN116" s="0" t="str">
        <f aca="false">LEFT(VLOOKUP(MIN(CM4:CM111),CM4:CN111,2,FALSE()),10)</f>
        <v>2023-08-30</v>
      </c>
      <c r="CO116" s="188" t="n">
        <f aca="false">MIN(CO4:CO111)</f>
        <v>8.6</v>
      </c>
      <c r="CP116" s="0" t="str">
        <f aca="false">LEFT(VLOOKUP(MIN(CO4:CO111),CO4:CP111,2,FALSE()),10)</f>
        <v>2023-08-29</v>
      </c>
    </row>
    <row r="117" customFormat="false" ht="14.25" hidden="false" customHeight="false" outlineLevel="0" collapsed="false">
      <c r="P117" s="0" t="str">
        <f aca="false" t="array" ref="P117:P117">IFERROR(LEFT(VLOOKUP(INDEX(O4:O27,MATCH(TRUE(),O4:O27&gt;=14,0)),O4:P27,2,FALSE()),10),"beyond forecast")</f>
        <v>beyond forecast</v>
      </c>
      <c r="T117" s="0" t="str">
        <f aca="false" t="array" ref="T117:T117">IFERROR(LEFT(VLOOKUP(INDEX(S4:S27,MATCH(TRUE(),S4:S27&gt;=16,0)),S4:T27,2,FALSE()),10),"beyond forecast")</f>
        <v>beyond forecast</v>
      </c>
      <c r="V117" s="0" t="str">
        <f aca="false" t="array" ref="V117:V117">IFERROR(LEFT(VLOOKUP(INDEX(U4:U27,MATCH(TRUE(),U4:U27&gt;=665,0)),U4:V27,2,FALSE()),10),"beyond forecast")</f>
        <v>beyond forecast</v>
      </c>
      <c r="X117" s="0" t="str">
        <f aca="false" t="array" ref="X117:X117">IFERROR(LEFT(VLOOKUP(INDEX(W4:W27,MATCH(TRUE(),W4:W27&gt;=653,0)),W4:X27,2,FALSE()),10),"beyond forecast")</f>
        <v>beyond forecast</v>
      </c>
      <c r="Z117" s="0" t="str">
        <f aca="false" t="array" ref="Z117:Z117">IFERROR(LEFT(VLOOKUP(INDEX(Y4:Y27,MATCH(TRUE(),Y4:Y27&gt;=647,0)),Y4:Z27,2,FALSE()),10),"beyond forecast")</f>
        <v>beyond forecast</v>
      </c>
      <c r="AB117" s="0" t="str">
        <f aca="false" t="array" ref="AB117:AB117">IFERROR(LEFT(VLOOKUP(INDEX(AA4:AA27,MATCH(TRUE(),AA4:AA27&gt;=641,0)),AA4:AB27,2,FALSE()),10),"beyond forecast")</f>
        <v>beyond forecast</v>
      </c>
      <c r="AD117" s="0" t="str">
        <f aca="false" t="array" ref="AD117:AD117">IFERROR(LEFT(VLOOKUP(INDEX(AC4:AC27,MATCH(TRUE(),AC4:AC27&gt;=634,0)),AC4:AD27,2,FALSE()),10),"beyond forecast")</f>
        <v>beyond forecast</v>
      </c>
      <c r="AF117" s="0" t="str">
        <f aca="false" t="array" ref="AF117:AF117">IFERROR(LEFT(VLOOKUP(INDEX(AE4:AE27,MATCH(TRUE(),AE4:AE27&gt;=625,0)),AE4:AF27,2,FALSE()),10),"beyond forecast")</f>
        <v>beyond forecast</v>
      </c>
      <c r="AH117" s="0" t="str">
        <f aca="false" t="array" ref="AH117:AH117">IFERROR(LEFT(VLOOKUP(INDEX(AG4:AG29,MATCH(TRUE(),AG4:AG29&gt;=15,0)),AG4:AH29,2,FALSE()),10),"beyond forecast")</f>
        <v>beyond forecast</v>
      </c>
      <c r="BP117" s="0" t="str">
        <f aca="false" t="array" ref="BP117:BP117">IFERROR(LEFT(VLOOKUP(INDEX(BO4:BO111,MATCH(TRUE(),BO4:BO111&lt;30,0)),BO4:BP111,2,FALSE()),10),"beyond forecast")</f>
        <v>2023-08-03</v>
      </c>
      <c r="BV117" s="0" t="str">
        <f aca="false" t="array" ref="BV117:BV117">IFERROR(LEFT(VLOOKUP(INDEX(BU4:BU111,MATCH(TRUE(),BU4:BU111&lt;20,0)),BU4:BV111,2,FALSE()),10),"beyond forecast")</f>
        <v>2023-08-03</v>
      </c>
      <c r="BZ117" s="0" t="str">
        <f aca="false" t="array" ref="BZ117:BZ117">IFERROR(LEFT(VLOOKUP(INDEX(BY4:BY111,MATCH(TRUE(),BY4:BY111&lt;35,0)),BY4:BZ111,2,FALSE()),10),"beyond forecast")</f>
        <v>2023-08-03</v>
      </c>
      <c r="CB117" s="0" t="str">
        <f aca="false" t="array" ref="CB117:CB117">IFERROR(LEFT(VLOOKUP(INDEX(CA4:CA111,MATCH(TRUE(),CA4:CA111&lt;25,0)),CA4:CB111,2,FALSE()),10),"beyond forecast")</f>
        <v>2023-08-03</v>
      </c>
      <c r="CF117" s="0" t="str">
        <f aca="false" t="array" ref="CF117:CF117">IFERROR(LEFT(VLOOKUP(INDEX(CE4:CE111,MATCH(TRUE(),CE4:CE111&lt;27,0)),CE4:CF111,2,FALSE()),10),"beyond forecast")</f>
        <v>2023-08-03</v>
      </c>
      <c r="CH117" s="0" t="str">
        <f aca="false" t="array" ref="CH117:CH117">IFERROR(LEFT(VLOOKUP(INDEX(CG4:CG111,MATCH(TRUE(),CG4:CG111&lt;25,0)),CG4:CH111,2,FALSE()),10),"beyond forecast")</f>
        <v>2023-08-03</v>
      </c>
      <c r="CJ117" s="0" t="str">
        <f aca="false" t="array" ref="CJ117:CJ117">IFERROR(LEFT(VLOOKUP(INDEX(CI4:CI111,MATCH(TRUE(),CI4:CI111&lt;26,0)),CI4:CJ111,2,FALSE()),10),"beyond forecast")</f>
        <v>2023-08-03</v>
      </c>
      <c r="CL117" s="0" t="str">
        <f aca="false" t="array" ref="CL117:CL117">IFERROR(LEFT(VLOOKUP(INDEX(CK4:CK111,MATCH(TRUE(),CK4:CK111&lt;25,0)),CK4:CL111,2,FALSE()),10),"beyond forecast")</f>
        <v>2023-08-03</v>
      </c>
      <c r="CN117" s="0" t="str">
        <f aca="false" t="array" ref="CN117:CN117">IFERROR(LEFT(VLOOKUP(INDEX(CM4:CM111,MATCH(TRUE(),CM4:CM111&lt;26,0)),CM4:CN111,2,FALSE()),10),"beyond forecast")</f>
        <v>2023-08-03</v>
      </c>
      <c r="CP117" s="0" t="str">
        <f aca="false" t="array" ref="CP117:CP117">IFERROR(LEFT(VLOOKUP(INDEX(CO4:CO111,MATCH(TRUE(),CO4:CO111&lt;27,0)),CO4:CP111,2,FALSE()),10),"beyond forecast")</f>
        <v>2023-08-03</v>
      </c>
    </row>
    <row r="118" customFormat="false" ht="14.25" hidden="false" customHeight="false" outlineLevel="0" collapsed="false">
      <c r="P118" s="0" t="str">
        <f aca="false" t="array" ref="P118:P118">IFERROR(LEFT(VLOOKUP(INDEX(O4:O27,MATCH(TRUE(),O4:O27&gt;=17,0)),O4:P27,2,FALSE()),10),"beyond forecast")</f>
        <v>beyond forecast</v>
      </c>
      <c r="T118" s="0" t="str">
        <f aca="false" t="array" ref="T118:T118">IFERROR(LEFT(VLOOKUP(INDEX(S4:S27,MATCH(TRUE(),S4:S27&gt;=18,0)),S4:T27,2,FALSE()),10),"beyond forecast")</f>
        <v>beyond forecast</v>
      </c>
      <c r="V118" s="0" t="str">
        <f aca="false" t="array" ref="V118:V118">IFERROR(LEFT(VLOOKUP(INDEX(U4:U27,MATCH(667,U4:U27&gt;=667,0)),U4:V27,2,FALSE()),10),"beyond forecast")</f>
        <v>beyond forecast</v>
      </c>
      <c r="X118" s="0" t="str">
        <f aca="false" t="array" ref="X118:X118">IFERROR(LEFT(VLOOKUP(INDEX(W4:W27,MATCH(TRUE(),W4:W27&gt;=655,0)),W4:X27,2,FALSE()),10),"beyond forecast")</f>
        <v>beyond forecast</v>
      </c>
      <c r="Z118" s="0" t="str">
        <f aca="false" t="array" ref="Z118:Z118">IFERROR(LEFT(VLOOKUP(INDEX(Y4:Y27,MATCH(TRUE(),Y4:Y27&gt;=649,0)),Y4:Z27,2,FALSE()),10),"beyond forecast")</f>
        <v>beyond forecast</v>
      </c>
      <c r="AB118" s="0" t="str">
        <f aca="false" t="array" ref="AB118:AB118">IFERROR(LEFT(VLOOKUP(INDEX(AA4:AA27,MATCH(TRUE(),AA4:AA27&gt;=643,0)),AA4:AB27,2,FALSE()),10),"beyond forecast")</f>
        <v>beyond forecast</v>
      </c>
      <c r="AD118" s="0" t="str">
        <f aca="false" t="array" ref="AD118:AD118">IFERROR(LEFT(VLOOKUP(INDEX(AC4:AC27,MATCH(TRUE(),AC4:AC27&gt;=636,0)),AC4:AD27,2,FALSE()),10),"beyond forecast")</f>
        <v>beyond forecast</v>
      </c>
      <c r="AF118" s="0" t="str">
        <f aca="false" t="array" ref="AF118:AF118">IFERROR(LEFT(VLOOKUP(INDEX(AE4:AE27,MATCH(TRUE(),AE4:AE27&gt;=628,0)),AE4:AF27,2,FALSE()),10),"beyond forecast")</f>
        <v>beyond forecast</v>
      </c>
      <c r="AH118" s="0" t="str">
        <f aca="false" t="array" ref="AH118:AH118">IFERROR(LEFT(VLOOKUP(INDEX(AG4:AG29,MATCH(TRUE(),AG4:AG29&gt;=18,0)),AG4:AH29,2,FALSE()),10),"beyond forecast")</f>
        <v>beyond forecast</v>
      </c>
      <c r="BP118" s="0" t="str">
        <f aca="false" t="array" ref="BP118:BP118">IFERROR(LEFT(VLOOKUP(INDEX(BO4:BO111,MATCH(TRUE(),BO4:BO111&lt;29,0)),BO4:BP111,2,FALSE()),10),"beyond forecast")</f>
        <v>2023-08-03</v>
      </c>
      <c r="BR118" s="0" t="str">
        <f aca="false" t="array" ref="BR118:BR118">IFERROR(LEFT(VLOOKUP(INDEX(BQ4:BQ111,MATCH(TRUE(),BQ4:BQ111&gt;=26,0)),BQ4:BR111,2,FALSE()),10),"beyond forecast")</f>
        <v>beyond forecast</v>
      </c>
      <c r="BT118" s="0" t="str">
        <f aca="false" t="array" ref="BT118:BT118">IFERROR(LEFT(VLOOKUP(INDEX(BS4:BS111,MATCH(TRUE(),BS4:BS111&gt;=17,0)),BS4:BT111,2,FALSE()),10),"beyond forecast")</f>
        <v>beyond forecast</v>
      </c>
      <c r="BV118" s="0" t="str">
        <f aca="false" t="array" ref="BV118:BV118">IFERROR(LEFT(VLOOKUP(INDEX(BU4:BU111,MATCH(TRUE(),BU4:BU111&lt;17,0)),BU4:BV111,2,FALSE()),10),"beyond forecast")</f>
        <v>2023-08-03</v>
      </c>
      <c r="BZ118" s="0" t="str">
        <f aca="false" t="array" ref="BZ118:BZ118">IFERROR(LEFT(VLOOKUP(INDEX(BY4:BY111,MATCH(TRUE(),BY4:BY111&lt;32,0)),BY4:BZ111,2,FALSE()),10),"beyond forecast")</f>
        <v>2023-08-03</v>
      </c>
      <c r="CB118" s="0" t="str">
        <f aca="false" t="array" ref="CB118:CB118">IFERROR(LEFT(VLOOKUP(INDEX(CA4:CA111,MATCH(TRUE(),CA4:CA111&lt;22,0)),CA4:CB111,2,FALSE()),10),"beyond forecast")</f>
        <v>2023-08-03</v>
      </c>
      <c r="CF118" s="0" t="str">
        <f aca="false" t="array" ref="CF118:CF118">IFERROR(LEFT(VLOOKUP(INDEX(CE4:CE111,MATCH(TRUE(),CE4:CE111&lt;25,0)),CE4:CF111,2,FALSE()),10),"beyond forecast")</f>
        <v>2023-08-03</v>
      </c>
      <c r="CH118" s="0" t="str">
        <f aca="false" t="array" ref="CH118:CH118">IFERROR(LEFT(VLOOKUP(INDEX(CG4:CG111,MATCH(TRUE(),CG4:CG111&lt;21,0)),CG4:CH111,2,FALSE()),10),"beyond forecast")</f>
        <v>2023-08-03</v>
      </c>
      <c r="CJ118" s="0" t="str">
        <f aca="false" t="array" ref="CJ118:CJ118">IFERROR(LEFT(VLOOKUP(INDEX(CI4:CI111,MATCH(TRUE(),CI4:CI111&lt;23,0)),CI4:CJ111,2,FALSE()),10),"beyond forecast")</f>
        <v>2023-08-03</v>
      </c>
      <c r="CL118" s="0" t="str">
        <f aca="false" t="array" ref="CL118:CL118">IFERROR(LEFT(VLOOKUP(INDEX(CK4:CK111,MATCH(TRUE(),CK4:CK111&lt;21,0)),CK4:CL111,2,FALSE()),10),"beyond forecast")</f>
        <v>2023-08-03</v>
      </c>
      <c r="CN118" s="0" t="str">
        <f aca="false" t="array" ref="CN118:CN118">IFERROR(LEFT(VLOOKUP(INDEX(CM4:CM111,MATCH(TRUE(),CM4:CM111&lt;20,0)),CM4:CN111,2,FALSE()),10),"beyond forecast")</f>
        <v>2023-08-03</v>
      </c>
      <c r="CP118" s="0" t="str">
        <f aca="false" t="array" ref="CP118:CP118">IFERROR(LEFT(VLOOKUP(INDEX(CO4:CO111,MATCH(TRUE(),CO4:CO111&lt;25,0)),CO4:CP111,2,FALSE()),10),"beyond forecast")</f>
        <v>2023-08-03</v>
      </c>
    </row>
    <row r="119" customFormat="false" ht="14.25" hidden="false" customHeight="false" outlineLevel="0" collapsed="false">
      <c r="BR119" s="0" t="str">
        <f aca="false" t="array" ref="BR119:BR119">IFERROR(LEFT(VLOOKUP(INDEX(BQ4:BQ111,MATCH(TRUE(),BQ4:BQ111&gt;=29,0)),BQ4:BR111,2,FALSE()),10),"beyond forecast")</f>
        <v>beyond forecast</v>
      </c>
      <c r="BT119" s="0" t="str">
        <f aca="false" t="array" ref="BT119:BT119">IFERROR(LEFT(VLOOKUP(INDEX(BS4:BS111,MATCH(TRUE(),BS4:BS111&gt;=20,0)),BS4:BT111,2,FALSE()),10),"beyond forecast")</f>
        <v>beyond forecast</v>
      </c>
      <c r="BZ119" s="0" t="str">
        <f aca="false" t="array" ref="BZ119:BZ119">IFERROR(LEFT(VLOOKUP(INDEX(BY4:BY111,MATCH(TRUE(),BY4:BY111&gt;7.8,0)),BY4:BZ111,2,FALSE()),10),"beyond forecast")</f>
        <v>2023-08-03</v>
      </c>
      <c r="CB119" s="0" t="str">
        <f aca="false" t="array" ref="CB119:CB119">IFERROR(LEFT(VLOOKUP(INDEX(CA4:CA111,MATCH(TRUE(),CA4:CA111&gt;10,0)),CA4:CB111,2,FALSE()),10),"beyond forecast")</f>
        <v>2023-08-03</v>
      </c>
      <c r="CH119" s="0" t="str">
        <f aca="false" t="array" ref="CH119:CH119">IFERROR(LEFT(VLOOKUP(INDEX(CG4:CG111,MATCH(TRUE(),CG4:CG111&gt;6.5,0)),CG4:CH111,2,FALSE()),10),"beyond forecast")</f>
        <v>2023-08-03</v>
      </c>
      <c r="CL119" s="0" t="str">
        <f aca="false" t="array" ref="CL119:CL119">IFERROR(LEFT(VLOOKUP(INDEX(CK4:CK111,MATCH(TRUE(),CK4:CK111&gt;5.2,0)),CK4:CL111,2,FALSE()),10),"beyond forecast")</f>
        <v>2023-08-03</v>
      </c>
    </row>
    <row r="120" customFormat="false" ht="14.25" hidden="false" customHeight="false" outlineLevel="0" collapsed="false">
      <c r="BZ120" s="0" t="str">
        <f aca="false" t="array" ref="BZ120:BZ120">IFERROR(LEFT(VLOOKUP(INDEX(BY4:BY111,MATCH(TRUE(),BY4:BY111&gt;8,0)),BY4:BZ111,2,FALSE()),10),"beyond forecast")</f>
        <v>2023-08-03</v>
      </c>
      <c r="CB120" s="0" t="str">
        <f aca="false" t="array" ref="CB120:CB120">IFERROR(LEFT(VLOOKUP(INDEX(CA4:CA111,MATCH(TRUE(),CA4:CA111&gt;10.2,0)),CA4:CB111,2,FALSE()),10),"beyond forecast")</f>
        <v>2023-08-03</v>
      </c>
      <c r="CH120" s="0" t="str">
        <f aca="false" t="array" ref="CH120:CH120">IFERROR(LEFT(VLOOKUP(INDEX(CG4:CG111,MATCH(TRUE(),CG4:CG111&gt;7,0)),CG4:CH111,2,FALSE()),10),"beyond forecast")</f>
        <v>2023-08-03</v>
      </c>
      <c r="CL120" s="0" t="str">
        <f aca="false" t="array" ref="CL120:CL120">IFERROR(LEFT(VLOOKUP(INDEX(CK4:CK111,MATCH(TRUE(),CK4:CK111&gt;6,0)),CK4:CL111,2,FALSE()),10),"beyond forecast")</f>
        <v>2023-08-03</v>
      </c>
    </row>
    <row r="121" customFormat="false" ht="14.25" hidden="false" customHeight="false" outlineLevel="0" collapsed="false">
      <c r="BP121" s="0" t="str">
        <f aca="false" t="array" ref="BP121:BP121">IFERROR(LEFT(VLOOKUP(INDEX(BO4:BO111,MATCH(TRUE(),BO4:BO111&gt;=29,0)),BO4:BP111,2,FALSE()),10),"beyond forecast")</f>
        <v>beyond forecast</v>
      </c>
      <c r="BV121" s="0" t="str">
        <f aca="false" t="array" ref="BV121:BV121">IFERROR(LEFT(VLOOKUP(INDEX(BU4:BU111,MATCH(TRUE(),BU4:BU111&gt;=17,0)),BU4:BV111,2,FALSE()),10),"beyond forecast")</f>
        <v>beyond forecast</v>
      </c>
      <c r="BZ121" s="0" t="str">
        <f aca="false" t="array" ref="BZ121:BZ121">IFERROR(LEFT(VLOOKUP(INDEX(BY4:BY111,MATCH(TRUE(),BY4:BY111&gt;=32,0)),BY4:BZ111,2,FALSE()),10),"beyond forecast")</f>
        <v>beyond forecast</v>
      </c>
      <c r="CB121" s="0" t="str">
        <f aca="false" t="array" ref="CB121:CB121">IFERROR(LEFT(VLOOKUP(INDEX(CA4:CA111,MATCH(TRUE(),CA4:CA111&gt;=22,0)),CA4:CB111,2,FALSE()),10),"beyond forecast")</f>
        <v>beyond forecast</v>
      </c>
      <c r="CF121" s="0" t="str">
        <f aca="false" t="array" ref="CF121:CF121">IFERROR(LEFT(VLOOKUP(INDEX(CE4:CE111,MATCH(TRUE(),CE4:CE111&gt;=25,0)),CE4:CF111,2,FALSE()),10),"beyond forecast")</f>
        <v>beyond forecast</v>
      </c>
      <c r="CH121" s="0" t="str">
        <f aca="false" t="array" ref="CH121:CH121">IFERROR(LEFT(VLOOKUP(INDEX(CG4:CG111,MATCH(TRUE(),CG4:CG111&gt;=21,0)),CG4:CH111,2,FALSE()),10),"beyond forecast")</f>
        <v>beyond forecast</v>
      </c>
      <c r="CJ121" s="0" t="str">
        <f aca="false" t="array" ref="CJ121:CJ121">IFERROR(LEFT(VLOOKUP(INDEX(CI4:CI111,MATCH(TRUE(),CI4:CI111&gt;=23,0)),CI4:CJ111,2,FALSE()),10),"beyond forecast")</f>
        <v>beyond forecast</v>
      </c>
      <c r="CL121" s="0" t="str">
        <f aca="false" t="array" ref="CL121:CL121">IFERROR(LEFT(VLOOKUP(INDEX(CK4:CK111,MATCH(TRUE(),CK4:CK111&gt;=21,0)),CK4:CL111,2,FALSE()),10),"beyond forecast")</f>
        <v>beyond forecast</v>
      </c>
      <c r="CN121" s="0" t="str">
        <f aca="false" t="array" ref="CN121:CN121">IFERROR(LEFT(VLOOKUP(INDEX(CM4:CM111,MATCH(TRUE(),CM4:CM111&gt;=20,0)),CM4:CN111,2,FALSE()),10),"beyond forecast")</f>
        <v>beyond forecast</v>
      </c>
      <c r="CP121" s="0" t="str">
        <f aca="false" t="array" ref="CP121:CP121">IFERROR(LEFT(VLOOKUP(INDEX(CO4:CO111,MATCH(TRUE(),CO4:CO111&gt;=25,0)),CO4:CP111,2,FALSE()),10),"beyond forecast")</f>
        <v>beyond forecast</v>
      </c>
    </row>
    <row r="122" customFormat="false" ht="14.25" hidden="false" customHeight="false" outlineLevel="0" collapsed="false">
      <c r="BP122" s="0" t="str">
        <f aca="false" t="array" ref="BP122:BP122">IFERROR(LEFT(VLOOKUP(INDEX(BO4:BO111,MATCH(TRUE(),BO4:BO111&gt;=30,0)),BO4:BP111,2,FALSE()),10),"beyond forecast")</f>
        <v>beyond forecast</v>
      </c>
      <c r="BV122" s="0" t="str">
        <f aca="false" t="array" ref="BV122:BV122">IFERROR(LEFT(VLOOKUP(INDEX(BU4:BU111,MATCH(TRUE(),BU4:BU111&gt;=20,0)),BU4:BV111,2,FALSE()),10),"beyond forecast")</f>
        <v>beyond forecast</v>
      </c>
      <c r="BZ122" s="0" t="str">
        <f aca="false" t="array" ref="BZ122:BZ122">IFERROR(LEFT(VLOOKUP(INDEX(BY4:BY111,MATCH(TRUE(),BY4:BY111&gt;=35,0)),BY4:BZ111,2,FALSE()),10),"beyond forecast")</f>
        <v>beyond forecast</v>
      </c>
      <c r="CB122" s="0" t="str">
        <f aca="false" t="array" ref="CB122:CB122">IFERROR(LEFT(VLOOKUP(INDEX(CA4:CA111,MATCH(TRUE(),CA4:CA111&gt;=25,0)),CA4:CB111,2,FALSE()),10),"beyond forecast")</f>
        <v>beyond forecast</v>
      </c>
      <c r="CF122" s="0" t="str">
        <f aca="false" t="array" ref="CF122:CF122">IFERROR(LEFT(VLOOKUP(INDEX(CE4:CE111,MATCH(TRUE(),CE4:CE111&gt;=27,0)),CE4:CF111,2,FALSE()),10),"beyond forecast")</f>
        <v>beyond forecast</v>
      </c>
      <c r="CH122" s="0" t="str">
        <f aca="false" t="array" ref="CH122:CH122">IFERROR(LEFT(VLOOKUP(INDEX(CG4:CG111,MATCH(TRUE(),CG4:CG111&gt;=25,0)),CG4:CH111,2,FALSE()),10),"beyond forecast")</f>
        <v>beyond forecast</v>
      </c>
      <c r="CJ122" s="0" t="str">
        <f aca="false" t="array" ref="CJ122:CJ122">IFERROR(LEFT(VLOOKUP(INDEX(CI4:CI111,MATCH(TRUE(),CI4:CI111&gt;=26,0)),CI4:CJ111,2,FALSE()),10),"beyond forecast")</f>
        <v>beyond forecast</v>
      </c>
      <c r="CL122" s="0" t="str">
        <f aca="false" t="array" ref="CL122:CL122">IFERROR(LEFT(VLOOKUP(INDEX(CK4:CK111,MATCH(TRUE(),CK4:CK111&gt;=25,0)),CK4:CL111,2,FALSE()),10),"beyond forecast")</f>
        <v>beyond forecast</v>
      </c>
      <c r="CN122" s="0" t="str">
        <f aca="false" t="array" ref="CN122:CN122">IFERROR(LEFT(VLOOKUP(INDEX(CM4:CM111,MATCH(TRUE(),CM4:CM111&gt;=26,0)),CM4:CN111,2,FALSE()),10),"beyond forecast")</f>
        <v>beyond forecast</v>
      </c>
      <c r="CP122" s="0" t="str">
        <f aca="false" t="array" ref="CP122:CP122">IFERROR(LEFT(VLOOKUP(INDEX(CO4:CO111,MATCH(TRUE(),CO4:CO111&gt;=27,0)),CO4:CP111,2,FALSE()),10),"beyond forecast")</f>
        <v>beyond forecast</v>
      </c>
    </row>
    <row r="123" customFormat="false" ht="14.25" hidden="false" customHeight="false" outlineLevel="0" collapsed="false">
      <c r="BZ123" s="0" t="str">
        <f aca="false" t="array" ref="BZ123:BZ123">IFERROR(LEFT(VLOOKUP(INDEX(BY4:BY111,MATCH(TRUE(),BY4:BY111&lt;=8,0)),BY4:BZ111,2,FALSE()),10),"beyond forecast")</f>
        <v>beyond forecast</v>
      </c>
      <c r="CB123" s="0" t="str">
        <f aca="false" t="array" ref="CB123:CB123">IFERROR(LEFT(VLOOKUP(INDEX(CA4:CA111,MATCH(TRUE(),CA4:CA111&lt;=10.2,0)),CA4:CB111,2,FALSE()),10),"beyond forecast")</f>
        <v>2023-08-24</v>
      </c>
      <c r="CH123" s="0" t="str">
        <f aca="false" t="array" ref="CH123:CH123">IFERROR(LEFT(VLOOKUP(INDEX(CG4:CG111,MATCH(TRUE(),CG4:CG111&lt;=7,0)),CG4:CH111,2,FALSE()),10),"beyond forecast")</f>
        <v>2023-08-13</v>
      </c>
      <c r="CL123" s="0" t="str">
        <f aca="false" t="array" ref="CL123:CL123">IFERROR(LEFT(VLOOKUP(INDEX(CK4:CK111,MATCH(TRUE(),CK4:CK111&lt;=6,0)),CK4:CL111,2,FALSE()),10),"beyond forecast")</f>
        <v>2023-08-09</v>
      </c>
    </row>
    <row r="124" customFormat="false" ht="14.25" hidden="false" customHeight="false" outlineLevel="0" collapsed="false">
      <c r="BZ124" s="0" t="str">
        <f aca="false" t="array" ref="BZ124:BZ124">IFERROR(LEFT(VLOOKUP(INDEX(BY4:BY111,MATCH(TRUE(),BY4:BY111&lt;=7.8,0)),BY4:BZ111,2,FALSE()),10),"beyond forecast")</f>
        <v>beyond forecast</v>
      </c>
      <c r="CB124" s="0" t="str">
        <f aca="false" t="array" ref="CB124:CB124">IFERROR(LEFT(VLOOKUP(INDEX(CA4:CA111,MATCH(TRUE(),CA4:CA111&lt;=10,0)),CA4:CB111,2,FALSE()),10),"beyond forecast")</f>
        <v>beyond forecast</v>
      </c>
      <c r="CH124" s="0" t="str">
        <f aca="false" t="array" ref="CH124:CH124">IFERROR(LEFT(VLOOKUP(INDEX(CG4:CG111,MATCH(TRUE(),CG4:CG111&lt;=6.5,0)),CG4:CH111,2,FALSE()),10),"beyond forecast")</f>
        <v>2023-08-22</v>
      </c>
      <c r="CL124" s="0" t="str">
        <f aca="false" t="array" ref="CL124:CL124">IFERROR(LEFT(VLOOKUP(INDEX(CK4:CK111,MATCH(TRUE(),CK4:CK111&lt;=5.2,0)),CK4:CL111,2,FALSE()),10),"beyond forecast")</f>
        <v>2023-08-10</v>
      </c>
    </row>
    <row r="149" customFormat="false" ht="14.25" hidden="false" customHeight="false" outlineLevel="0" collapsed="false">
      <c r="BM149" s="188" t="n">
        <f aca="false">MAX(BM4:BM57)</f>
        <v>8.1</v>
      </c>
      <c r="BN149" s="0" t="str">
        <f aca="false">LEFT(VLOOKUP(MAX(BM4:BM57),BM4:BN57,2,FALSE()),10)</f>
        <v>2023-08-05</v>
      </c>
    </row>
    <row r="150" customFormat="false" ht="14.25" hidden="false" customHeight="false" outlineLevel="0" collapsed="false">
      <c r="BM150" s="188" t="n">
        <f aca="false">MIN(BM4:BM57)</f>
        <v>-2.8</v>
      </c>
      <c r="BN150" s="0" t="str">
        <f aca="false">LEFT(VLOOKUP(MIN(BM4:BM57),BM4:BN57,2,FALSE()),10)</f>
        <v>2023-08-16</v>
      </c>
    </row>
    <row r="151" customFormat="false" ht="14.25" hidden="false" customHeight="false" outlineLevel="0" collapsed="false">
      <c r="BM151" s="188"/>
      <c r="BN151" s="183" t="str">
        <f aca="false" t="array" ref="BN151:BN151">IFERROR(LEFT(VLOOKUP(INDEX(BM4:BM57,MATCH(TRUE(),BM4:BM57&lt;38,0)),BM4:BN57,2,FALSE()),10),"beyond forecast")</f>
        <v>2023-08-03</v>
      </c>
    </row>
    <row r="152" customFormat="false" ht="14.25" hidden="false" customHeight="false" outlineLevel="0" collapsed="false">
      <c r="BM152" s="188"/>
      <c r="BN152" s="183" t="str">
        <f aca="false" t="array" ref="BN152:BN152">IFERROR(LEFT(VLOOKUP(INDEX(BM4:BM57,MATCH(TRUE(),BM4:BM57&gt;=38,0)),BM4:BN57,2,FALSE()),10),"beyond forecast")</f>
        <v>beyond forecast</v>
      </c>
    </row>
    <row r="153" customFormat="false" ht="14.25" hidden="false" customHeight="false" outlineLevel="0" collapsed="false">
      <c r="BM153" s="188"/>
      <c r="BN153" s="183" t="str">
        <f aca="false" t="array" ref="BN153:BN153">IFERROR(LEFT(VLOOKUP(INDEX(BM4:BM57,MATCH(TRUE(),BM4:BM57&gt;=45,0)),BM4:BN57,2,FALSE()),10),"beyond forecast")</f>
        <v>beyond forecast</v>
      </c>
    </row>
    <row r="154" customFormat="false" ht="14.25" hidden="false" customHeight="false" outlineLevel="0" collapsed="false">
      <c r="BM154" s="188"/>
      <c r="BN154" s="183" t="str">
        <f aca="false" t="array" ref="BN154:BN154">IFERROR(LEFT(VLOOKUP(INDEX(BM4:BM57,MATCH(TRUE(),BM4:BM57&lt;45,0)),BM4:BN57,2,FALSE()),10),"beyond forecast")</f>
        <v>2023-08-03</v>
      </c>
    </row>
    <row r="155" customFormat="false" ht="14.25" hidden="false" customHeight="false" outlineLevel="0" collapsed="false">
      <c r="BN155" s="0" t="str">
        <f aca="false" t="array" ref="BN155:BN155">IFERROR(LEFT(VLOOKUP(INDEX(BM4:BM57,MATCH(TRUE(),BM4:BM57&lt;30,0)),BM4:BN57,2,FALSE()),10),"beyond forecast")</f>
        <v>2023-08-03</v>
      </c>
    </row>
    <row r="156" customFormat="false" ht="14.25" hidden="false" customHeight="false" outlineLevel="0" collapsed="false">
      <c r="BN156" s="0" t="str">
        <f aca="false" t="array" ref="BN156:BN156">IFERROR(LEFT(VLOOKUP(INDEX(BM4:BM57,MATCH(TRUE(),BM4:BM57&lt;25,0)),BM4:BN57,2,FALSE()),10),"beyond forecast")</f>
        <v>2023-08-03</v>
      </c>
    </row>
    <row r="157" customFormat="false" ht="14.25" hidden="false" customHeight="false" outlineLevel="0" collapsed="false">
      <c r="BN157" s="0" t="str">
        <f aca="false" t="array" ref="BN157:BN157">IFERROR(LEFT(VLOOKUP(INDEX(BM4:BM57,MATCH(TRUE(),BM4:BM57&lt;20,0)),BM4:BN57,2,FALSE()),10),"beyond forecast")</f>
        <v>2023-08-03</v>
      </c>
    </row>
    <row r="158" customFormat="false" ht="14.25" hidden="false" customHeight="false" outlineLevel="0" collapsed="false">
      <c r="BN158" s="0" t="str">
        <f aca="false" t="array" ref="BN158:BN158">IFERROR(LEFT(VLOOKUP(INDEX(BM4:BM57,MATCH(TRUE(),BM4:BM57&gt;-2,0)),BM4:BN57,2,FALSE()),10),"beyond forecast")</f>
        <v>2023-08-03</v>
      </c>
    </row>
    <row r="159" customFormat="false" ht="14.25" hidden="false" customHeight="false" outlineLevel="0" collapsed="false">
      <c r="BN159" s="0" t="str">
        <f aca="false" t="array" ref="BN159:BN159">IFERROR(LEFT(VLOOKUP(INDEX(BM4:BM57,MATCH(TRUE(),BM4:BM57&gt;0,0)),BM4:BN57,2,FALSE()),10),"beyond forecast")</f>
        <v>2023-08-03</v>
      </c>
    </row>
    <row r="160" customFormat="false" ht="14.25" hidden="false" customHeight="false" outlineLevel="0" collapsed="false">
      <c r="BN160" s="0" t="str">
        <f aca="false" t="array" ref="BN160:BN160">IFERROR(LEFT(VLOOKUP(INDEX(BM4:BM57,MATCH(TRUE(),BM4:BM57&gt;=20,0)),BM4:BN57,2,FALSE()),10),"beyond forecast")</f>
        <v>beyond forecast</v>
      </c>
    </row>
    <row r="161" customFormat="false" ht="14.25" hidden="false" customHeight="false" outlineLevel="0" collapsed="false">
      <c r="BN161" s="0" t="str">
        <f aca="false" t="array" ref="BN161:BN161">IFERROR(LEFT(VLOOKUP(INDEX(BM4:BM57,MATCH(TRUE(),BM4:BM57&gt;=25,0)),BM4:BN57,2,FALSE()),10),"beyond forecast")</f>
        <v>beyond forecast</v>
      </c>
    </row>
    <row r="162" customFormat="false" ht="14.25" hidden="false" customHeight="false" outlineLevel="0" collapsed="false">
      <c r="BN162" s="0" t="str">
        <f aca="false" t="array" ref="BN162:BN162">IFERROR(LEFT(VLOOKUP(INDEX(BM4:BM57,MATCH(TRUE(),BM4:BM57&gt;=30,0)),BM4:BN57,2,FALSE()),10),"beyond forecast")</f>
        <v>beyond forecast</v>
      </c>
    </row>
    <row r="163" customFormat="false" ht="14.25" hidden="false" customHeight="false" outlineLevel="0" collapsed="false">
      <c r="BN163" s="0" t="str">
        <f aca="false" t="array" ref="BN163:BN163">IFERROR(LEFT(VLOOKUP(INDEX(BM4:BM57,MATCH(TRUE(),BM4:BM57&lt;=0,0)),BM4:BN57,2,FALSE()),10),"beyond forecast")</f>
        <v>2023-08-10</v>
      </c>
    </row>
    <row r="164" customFormat="false" ht="14.25" hidden="false" customHeight="false" outlineLevel="0" collapsed="false">
      <c r="BN164" s="0" t="str">
        <f aca="false" t="array" ref="BN164:BN164">IFERROR(LEFT(VLOOKUP(INDEX(BM4:BM57,MATCH(TRUE(),BM4:BM57&lt;=-2,0)),BM4:BN57,2,FALSE()),10),"beyond forecast")</f>
        <v>2023-08-13</v>
      </c>
    </row>
    <row r="165" customFormat="false" ht="14.25" hidden="false" customHeight="false" outlineLevel="0" collapsed="false">
      <c r="BN165" s="0" t="str">
        <f aca="false" t="array" ref="BN165:BN165">IFERROR(LEFT(VLOOKUP(INDEX(BM4:BM57,MATCH(TRUE(),BM4:BM57&lt;40,0)),BM4:BN57,2,FALSE()),10),"beyond forecast")</f>
        <v>2023-08-03</v>
      </c>
    </row>
    <row r="166" customFormat="false" ht="14.25" hidden="false" customHeight="false" outlineLevel="0" collapsed="false">
      <c r="BN166" s="0" t="str">
        <f aca="false" t="array" ref="BN166:BN166">IFERROR(LEFT(VLOOKUP(INDEX(BM4:BM57,MATCH(TRUE(),BM4:BM57&lt;38,0)),BM4:BN57,2,FALSE()),10),"beyond forecast")</f>
        <v>2023-08-03</v>
      </c>
    </row>
    <row r="169" customFormat="false" ht="14.25" hidden="false" customHeight="false" outlineLevel="0" collapsed="false">
      <c r="BN169" s="0" t="str">
        <f aca="false" t="array" ref="BN169:BN169">IFERROR(LEFT(VLOOKUP(INDEX(BM4:BM57,MATCH(TRUE(),BM4:BM57&gt;=38,0)),BM4:BN57,2,FALSE()),10),"beyond forecast")</f>
        <v>beyond forecast</v>
      </c>
    </row>
    <row r="170" customFormat="false" ht="14.25" hidden="false" customHeight="false" outlineLevel="0" collapsed="false">
      <c r="BN170" s="0" t="str">
        <f aca="false" t="array" ref="BN170:BN170">IFERROR(LEFT(VLOOKUP(INDEX(BM4:BM57,MATCH(TRUE(),BM4:BM57&gt;=40,0)),BM4:BN57,2,FALSE()),10),"beyond forecast")</f>
        <v>beyond forecast</v>
      </c>
    </row>
    <row r="173" customFormat="false" ht="14.25" hidden="false" customHeight="false" outlineLevel="0" collapsed="false">
      <c r="BN173" s="0" t="str">
        <f aca="false" t="array" ref="BN173:BN173">IFERROR(LEFT(VLOOKUP(INDEX(BM4:BM57,MATCH(TRUE(),BM4:BM57&gt;=38.5,0)),BM4:BN57,2,FALSE()),10),"beyond forecast")</f>
        <v>beyond forecast</v>
      </c>
    </row>
    <row r="174" customFormat="false" ht="14.25" hidden="false" customHeight="false" outlineLevel="0" collapsed="false">
      <c r="BN174" s="0" t="str">
        <f aca="false" t="array" ref="BN174:BN174">IFERROR(LEFT(VLOOKUP(INDEX(BM5:BM149,MATCH(TRUE(),BM5:BM149&lt;38.5,0)),BM5:BN149,2,FALSE()),10),"beyond forecast")</f>
        <v>2023-08-04</v>
      </c>
    </row>
  </sheetData>
  <mergeCells count="50">
    <mergeCell ref="A1:M1"/>
    <mergeCell ref="O1:BM1"/>
    <mergeCell ref="BO1:CP1"/>
    <mergeCell ref="A2:B2"/>
    <mergeCell ref="C2:D2"/>
    <mergeCell ref="E2:F2"/>
    <mergeCell ref="G2:H2"/>
    <mergeCell ref="I2:J2"/>
    <mergeCell ref="K2:L2"/>
    <mergeCell ref="M2:N2"/>
    <mergeCell ref="O2:P2"/>
    <mergeCell ref="Q2:R2"/>
    <mergeCell ref="S2:T2"/>
    <mergeCell ref="U2:V2"/>
    <mergeCell ref="W2:X2"/>
    <mergeCell ref="Y2:Z2"/>
    <mergeCell ref="AA2:AB2"/>
    <mergeCell ref="AC2:AD2"/>
    <mergeCell ref="AE2:AF2"/>
    <mergeCell ref="AG2:AH2"/>
    <mergeCell ref="AI2:AJ2"/>
    <mergeCell ref="AK2:AL2"/>
    <mergeCell ref="AM2:AN2"/>
    <mergeCell ref="AO2:AP2"/>
    <mergeCell ref="AQ2:AR2"/>
    <mergeCell ref="AS2:AT2"/>
    <mergeCell ref="AU2:AV2"/>
    <mergeCell ref="AW2:AX2"/>
    <mergeCell ref="AY2:AZ2"/>
    <mergeCell ref="BA2:BB2"/>
    <mergeCell ref="BC2:BD2"/>
    <mergeCell ref="BE2:BF2"/>
    <mergeCell ref="BG2:BH2"/>
    <mergeCell ref="BI2:BJ2"/>
    <mergeCell ref="BK2:BL2"/>
    <mergeCell ref="BM2:BN2"/>
    <mergeCell ref="BO2:BP2"/>
    <mergeCell ref="BQ2:BR2"/>
    <mergeCell ref="BS2:BT2"/>
    <mergeCell ref="BU2:BV2"/>
    <mergeCell ref="BW2:BX2"/>
    <mergeCell ref="BY2:BZ2"/>
    <mergeCell ref="CA2:CB2"/>
    <mergeCell ref="CC2:CD2"/>
    <mergeCell ref="CE2:CF2"/>
    <mergeCell ref="CG2:CH2"/>
    <mergeCell ref="CI2:CJ2"/>
    <mergeCell ref="CK2:CL2"/>
    <mergeCell ref="CM2:CN2"/>
    <mergeCell ref="CO2:CP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98c9ed1-2bb7-4403-a239-a4cb69c5d7e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28AB93F41C3B48BF9D29FC5F0E4645" ma:contentTypeVersion="12" ma:contentTypeDescription="Create a new document." ma:contentTypeScope="" ma:versionID="f6000e5bd42f2c8295e0a7a331a7354d">
  <xsd:schema xmlns:xsd="http://www.w3.org/2001/XMLSchema" xmlns:xs="http://www.w3.org/2001/XMLSchema" xmlns:p="http://schemas.microsoft.com/office/2006/metadata/properties" xmlns:ns2="998c9ed1-2bb7-4403-a239-a4cb69c5d7e7" xmlns:ns3="5d9c44b4-388a-4152-b024-b27ca56a9362" targetNamespace="http://schemas.microsoft.com/office/2006/metadata/properties" ma:root="true" ma:fieldsID="5f6877eba44e414bdbaa1959469f4bae" ns2:_="" ns3:_="">
    <xsd:import namespace="998c9ed1-2bb7-4403-a239-a4cb69c5d7e7"/>
    <xsd:import namespace="5d9c44b4-388a-4152-b024-b27ca56a936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8c9ed1-2bb7-4403-a239-a4cb69c5d7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60711c0e-4245-4ab7-b236-62d0b6835c85" ma:termSetId="09814cd3-568e-fe90-9814-8d621ff8fb84" ma:anchorId="fba54fb3-c3e1-fe81-a776-ca4b69148c4d" ma:open="true" ma:isKeyword="false">
      <xsd:complexType>
        <xsd:sequence>
          <xsd:element ref="pc:Terms" minOccurs="0" maxOccurs="1"/>
        </xsd:sequence>
      </xsd:complex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dexed="true" ma:internalName="MediaServiceLocatio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d9c44b4-388a-4152-b024-b27ca56a936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DataMashup xmlns="http://schemas.microsoft.com/DataMashup">AAAAAOkF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soECIZTkCn5KuOJ4gJWzyVnYa8teUO7tcS5UQLk/M99Mt1+CN1+ci4vSw03TgmGxcXQy9/B+fNndgylKMpKPwj2cucB+uL7qjufExVS1lB5OqukBsdgTBypNTCz1MsUcSOuYZ0xkP2hmvG3bO7RRlEV3unrA0D3xRJ9ezfNS11uSAOZx+1pBPSgvismTE8B/BZX3S0IpeWdJazNcr1X3VptmN7I5UNZXCtUYK2ZyMx62gM1fnwv6xwAvtYdvAAAA//8DAFBLAwQUAAIACAAAACEA4N79B60AAAD3AAAAEgAAAENvbmZpZy9QYWNrYWdlLnhtbISPvQ6CMBzEdxPfgXSnH0gcyJ8yuEpiQjSuDTTSCK2hxfJuDj6SryBEUTfHu/sld/e43SEb2ia4ys4qo1PEMEWBdUJXojFapkgblPHlAnaiPIuTDEZa22SwVYpq5y4JId577FfYdCcSUcrIMd8WZS1bgT6w+g+HSk+1pUQcDq81PMKMrXFMY0yBzCbkSn+BaBw8pT8mbPrG9Z3kUof7Asgsgbw/8CcAAAD//wMAUEsDBBQAAgAIAAAAIQBKj1ck+AAAAJ0BAAATAAAARm9ybXVsYXMvU2VjdGlvbjEubXxQsWrDQAzdDfkHcV1scA1dEzoUh5YOpYMd6OBFiRXn6FkXdHJJG/zvPdcUOhRrEZKe9N5ToINaz1DN+W6TJOGEQi20qAj34EhXCcSo/CAHip233hU17h2F9NE6KkrPSqwhNeW62QWS0Dy/1EPrpXll2or9ILiFHVuNVytFpQClx6DwNKC0zZbCu/pzMxEWl96ZLMtnyhtTnpC7uFZ/nslE7h/eohbkcPTSl94NPU/DkM768uvVPKiK3Q9Ka7U9fXkmk4NGEChddMzhL8SL7SyjelkAMfZLN2y7MOyISXB67qTmFxjN0lSPY7ZKLP/rd/MNAAD//wMAUEsBAi0AFAAGAAgAAAAhACrdqkDSAAAANwEAABMAAAAAAAAAAAAAAAAAAAAAAFtDb250ZW50X1R5cGVzXS54bWxQSwECLQAUAAIACAAAACEA4N79B60AAAD3AAAAEgAAAAAAAAAAAAAAAAALAwAAQ29uZmlnL1BhY2thZ2UueG1sUEsBAi0AFAACAAgAAAAhAEqPVyT4AAAAnQEAABMAAAAAAAAAAAAAAAAA6AMAAEZvcm11bGFzL1NlY3Rpb24xLm1QSwUGAAAAAAMAAwDCAAAAEQUAAAAAEQEAAO+7vzw/eG1sIHZlcnNpb249IjEuMCIgc3RhbmRhbG9uZT0ibm8iPz4NC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oIKAAAAAAAAYAoAAO+7vzw/eG1sIHZlcnNpb249IjEuMCIgc3RhbmRhbG9uZT0ibm8iPz4NCjxMb2NhbFBhY2thZ2VNZXRhZGF0YUZpbGUgeG1sbnM6eHNkPSJodHRwOi8vd3d3LnczLm9yZy8yMDAxL1hNTFNjaGVtYSIgeG1sbnM6eHNpPSJodHRwOi8vd3d3LnczLm9yZy8yMDAxL1hNTFNjaGVtYS1pbnN0YW5jZSI+PEl0ZW1zPjxJdGVtPjxJdGVtTG9jYXRpb24+PEl0ZW1UeXBlPkZvcm11bGE8L0l0ZW1UeXBlPjxJdGVtUGF0aD5TZWN0aW9uMS9kYXRhPC9JdGVtUGF0aD48L0l0ZW1Mb2NhdGlvbj48U3RhYmxlRW50cmllcz48RW50cnkgVHlwZT0iQWRkZWRUb0RhdGFNb2RlbCIgVmFsdWU9ImwwIi8+PEVudHJ5IFR5cGU9IkJ1ZmZlck5leHRSZWZyZXNoIiBWYWx1ZT0ibDEiLz48RW50cnkgVHlwZT0iRmlsbEVuYWJsZWQiIFZhbHVlPSJsMCIvPjxFbnRyeSBUeXBlPSJGaWxsRXJyb3JDb2RlIiBWYWx1ZT0ic1Vua25vd24iLz48RW50cnkgVHlwZT0iRmlsbEVycm9yQ291bnQiIFZhbHVlPSJsMCIvPjxFbnRyeSBUeXBlPSJGaWxsTGFzdFVwZGF0ZWQiIFZhbHVlPSJkMjAyMy0wNy0xOFQxNDoyMDoyNC4zNjMxNDY2WiIvPjxFbnRyeSBUeXBlPSJGaWxsQ29sdW1uVHlwZXMiIFZhbHVlPSJzQmdZR0JnYz0iLz48RW50cnkgVHlwZT0iRmlsbENvbHVtbk5hbWVzIiBWYWx1ZT0ic1smcXVvdDtBdHRyaWJ1dGU6dGltZXpvbmUmcXVvdDssJnF1b3Q7QXR0cmlidXRlOm9yaWdpbmF0b3ImcXVvdDssJnF1b3Q7QXR0cmlidXRlOm5hbWUmcXVvdDssJnF1b3Q7QXR0cmlidXRlOmlkJnF1b3Q7LCZxdW90O0F0dHJpYnV0ZTpnZW5lcmF0aW9udGltZSZxdW90O10iLz48RW50cnkgVHlwZT0iRmlsbGVkQ29tcGxldGVSZXN1bHRUb1dvcmtzaGVldCIgVmFsdWU9ImwxIi8+PEVudHJ5IFR5cGU9IkZpbGxTdGF0dXMiIFZhbHVlPSJzQ29tcGxldGUiLz48RW50cnkgVHlwZT0iRmlsbFRvRGF0YU1vZGVsRW5hYmxlZCIgVmFsdWU9ImwwIi8+PEVudHJ5IFR5cGU9IklzUHJpdmF0ZSIgVmFsdWU9ImwwIi8+PEVudHJ5IFR5cGU9IlJlbGF0aW9uc2hpcEluZm9Db250YWluZXIiIFZhbHVlPSJzeyZxdW90O2NvbHVtbkNvdW50JnF1b3Q7OjUsJnF1b3Q7a2V5Q29sdW1uTmFtZXMmcXVvdDs6W10sJnF1b3Q7cXVlcnlSZWxhdGlvbnNoaXBzJnF1b3Q7OltdLCZxdW90O2NvbHVtbklkZW50aXRpZXMmcXVvdDs6WyZxdW90O1NlY3Rpb24xL2RhdGEvQXV0b1JlbW92ZWRDb2x1bW5zMS57QXR0cmlidXRlOnRpbWV6b25lLDB9JnF1b3Q7LCZxdW90O1NlY3Rpb24xL2RhdGEvQXV0b1JlbW92ZWRDb2x1bW5zMS57QXR0cmlidXRlOm9yaWdpbmF0b3IsMX0mcXVvdDssJnF1b3Q7U2VjdGlvbjEvZGF0YS9BdXRvUmVtb3ZlZENvbHVtbnMxLntBdHRyaWJ1dGU6bmFtZSwyfSZxdW90OywmcXVvdDtTZWN0aW9uMS9kYXRhL0F1dG9SZW1vdmVkQ29sdW1uczEue0F0dHJpYnV0ZTppZCwzfSZxdW90OywmcXVvdDtTZWN0aW9uMS9kYXRhL0F1dG9SZW1vdmVkQ29sdW1uczEue0F0dHJpYnV0ZTpnZW5lcmF0aW9udGltZSw0fSZxdW90O10sJnF1b3Q7Q29sdW1uQ291bnQmcXVvdDs6NSwmcXVvdDtLZXlDb2x1bW5OYW1lcyZxdW90OzpbXSwmcXVvdDtDb2x1bW5JZGVudGl0aWVzJnF1b3Q7OlsmcXVvdDtTZWN0aW9uMS9kYXRhL0F1dG9SZW1vdmVkQ29sdW1uczEue0F0dHJpYnV0ZTp0aW1lem9uZSwwfSZxdW90OywmcXVvdDtTZWN0aW9uMS9kYXRhL0F1dG9SZW1vdmVkQ29sdW1uczEue0F0dHJpYnV0ZTpvcmlnaW5hdG9yLDF9JnF1b3Q7LCZxdW90O1NlY3Rpb24xL2RhdGEvQXV0b1JlbW92ZWRDb2x1bW5zMS57QXR0cmlidXRlOm5hbWUsMn0mcXVvdDssJnF1b3Q7U2VjdGlvbjEvZGF0YS9BdXRvUmVtb3ZlZENvbHVtbnMxLntBdHRyaWJ1dGU6aWQsM30mcXVvdDssJnF1b3Q7U2VjdGlvbjEvZGF0YS9BdXRvUmVtb3ZlZENvbHVtbnMxLntBdHRyaWJ1dGU6Z2VuZXJhdGlvbnRpbWUsNH0mcXVvdDtdLCZxdW90O1JlbGF0aW9uc2hpcEluZm8mcXVvdDs6W119Ii8+PEVudHJ5IFR5cGU9IlJlc3VsdFR5cGUiIFZhbHVlPSJzVGFibGUiLz48RW50cnkgVHlwZT0iRmlsbE9iamVjdFR5cGUiIFZhbHVlPSJzQ29ubmVjdGlvbk9ubHkiLz48RW50cnkgVHlwZT0iTmFtZVVwZGF0ZWRBZnRlckZpbGwiIFZhbHVlPSJsMCIvPjwvU3RhYmxlRW50cmllcz48L0l0ZW0+PEl0ZW0+PEl0ZW1Mb2NhdGlvbj48SXRlbVR5cGU+Rm9ybXVsYTwvSXRlbVR5cGU+PEl0ZW1QYXRoPlNlY3Rpb24xL2RhdGEvU291cmNlPC9JdGVtUGF0aD48L0l0ZW1Mb2NhdGlvbj48U3RhYmxlRW50cmllcy8+PC9JdGVtPjxJdGVtPjxJdGVtTG9jYXRpb24+PEl0ZW1UeXBlPkZvcm11bGE8L0l0ZW1UeXBlPjxJdGVtUGF0aD5TZWN0aW9uMS9kYXRhL0NoYW5nZWQlMjBUeXBlPC9JdGVtUGF0aD48L0l0ZW1Mb2NhdGlvbj48U3RhYmxlRW50cmllcy8+PC9JdGVtPjxJdGVtPjxJdGVtTG9jYXRpb24+PEl0ZW1UeXBlPkFsbEZvcm11bGFzPC9JdGVtVHlwZT48SXRlbVBhdGg+PC9JdGVtUGF0aD48L0l0ZW1Mb2NhdGlvbj48U3RhYmxlRW50cmllcz48RW50cnkgVHlwZT0iUXVlcnlHcm91cHMiIFZhbHVlPSJzQUFBQUFBPT0iLz48RW50cnkgVHlwZT0iUmVsYXRpb25zaGlwcyIgVmFsdWU9InNBQUFBQUE9PSIvPjwvU3RhYmxlRW50cmllcz48L0l0ZW0+PC9JdGVtcz48L0xvY2FsUGFja2FnZU1ldGFkYXRhRmlsZT4WAAAAUEsFBgAAAAAAAAAAAAAAAAAAAAAAANoAAAABAAAA0Iyd3wEV0RGMegDAT8KX6wEAAAAoVbtasPKfSr+19eTqTpG4AAAAAAIAAAAAAANmAADAAAAAEAAAANIy2z3Qb9vXuAK0tJzpCcAAAAAABIAAAKAAAAAQAAAAJZ+Mt5n2CV6f1KCbmM5v0FAAAADC77i/VnG0VxWUbAItxVvOQVea/xlhUcaBrGc7QD4uzLgCgqIq8xGg7/pL1cRuia5U/hxMLPzW7FbENAnKcxl8tWToU4TZLYpCGaWjbbscWxQAAADCWILqYfPq91eIeOCeRW//EtbibQ==</DataMashup>
</file>

<file path=customXml/itemProps1.xml><?xml version="1.0" encoding="utf-8"?>
<ds:datastoreItem xmlns:ds="http://schemas.openxmlformats.org/officeDocument/2006/customXml" ds:itemID="{71AFD0FE-0EDC-4042-B378-D79A193204C0}">
  <ds:schemaRefs>
    <ds:schemaRef ds:uri="998c9ed1-2bb7-4403-a239-a4cb69c5d7e7"/>
    <ds:schemaRef ds:uri="http://purl.org/dc/dcmitype/"/>
    <ds:schemaRef ds:uri="5d9c44b4-388a-4152-b024-b27ca56a9362"/>
    <ds:schemaRef ds:uri="http://schemas.microsoft.com/office/2006/documentManagement/types"/>
    <ds:schemaRef ds:uri="http://purl.org/dc/terms/"/>
    <ds:schemaRef ds:uri="http://schemas.openxmlformats.org/package/2006/metadata/core-properties"/>
    <ds:schemaRef ds:uri="http://www.w3.org/XML/1998/namespac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1F4AF348-8D17-4822-BE7A-2EB714A29EE9}">
  <ds:schemaRefs>
    <ds:schemaRef ds:uri="http://schemas.microsoft.com/sharepoint/v3/contenttype/forms"/>
  </ds:schemaRefs>
</ds:datastoreItem>
</file>

<file path=customXml/itemProps3.xml><?xml version="1.0" encoding="utf-8"?>
<ds:datastoreItem xmlns:ds="http://schemas.openxmlformats.org/officeDocument/2006/customXml" ds:itemID="{6482FC50-E123-4632-8536-8A53B3446D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8c9ed1-2bb7-4403-a239-a4cb69c5d7e7"/>
    <ds:schemaRef ds:uri="5d9c44b4-388a-4152-b024-b27ca56a93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B7F8184-2D52-49B3-BE1C-44B35C7FBD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98</TotalTime>
  <Application>LibreOffice/24.2.3.2$Windows_X86_64 LibreOffice_project/433d9c2ded56988e8a90e6b2e771ee4e6a5ab2ba</Application>
  <AppVersion>15.0000</AppVersion>
  <Company>U.S. Department of Defense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2018-06-27T14:34:26Z</dcterms:created>
  <dc:creator>Christian.J.Barger@uscg.mil;Kyle.W.Weitzell@uscg.mil</dc:creator>
  <dc:description/>
  <dc:language>en-US</dc:language>
  <cp:lastModifiedBy/>
  <dcterms:modified xsi:type="dcterms:W3CDTF">2024-11-17T11:50:11Z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0x0101009E28AB93F41C3B48BF9D29FC5F0E4645</vt:lpwstr>
  </property>
  <property fmtid="{D5CDD505-2E9C-101B-9397-08002B2CF9AE}" pid="3" name="MediaServiceImageTags">
    <vt:lpwstr/>
  </property>
</Properties>
</file>